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ustomProperty3.bin" ContentType="application/vnd.openxmlformats-officedocument.spreadsheetml.customProperty"/>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KIS\02 Internal Tools\_RELEASES\Forenklet projektmodel (uden BCM5)\27082024 1616 (S)\"/>
    </mc:Choice>
  </mc:AlternateContent>
  <workbookProtection workbookAlgorithmName="SHA-512" workbookHashValue="V1Vp3p/GENHz+Rdxjzu0kTjtM1xMPnTxik9tQRRkk9m17WPAHv6bWWCG241jQpN5CEKAT/res+/m+Q7hbnNHdw==" workbookSaltValue="7QWpBWs4BdbQnz8nVeGvjw==" workbookSpinCount="100000" lockStructure="1"/>
  <bookViews>
    <workbookView xWindow="-120" yWindow="-120" windowWidth="29040" windowHeight="15840" tabRatio="632"/>
  </bookViews>
  <sheets>
    <sheet name="Vejledning" sheetId="11" r:id="rId1"/>
    <sheet name="Risikoanalyse" sheetId="4" r:id="rId2"/>
    <sheet name="Nærmeste risici" sheetId="17" r:id="rId3"/>
    <sheet name="Overblik" sheetId="9" r:id="rId4"/>
    <sheet name="Største risici" sheetId="15" r:id="rId5"/>
    <sheet name="Risici i styringsgrundlag" sheetId="19" r:id="rId6"/>
    <sheet name="Valgfri risici" sheetId="18" r:id="rId7"/>
    <sheet name="Vejledning til formler" sheetId="20" state="hidden" r:id="rId8"/>
    <sheet name="Styringsgrundlag" sheetId="14" state="hidden" r:id="rId9"/>
    <sheet name="Lister" sheetId="5" state="hidden" r:id="rId10"/>
    <sheet name="Data til matrix" sheetId="13" state="hidden" r:id="rId11"/>
    <sheet name="Data til matrix efter tiltag" sheetId="21" state="hidden" r:id="rId12"/>
    <sheet name="Data graf" sheetId="12" state="hidden" r:id="rId13"/>
    <sheet name="Versionshistorik Mads" sheetId="6" state="hidden" r:id="rId1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 hidden="1">Risikoanalyse!$B$14:$F$114</definedName>
    <definedName name="Eskalation">Lister!$E$2:$E$5</definedName>
    <definedName name="janej">Lister!#REF!</definedName>
    <definedName name="Pal_Workbook_GUID" hidden="1">"14F4CWHJQ9SEDHA3FJTZTHWN"</definedName>
    <definedName name="Primaert_formaal">Lister!$G$2:$G$5</definedName>
    <definedName name="Risikokvartal">Lister!$L$30:$L$57</definedName>
    <definedName name="Risikotype">Lister!$A$2:$A$6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1800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TRUE</definedName>
    <definedName name="Skala">Lister!$B$2:$B$6</definedName>
    <definedName name="Startkvartal">Lister!$H$2:$H$30</definedName>
    <definedName name="Status">Lister!$C$2:$C$4</definedName>
    <definedName name="Tiltag">Lister!$F$2:$F$3</definedName>
    <definedName name="_xlnm.Print_Area" localSheetId="2">'Nærmeste risici'!$A$1:$M$18</definedName>
    <definedName name="_xlnm.Print_Area" localSheetId="3">Overblik!$A$1:$O$30</definedName>
    <definedName name="_xlnm.Print_Area" localSheetId="5">'Risici i styringsgrundlag'!$A$1:$M$37</definedName>
    <definedName name="_xlnm.Print_Area" localSheetId="1">Risikoanalyse!$A$1:$W$47</definedName>
    <definedName name="_xlnm.Print_Area" localSheetId="4">'Største risici'!$A$1:$M$34</definedName>
    <definedName name="Vaelg_haandtering">Lister!$D$2:$D$14</definedName>
    <definedName name="Vaelgfase">Lister!$D$2:$D$14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5" i="4" l="1"/>
  <c r="L15" i="4" l="1"/>
  <c r="L16" i="4"/>
  <c r="L17" i="4"/>
  <c r="L18" i="4"/>
  <c r="L19" i="4"/>
  <c r="L20" i="4"/>
  <c r="J15" i="4" l="1"/>
  <c r="J16" i="4" l="1"/>
  <c r="T16" i="4"/>
  <c r="J17" i="4"/>
  <c r="T17" i="4"/>
  <c r="J18" i="4"/>
  <c r="T18" i="4"/>
  <c r="J19" i="4"/>
  <c r="T19" i="4"/>
  <c r="J20" i="4"/>
  <c r="T20" i="4"/>
  <c r="J21" i="4"/>
  <c r="T21" i="4"/>
  <c r="J22" i="4"/>
  <c r="T22" i="4"/>
  <c r="J23" i="4"/>
  <c r="T23" i="4"/>
  <c r="J24" i="4"/>
  <c r="T24" i="4"/>
  <c r="J25" i="4"/>
  <c r="T25" i="4"/>
  <c r="J26" i="4"/>
  <c r="T26" i="4"/>
  <c r="J27" i="4"/>
  <c r="T27" i="4"/>
  <c r="J28" i="4"/>
  <c r="T28" i="4"/>
  <c r="J29" i="4"/>
  <c r="T29" i="4"/>
  <c r="J30" i="4"/>
  <c r="T30" i="4"/>
  <c r="J31" i="4"/>
  <c r="T31" i="4"/>
  <c r="J32" i="4"/>
  <c r="T32" i="4"/>
  <c r="J33" i="4"/>
  <c r="T33" i="4"/>
  <c r="J34" i="4"/>
  <c r="T34" i="4"/>
  <c r="J35" i="4"/>
  <c r="T35" i="4"/>
  <c r="J36" i="4"/>
  <c r="T36" i="4"/>
  <c r="J37" i="4"/>
  <c r="T37" i="4"/>
  <c r="J38" i="4"/>
  <c r="T38" i="4"/>
  <c r="J39" i="4"/>
  <c r="T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H31" i="5" s="1"/>
  <c r="M3" i="5"/>
  <c r="L3" i="5" s="1"/>
  <c r="L2" i="5"/>
  <c r="H3" i="5"/>
  <c r="H16" i="5" l="1"/>
  <c r="H7" i="5"/>
  <c r="H24" i="5"/>
  <c r="H30" i="5"/>
  <c r="H5" i="5"/>
  <c r="H23" i="5"/>
  <c r="H6" i="5"/>
  <c r="H21" i="5"/>
  <c r="H28" i="5"/>
  <c r="H20" i="5"/>
  <c r="H12" i="5"/>
  <c r="H4" i="5"/>
  <c r="H8" i="5"/>
  <c r="H22" i="5"/>
  <c r="H29" i="5"/>
  <c r="H27" i="5"/>
  <c r="H19" i="5"/>
  <c r="H11" i="5"/>
  <c r="H15" i="5"/>
  <c r="H14" i="5"/>
  <c r="H13" i="5"/>
  <c r="H26" i="5"/>
  <c r="H18" i="5"/>
  <c r="H10" i="5"/>
  <c r="H25" i="5"/>
  <c r="H17" i="5"/>
  <c r="H9" i="5"/>
  <c r="I32" i="5"/>
  <c r="H32" i="5" s="1"/>
  <c r="L20" i="9"/>
  <c r="L21" i="9"/>
  <c r="L22" i="9"/>
  <c r="E26" i="21"/>
  <c r="A26" i="21" s="1"/>
  <c r="E27" i="21"/>
  <c r="E28" i="21"/>
  <c r="E29" i="21"/>
  <c r="E30" i="21"/>
  <c r="E31" i="21"/>
  <c r="E32" i="21"/>
  <c r="E33" i="21"/>
  <c r="E34" i="21"/>
  <c r="E35" i="21"/>
  <c r="E36" i="21"/>
  <c r="E37" i="21"/>
  <c r="E38" i="21"/>
  <c r="E39" i="21"/>
  <c r="A39" i="21" s="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D2"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E25" i="21" s="1"/>
  <c r="C24" i="21"/>
  <c r="E24" i="21" s="1"/>
  <c r="C23" i="21"/>
  <c r="E23" i="21" s="1"/>
  <c r="C22" i="21"/>
  <c r="E22" i="21" s="1"/>
  <c r="C21" i="21"/>
  <c r="E21" i="21" s="1"/>
  <c r="C20" i="21"/>
  <c r="E20" i="21" s="1"/>
  <c r="C19" i="21"/>
  <c r="E19" i="21" s="1"/>
  <c r="C18" i="21"/>
  <c r="E18" i="21" s="1"/>
  <c r="C17" i="21"/>
  <c r="E17" i="21" s="1"/>
  <c r="C16" i="21"/>
  <c r="E16" i="21" s="1"/>
  <c r="C15" i="21"/>
  <c r="E15" i="21" s="1"/>
  <c r="C14" i="21"/>
  <c r="E14" i="21" s="1"/>
  <c r="C13" i="21"/>
  <c r="E13" i="21" s="1"/>
  <c r="C12" i="21"/>
  <c r="E12" i="21" s="1"/>
  <c r="C11" i="21"/>
  <c r="E11" i="21" s="1"/>
  <c r="C10" i="21"/>
  <c r="E10" i="21" s="1"/>
  <c r="C9" i="21"/>
  <c r="E9" i="21" s="1"/>
  <c r="C8" i="21"/>
  <c r="E8" i="21" s="1"/>
  <c r="C7" i="21"/>
  <c r="E7" i="21" s="1"/>
  <c r="I6" i="21"/>
  <c r="H6" i="21"/>
  <c r="C6" i="21"/>
  <c r="E6" i="21" s="1"/>
  <c r="A6" i="21" s="1"/>
  <c r="L5" i="21"/>
  <c r="K5" i="21"/>
  <c r="J5" i="21"/>
  <c r="I5" i="21"/>
  <c r="H5" i="21"/>
  <c r="C5" i="21"/>
  <c r="E5" i="21" s="1"/>
  <c r="L4" i="21"/>
  <c r="K4" i="21"/>
  <c r="J4" i="21"/>
  <c r="I4" i="21"/>
  <c r="H4" i="21"/>
  <c r="C4" i="21"/>
  <c r="E4" i="21" s="1"/>
  <c r="L3" i="21"/>
  <c r="K3" i="21"/>
  <c r="J3" i="21"/>
  <c r="I3" i="21"/>
  <c r="H3" i="21"/>
  <c r="C3" i="21"/>
  <c r="E3" i="21" s="1"/>
  <c r="L2" i="21"/>
  <c r="K2" i="21"/>
  <c r="J2" i="21"/>
  <c r="I2" i="21"/>
  <c r="H2" i="21"/>
  <c r="C2" i="21"/>
  <c r="E2" i="21" s="1"/>
  <c r="C1" i="21"/>
  <c r="E1" i="21" s="1"/>
  <c r="A22" i="21" l="1"/>
  <c r="A19" i="21"/>
  <c r="A20" i="21"/>
  <c r="A55" i="21"/>
  <c r="A75" i="21"/>
  <c r="A71" i="21"/>
  <c r="A63" i="21"/>
  <c r="A59" i="21"/>
  <c r="A83" i="21"/>
  <c r="A67" i="21"/>
  <c r="A79" i="21"/>
  <c r="A87" i="21"/>
  <c r="I33" i="5"/>
  <c r="H33" i="5" s="1"/>
  <c r="A4" i="21"/>
  <c r="A93" i="21"/>
  <c r="A30" i="21"/>
  <c r="A46" i="21"/>
  <c r="A14" i="21"/>
  <c r="A42" i="21"/>
  <c r="A50" i="21"/>
  <c r="A54" i="21"/>
  <c r="A58" i="21"/>
  <c r="A62" i="21"/>
  <c r="A66" i="21"/>
  <c r="A2" i="21"/>
  <c r="A70" i="21"/>
  <c r="A74" i="21"/>
  <c r="A78" i="21"/>
  <c r="A82" i="21"/>
  <c r="A86" i="21"/>
  <c r="A95" i="21"/>
  <c r="A31" i="21"/>
  <c r="A94" i="21"/>
  <c r="A90" i="21"/>
  <c r="A91" i="21"/>
  <c r="A25" i="21"/>
  <c r="A21" i="21"/>
  <c r="A8" i="21"/>
  <c r="A16" i="21"/>
  <c r="A32" i="21"/>
  <c r="A12" i="21"/>
  <c r="A92" i="21"/>
  <c r="A96" i="21"/>
  <c r="A100" i="21"/>
  <c r="A98" i="21"/>
  <c r="A97" i="21"/>
  <c r="A9" i="21"/>
  <c r="A29" i="21"/>
  <c r="A33" i="21"/>
  <c r="A1" i="21"/>
  <c r="A37" i="21"/>
  <c r="A35" i="21"/>
  <c r="A43" i="21"/>
  <c r="A47" i="21"/>
  <c r="A51" i="21"/>
  <c r="A99" i="21"/>
  <c r="A41" i="21"/>
  <c r="A11" i="21"/>
  <c r="A73" i="21"/>
  <c r="A13" i="21"/>
  <c r="A15" i="21"/>
  <c r="A17" i="21"/>
  <c r="A72" i="21"/>
  <c r="A45" i="21"/>
  <c r="A81" i="21"/>
  <c r="A44" i="21"/>
  <c r="A80" i="21"/>
  <c r="A23" i="21"/>
  <c r="A28" i="21"/>
  <c r="A69" i="21"/>
  <c r="A76" i="21"/>
  <c r="A85" i="21"/>
  <c r="A10" i="21"/>
  <c r="A68" i="21"/>
  <c r="A77" i="21"/>
  <c r="A84" i="21"/>
  <c r="A3" i="21"/>
  <c r="A7" i="21"/>
  <c r="A24" i="21"/>
  <c r="A36" i="21"/>
  <c r="A40" i="21"/>
  <c r="A48" i="21"/>
  <c r="A53" i="21"/>
  <c r="A56" i="21"/>
  <c r="A61" i="21"/>
  <c r="A64" i="21"/>
  <c r="A89" i="21"/>
  <c r="A27" i="21"/>
  <c r="A34" i="21"/>
  <c r="A38" i="21"/>
  <c r="A49" i="21"/>
  <c r="A52" i="21"/>
  <c r="A57" i="21"/>
  <c r="A60" i="21"/>
  <c r="A65" i="21"/>
  <c r="A88" i="21"/>
  <c r="A5" i="21"/>
  <c r="A18" i="21"/>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A73" i="13" s="1"/>
  <c r="C74" i="13"/>
  <c r="E74" i="13"/>
  <c r="C75" i="13"/>
  <c r="E75" i="13"/>
  <c r="C76" i="13"/>
  <c r="E76" i="13"/>
  <c r="C77" i="13"/>
  <c r="E77" i="13"/>
  <c r="A77" i="13" s="1"/>
  <c r="C78" i="13"/>
  <c r="E78" i="13"/>
  <c r="C79" i="13"/>
  <c r="E79" i="13"/>
  <c r="C80" i="13"/>
  <c r="E80" i="13"/>
  <c r="C81" i="13"/>
  <c r="E81" i="13"/>
  <c r="A81" i="13" s="1"/>
  <c r="C82" i="13"/>
  <c r="E82" i="13"/>
  <c r="C83" i="13"/>
  <c r="E83" i="13"/>
  <c r="C84" i="13"/>
  <c r="E84" i="13"/>
  <c r="C85" i="13"/>
  <c r="E85" i="13"/>
  <c r="A85" i="13" s="1"/>
  <c r="C86" i="13"/>
  <c r="E86" i="13"/>
  <c r="C87" i="13"/>
  <c r="E87" i="13"/>
  <c r="C88" i="13"/>
  <c r="E88" i="13"/>
  <c r="C89" i="13"/>
  <c r="E89" i="13"/>
  <c r="A89" i="13" s="1"/>
  <c r="C90" i="13"/>
  <c r="E90" i="13"/>
  <c r="C91" i="13"/>
  <c r="E91" i="13"/>
  <c r="C92" i="13"/>
  <c r="E92" i="13"/>
  <c r="C93" i="13"/>
  <c r="E93" i="13"/>
  <c r="C94" i="13"/>
  <c r="E94" i="13"/>
  <c r="C95" i="13"/>
  <c r="E95" i="13"/>
  <c r="C96" i="13"/>
  <c r="E96" i="13"/>
  <c r="C97" i="13"/>
  <c r="E97" i="13"/>
  <c r="C98" i="13"/>
  <c r="E98" i="13"/>
  <c r="C99" i="13"/>
  <c r="E99" i="13"/>
  <c r="C100" i="13"/>
  <c r="E100" i="13"/>
  <c r="I34" i="5" l="1"/>
  <c r="H34" i="5" s="1"/>
  <c r="M27" i="21" a="1"/>
  <c r="M27" i="21" s="1"/>
  <c r="J16" i="21" a="1"/>
  <c r="J16" i="21" s="1"/>
  <c r="N18" i="21" a="1"/>
  <c r="N18" i="21" s="1"/>
  <c r="G13" i="21" a="1"/>
  <c r="G13" i="21" s="1"/>
  <c r="Q15" i="21" a="1"/>
  <c r="Q15" i="21" s="1"/>
  <c r="P18" i="21" a="1"/>
  <c r="P18" i="21" s="1"/>
  <c r="P22" i="21" a="1"/>
  <c r="P22" i="21" s="1"/>
  <c r="Q25" i="21" a="1"/>
  <c r="Q25" i="21" s="1"/>
  <c r="G17" i="21" a="1"/>
  <c r="G17" i="21" s="1"/>
  <c r="M14" i="21" a="1"/>
  <c r="M14" i="21" s="1"/>
  <c r="P29" i="21" a="1"/>
  <c r="P29" i="21" s="1"/>
  <c r="N26" i="21" a="1"/>
  <c r="N26" i="21" s="1"/>
  <c r="M24" i="21" a="1"/>
  <c r="M24" i="21" s="1"/>
  <c r="J14" i="21" a="1"/>
  <c r="J14" i="21" s="1"/>
  <c r="Q28" i="21" a="1"/>
  <c r="Q28" i="21" s="1"/>
  <c r="P15" i="21" a="1"/>
  <c r="P15" i="21" s="1"/>
  <c r="O11" i="21" a="1"/>
  <c r="O11" i="21" s="1"/>
  <c r="H13" i="21" a="1"/>
  <c r="H13" i="21" s="1"/>
  <c r="J26" i="21" a="1"/>
  <c r="J26" i="21" s="1"/>
  <c r="N23" i="21" a="1"/>
  <c r="N23" i="21" s="1"/>
  <c r="Q29" i="21" a="1"/>
  <c r="Q29" i="21" s="1"/>
  <c r="Q17" i="21" a="1"/>
  <c r="Q17" i="21" s="1"/>
  <c r="H11" i="21" a="1"/>
  <c r="H11" i="21" s="1"/>
  <c r="J28" i="21" a="1"/>
  <c r="J28" i="21" s="1"/>
  <c r="J23" i="21" a="1"/>
  <c r="J23" i="21" s="1"/>
  <c r="Q22" i="21" a="1"/>
  <c r="Q22" i="21" s="1"/>
  <c r="M23" i="21" a="1"/>
  <c r="M23" i="21" s="1"/>
  <c r="K14" i="21" a="1"/>
  <c r="K14" i="21" s="1"/>
  <c r="K19" i="21" a="1"/>
  <c r="K19" i="21" s="1"/>
  <c r="O15" i="21" a="1"/>
  <c r="O15" i="21" s="1"/>
  <c r="O13" i="21" a="1"/>
  <c r="O13" i="21" s="1"/>
  <c r="Q27" i="21" a="1"/>
  <c r="Q27" i="21" s="1"/>
  <c r="H17" i="21" a="1"/>
  <c r="H17" i="21" s="1"/>
  <c r="K15" i="21" a="1"/>
  <c r="K15" i="21" s="1"/>
  <c r="G14" i="21" a="1"/>
  <c r="G14" i="21" s="1"/>
  <c r="P12" i="21" a="1"/>
  <c r="P12" i="21" s="1"/>
  <c r="P24" i="21" a="1"/>
  <c r="P24" i="21" s="1"/>
  <c r="P26" i="21" a="1"/>
  <c r="P26" i="21" s="1"/>
  <c r="P30" i="21" a="1"/>
  <c r="P30" i="21" s="1"/>
  <c r="J22" i="21" a="1"/>
  <c r="J22" i="21" s="1"/>
  <c r="J29" i="21" a="1"/>
  <c r="J29" i="21" s="1"/>
  <c r="J18" i="21" a="1"/>
  <c r="J18" i="21" s="1"/>
  <c r="N24" i="21" a="1"/>
  <c r="N24" i="21" s="1"/>
  <c r="N28" i="21" a="1"/>
  <c r="N28" i="21" s="1"/>
  <c r="P17" i="21" a="1"/>
  <c r="P17" i="21" s="1"/>
  <c r="I23" i="21" a="1"/>
  <c r="I23" i="21" s="1"/>
  <c r="Q30" i="21" a="1"/>
  <c r="Q30" i="21" s="1"/>
  <c r="Q16" i="21" a="1"/>
  <c r="Q16" i="21" s="1"/>
  <c r="Q26" i="21" a="1"/>
  <c r="Q26" i="21" s="1"/>
  <c r="M25" i="21" a="1"/>
  <c r="M25" i="21" s="1"/>
  <c r="Q24" i="21" a="1"/>
  <c r="Q24" i="21" s="1"/>
  <c r="M29" i="21" a="1"/>
  <c r="M29" i="21" s="1"/>
  <c r="K18" i="21" a="1"/>
  <c r="K18" i="21" s="1"/>
  <c r="K16" i="21" a="1"/>
  <c r="K16" i="21" s="1"/>
  <c r="H14" i="21" a="1"/>
  <c r="H14" i="21" s="1"/>
  <c r="I17" i="21" a="1"/>
  <c r="I17" i="21" s="1"/>
  <c r="I15" i="21" a="1"/>
  <c r="I15" i="21" s="1"/>
  <c r="N12" i="21" a="1"/>
  <c r="N12" i="21" s="1"/>
  <c r="G18" i="21" a="1"/>
  <c r="G18" i="21" s="1"/>
  <c r="P16" i="21" a="1"/>
  <c r="P16" i="21" s="1"/>
  <c r="H15" i="21" a="1"/>
  <c r="H15" i="21" s="1"/>
  <c r="Q13" i="21" a="1"/>
  <c r="Q13" i="21" s="1"/>
  <c r="G12" i="21" a="1"/>
  <c r="G12" i="21" s="1"/>
  <c r="P28" i="21" a="1"/>
  <c r="P28" i="21" s="1"/>
  <c r="P25" i="21" a="1"/>
  <c r="P25" i="21" s="1"/>
  <c r="J24" i="21" a="1"/>
  <c r="J24" i="21" s="1"/>
  <c r="J27" i="21" a="1"/>
  <c r="J27" i="21" s="1"/>
  <c r="J30" i="21" a="1"/>
  <c r="J30" i="21" s="1"/>
  <c r="J19" i="21" a="1"/>
  <c r="J19" i="21" s="1"/>
  <c r="N27" i="21" a="1"/>
  <c r="N27" i="21" s="1"/>
  <c r="N22" i="21" a="1"/>
  <c r="N22" i="21" s="1"/>
  <c r="H19" i="21" a="1"/>
  <c r="H19" i="21" s="1"/>
  <c r="O17" i="21" a="1"/>
  <c r="O17" i="21" s="1"/>
  <c r="M28" i="21" a="1"/>
  <c r="M28" i="21" s="1"/>
  <c r="M26" i="21" a="1"/>
  <c r="M26" i="21" s="1"/>
  <c r="Q23" i="21" a="1"/>
  <c r="Q23" i="21" s="1"/>
  <c r="M22" i="21" a="1"/>
  <c r="M22" i="21" s="1"/>
  <c r="M30" i="21" a="1"/>
  <c r="M30" i="21" s="1"/>
  <c r="N17" i="21" a="1"/>
  <c r="N17" i="21" s="1"/>
  <c r="H16" i="21" a="1"/>
  <c r="H16" i="21" s="1"/>
  <c r="P13" i="21" a="1"/>
  <c r="P13" i="21" s="1"/>
  <c r="N16" i="21" a="1"/>
  <c r="N16" i="21" s="1"/>
  <c r="N14" i="21" a="1"/>
  <c r="N14" i="21" s="1"/>
  <c r="J12" i="21" a="1"/>
  <c r="J12" i="21" s="1"/>
  <c r="G19" i="21" a="1"/>
  <c r="G19" i="21" s="1"/>
  <c r="M16" i="21" a="1"/>
  <c r="M16" i="21" s="1"/>
  <c r="P14" i="21" a="1"/>
  <c r="P14" i="21" s="1"/>
  <c r="K13" i="21" a="1"/>
  <c r="K13" i="21" s="1"/>
  <c r="K11" i="21" a="1"/>
  <c r="K11" i="21" s="1"/>
  <c r="P23" i="21" a="1"/>
  <c r="P23" i="21" s="1"/>
  <c r="P27" i="21" a="1"/>
  <c r="P27" i="21" s="1"/>
  <c r="J25" i="21" a="1"/>
  <c r="J25" i="21" s="1"/>
  <c r="N19" i="21" a="1"/>
  <c r="N19" i="21" s="1"/>
  <c r="N25" i="21" a="1"/>
  <c r="N25" i="21" s="1"/>
  <c r="N29" i="21" a="1"/>
  <c r="N29" i="21" s="1"/>
  <c r="N30" i="21" a="1"/>
  <c r="N30" i="21" s="1"/>
  <c r="H18" i="21" a="1"/>
  <c r="H18" i="21" s="1"/>
  <c r="G16" i="21" a="1"/>
  <c r="G16" i="21" s="1"/>
  <c r="O14" i="21" a="1"/>
  <c r="O14" i="21" s="1"/>
  <c r="O12" i="21" a="1"/>
  <c r="O12" i="21" s="1"/>
  <c r="H34" i="21" a="1"/>
  <c r="H34" i="21" s="1"/>
  <c r="H41" i="21" a="1"/>
  <c r="H41" i="21" s="1"/>
  <c r="H39" i="21" a="1"/>
  <c r="H39" i="21" s="1"/>
  <c r="O24" i="21" a="1"/>
  <c r="O24" i="21" s="1"/>
  <c r="O29" i="21" a="1"/>
  <c r="O29" i="21" s="1"/>
  <c r="I26" i="21" a="1"/>
  <c r="I26" i="21" s="1"/>
  <c r="I28" i="21" a="1"/>
  <c r="I28" i="21" s="1"/>
  <c r="Q19" i="21" a="1"/>
  <c r="Q19" i="21" s="1"/>
  <c r="M18" i="21" a="1"/>
  <c r="M18" i="21" s="1"/>
  <c r="K12" i="21" a="1"/>
  <c r="K12" i="21" s="1"/>
  <c r="G40" i="21" a="1"/>
  <c r="G40" i="21" s="1"/>
  <c r="G38" i="21" a="1"/>
  <c r="G38" i="21" s="1"/>
  <c r="H27" i="21" a="1"/>
  <c r="H27" i="21" s="1"/>
  <c r="H29" i="21" a="1"/>
  <c r="H29" i="21" s="1"/>
  <c r="K22" i="21" a="1"/>
  <c r="K22" i="21" s="1"/>
  <c r="K24" i="21" a="1"/>
  <c r="K24" i="21" s="1"/>
  <c r="K30" i="21" a="1"/>
  <c r="K30" i="21" s="1"/>
  <c r="G29" i="21" a="1"/>
  <c r="G29" i="21" s="1"/>
  <c r="G30" i="21" a="1"/>
  <c r="G30" i="21" s="1"/>
  <c r="J17" i="21" a="1"/>
  <c r="J17" i="21" s="1"/>
  <c r="Q11" i="21" a="1"/>
  <c r="Q11" i="21" s="1"/>
  <c r="M11" i="21" a="1"/>
  <c r="M11" i="21" s="1"/>
  <c r="K34" i="21" a="1"/>
  <c r="K34" i="21" s="1"/>
  <c r="K39" i="21" a="1"/>
  <c r="K39" i="21" s="1"/>
  <c r="J36" i="21" a="1"/>
  <c r="J36" i="21" s="1"/>
  <c r="K33" i="21" a="1"/>
  <c r="K33" i="21" s="1"/>
  <c r="J39" i="21" a="1"/>
  <c r="J39" i="21" s="1"/>
  <c r="J34" i="21" a="1"/>
  <c r="J34" i="21" s="1"/>
  <c r="I40" i="21" a="1"/>
  <c r="I40" i="21" s="1"/>
  <c r="O16" i="21" a="1"/>
  <c r="O16" i="21" s="1"/>
  <c r="I14" i="21" a="1"/>
  <c r="I14" i="21" s="1"/>
  <c r="I12" i="21" a="1"/>
  <c r="I12" i="21" s="1"/>
  <c r="H38" i="21" a="1"/>
  <c r="H38" i="21" s="1"/>
  <c r="H36" i="21" a="1"/>
  <c r="H36" i="21" s="1"/>
  <c r="O22" i="21" a="1"/>
  <c r="O22" i="21" s="1"/>
  <c r="O27" i="21" a="1"/>
  <c r="O27" i="21" s="1"/>
  <c r="O30" i="21" a="1"/>
  <c r="O30" i="21" s="1"/>
  <c r="I22" i="21" a="1"/>
  <c r="I22" i="21" s="1"/>
  <c r="I24" i="21" a="1"/>
  <c r="I24" i="21" s="1"/>
  <c r="Q18" i="21" a="1"/>
  <c r="Q18" i="21" s="1"/>
  <c r="I19" i="21" a="1"/>
  <c r="I19" i="21" s="1"/>
  <c r="G11" i="21" a="1"/>
  <c r="G11" i="21" s="1"/>
  <c r="G41" i="21" a="1"/>
  <c r="G41" i="21" s="1"/>
  <c r="G39" i="21" a="1"/>
  <c r="G39" i="21" s="1"/>
  <c r="H24" i="21" a="1"/>
  <c r="H24" i="21" s="1"/>
  <c r="H22" i="21" a="1"/>
  <c r="H22" i="21" s="1"/>
  <c r="K28" i="21" a="1"/>
  <c r="K28" i="21" s="1"/>
  <c r="K26" i="21" a="1"/>
  <c r="K26" i="21" s="1"/>
  <c r="G24" i="21" a="1"/>
  <c r="G24" i="21" s="1"/>
  <c r="G22" i="21" a="1"/>
  <c r="G22" i="21" s="1"/>
  <c r="O19" i="21" a="1"/>
  <c r="O19" i="21" s="1"/>
  <c r="H12" i="21" a="1"/>
  <c r="H12" i="21" s="1"/>
  <c r="M12" i="21" a="1"/>
  <c r="M12" i="21" s="1"/>
  <c r="Q12" i="21" a="1"/>
  <c r="Q12" i="21" s="1"/>
  <c r="K35" i="21" a="1"/>
  <c r="K35" i="21" s="1"/>
  <c r="J41" i="21" a="1"/>
  <c r="J41" i="21" s="1"/>
  <c r="I38" i="21" a="1"/>
  <c r="I38" i="21" s="1"/>
  <c r="J35" i="21" a="1"/>
  <c r="J35" i="21" s="1"/>
  <c r="K40" i="21" a="1"/>
  <c r="K40" i="21" s="1"/>
  <c r="I36" i="21" a="1"/>
  <c r="I36" i="21" s="1"/>
  <c r="I41" i="21" a="1"/>
  <c r="I41" i="21" s="1"/>
  <c r="P19" i="21" a="1"/>
  <c r="P19" i="21" s="1"/>
  <c r="O18" i="21" a="1"/>
  <c r="O18" i="21" s="1"/>
  <c r="I16" i="21" a="1"/>
  <c r="I16" i="21" s="1"/>
  <c r="N13" i="21" a="1"/>
  <c r="N13" i="21" s="1"/>
  <c r="N11" i="21" a="1"/>
  <c r="N11" i="21" s="1"/>
  <c r="H33" i="21" a="1"/>
  <c r="H33" i="21" s="1"/>
  <c r="H40" i="21" a="1"/>
  <c r="H40" i="21" s="1"/>
  <c r="O25" i="21" a="1"/>
  <c r="O25" i="21" s="1"/>
  <c r="O23" i="21" a="1"/>
  <c r="O23" i="21" s="1"/>
  <c r="I27" i="21" a="1"/>
  <c r="I27" i="21" s="1"/>
  <c r="I29" i="21" a="1"/>
  <c r="I29" i="21" s="1"/>
  <c r="M17" i="21" a="1"/>
  <c r="M17" i="21" s="1"/>
  <c r="I18" i="21" a="1"/>
  <c r="I18" i="21" s="1"/>
  <c r="G36" i="21" a="1"/>
  <c r="G36" i="21" s="1"/>
  <c r="G34" i="21" a="1"/>
  <c r="G34" i="21" s="1"/>
  <c r="G33" i="21" a="1"/>
  <c r="G33" i="21" s="1"/>
  <c r="H28" i="21" a="1"/>
  <c r="H28" i="21" s="1"/>
  <c r="H26" i="21" a="1"/>
  <c r="H26" i="21" s="1"/>
  <c r="K29" i="21" a="1"/>
  <c r="K29" i="21" s="1"/>
  <c r="K23" i="21" a="1"/>
  <c r="K23" i="21" s="1"/>
  <c r="G28" i="21" a="1"/>
  <c r="G28" i="21" s="1"/>
  <c r="G26" i="21" a="1"/>
  <c r="G26" i="21" s="1"/>
  <c r="K17" i="21" a="1"/>
  <c r="K17" i="21" s="1"/>
  <c r="M13" i="21" a="1"/>
  <c r="M13" i="21" s="1"/>
  <c r="I11" i="21" a="1"/>
  <c r="I11" i="21" s="1"/>
  <c r="M15" i="21" a="1"/>
  <c r="M15" i="21" s="1"/>
  <c r="J37" i="21" a="1"/>
  <c r="J37" i="21" s="1"/>
  <c r="I34" i="21" a="1"/>
  <c r="I34" i="21" s="1"/>
  <c r="I39" i="21" a="1"/>
  <c r="I39" i="21" s="1"/>
  <c r="K36" i="21" a="1"/>
  <c r="K36" i="21" s="1"/>
  <c r="K41" i="21" a="1"/>
  <c r="K41" i="21" s="1"/>
  <c r="I37" i="21" a="1"/>
  <c r="I37" i="21" s="1"/>
  <c r="N15" i="21" a="1"/>
  <c r="N15" i="21" s="1"/>
  <c r="J15" i="21" a="1"/>
  <c r="J15" i="21" s="1"/>
  <c r="J13" i="21" a="1"/>
  <c r="J13" i="21" s="1"/>
  <c r="J11" i="21" a="1"/>
  <c r="J11" i="21" s="1"/>
  <c r="H37" i="21" a="1"/>
  <c r="H37" i="21" s="1"/>
  <c r="H35" i="21" a="1"/>
  <c r="H35" i="21" s="1"/>
  <c r="O26" i="21" a="1"/>
  <c r="O26" i="21" s="1"/>
  <c r="O28" i="21" a="1"/>
  <c r="O28" i="21" s="1"/>
  <c r="I25" i="21" a="1"/>
  <c r="I25" i="21" s="1"/>
  <c r="I30" i="21" a="1"/>
  <c r="I30" i="21" s="1"/>
  <c r="M19" i="21" a="1"/>
  <c r="M19" i="21" s="1"/>
  <c r="G15" i="21" a="1"/>
  <c r="G15" i="21" s="1"/>
  <c r="G37" i="21" a="1"/>
  <c r="G37" i="21" s="1"/>
  <c r="G35" i="21" a="1"/>
  <c r="G35" i="21" s="1"/>
  <c r="H25" i="21" a="1"/>
  <c r="H25" i="21" s="1"/>
  <c r="H23" i="21" a="1"/>
  <c r="H23" i="21" s="1"/>
  <c r="H30" i="21" a="1"/>
  <c r="H30" i="21" s="1"/>
  <c r="K25" i="21" a="1"/>
  <c r="K25" i="21" s="1"/>
  <c r="K27" i="21" a="1"/>
  <c r="K27" i="21" s="1"/>
  <c r="G23" i="21" a="1"/>
  <c r="G23" i="21" s="1"/>
  <c r="G25" i="21" a="1"/>
  <c r="G25" i="21" s="1"/>
  <c r="P11" i="21" a="1"/>
  <c r="P11" i="21" s="1"/>
  <c r="Q14" i="21" a="1"/>
  <c r="Q14" i="21" s="1"/>
  <c r="I13" i="21" a="1"/>
  <c r="I13" i="21" s="1"/>
  <c r="J33" i="21" a="1"/>
  <c r="J33" i="21" s="1"/>
  <c r="K38" i="21" a="1"/>
  <c r="K38" i="21" s="1"/>
  <c r="I35" i="21" a="1"/>
  <c r="I35" i="21" s="1"/>
  <c r="J40" i="21" a="1"/>
  <c r="J40" i="21" s="1"/>
  <c r="K37" i="21" a="1"/>
  <c r="K37" i="21" s="1"/>
  <c r="I33" i="21" a="1"/>
  <c r="I33" i="21" s="1"/>
  <c r="J38" i="21" a="1"/>
  <c r="J38" i="21" s="1"/>
  <c r="A53" i="13"/>
  <c r="A69" i="13"/>
  <c r="A61" i="13"/>
  <c r="A65" i="13"/>
  <c r="A57" i="13"/>
  <c r="A97" i="13"/>
  <c r="A93" i="13"/>
  <c r="A100" i="13"/>
  <c r="A96" i="13"/>
  <c r="A92" i="13"/>
  <c r="A88" i="13"/>
  <c r="A84" i="13"/>
  <c r="A80" i="13"/>
  <c r="A76" i="13"/>
  <c r="A72" i="13"/>
  <c r="A68" i="13"/>
  <c r="A64" i="13"/>
  <c r="A60" i="13"/>
  <c r="A56" i="13"/>
  <c r="A98" i="13"/>
  <c r="A94" i="13"/>
  <c r="A90" i="13"/>
  <c r="A86" i="13"/>
  <c r="A82" i="13"/>
  <c r="A78" i="13"/>
  <c r="A74" i="13"/>
  <c r="A70" i="13"/>
  <c r="A66" i="13"/>
  <c r="A62" i="13"/>
  <c r="A58" i="13"/>
  <c r="A54" i="13"/>
  <c r="A99" i="13"/>
  <c r="A95" i="13"/>
  <c r="A91" i="13"/>
  <c r="A87" i="13"/>
  <c r="A83" i="13"/>
  <c r="A79" i="13"/>
  <c r="A75" i="13"/>
  <c r="A71" i="13"/>
  <c r="A67" i="13"/>
  <c r="A63" i="13"/>
  <c r="A59" i="13"/>
  <c r="A55" i="13"/>
  <c r="A51" i="13"/>
  <c r="A52" i="13"/>
  <c r="I35" i="5" l="1"/>
  <c r="H35" i="5" s="1"/>
  <c r="R6" i="21"/>
  <c r="F22" i="9" s="1"/>
  <c r="S3" i="21"/>
  <c r="G19" i="9" s="1"/>
  <c r="Q5" i="21"/>
  <c r="E21" i="9" s="1"/>
  <c r="T2" i="21"/>
  <c r="H18" i="9" s="1"/>
  <c r="P5" i="21"/>
  <c r="D21" i="9" s="1"/>
  <c r="T5" i="21"/>
  <c r="H21" i="9" s="1"/>
  <c r="S4" i="21"/>
  <c r="G20" i="9" s="1"/>
  <c r="S5" i="21"/>
  <c r="G21" i="9" s="1"/>
  <c r="S6" i="21"/>
  <c r="G22" i="9" s="1"/>
  <c r="Q2" i="21"/>
  <c r="E18" i="9" s="1"/>
  <c r="R3" i="21"/>
  <c r="F19" i="9" s="1"/>
  <c r="T4" i="21"/>
  <c r="H20" i="9" s="1"/>
  <c r="S2" i="21"/>
  <c r="G18" i="9" s="1"/>
  <c r="Q6" i="21"/>
  <c r="E22" i="9" s="1"/>
  <c r="T6" i="21"/>
  <c r="H22" i="9" s="1"/>
  <c r="P3" i="21"/>
  <c r="D19" i="9" s="1"/>
  <c r="R2" i="21"/>
  <c r="F18" i="9" s="1"/>
  <c r="Q3" i="21"/>
  <c r="E19" i="9" s="1"/>
  <c r="R5" i="21"/>
  <c r="F21" i="9" s="1"/>
  <c r="T3" i="21"/>
  <c r="H19" i="9" s="1"/>
  <c r="P6" i="21"/>
  <c r="D22" i="9" s="1"/>
  <c r="P4" i="21"/>
  <c r="D20" i="9" s="1"/>
  <c r="Q4" i="21"/>
  <c r="E20" i="9" s="1"/>
  <c r="P2" i="21"/>
  <c r="D18" i="9" s="1"/>
  <c r="R4" i="21"/>
  <c r="F20" i="9" s="1"/>
  <c r="I36" i="5" l="1"/>
  <c r="H36" i="5" s="1"/>
  <c r="C12" i="18"/>
  <c r="C13" i="18"/>
  <c r="C14" i="18"/>
  <c r="C15" i="18"/>
  <c r="C16" i="18"/>
  <c r="D12" i="18"/>
  <c r="D13" i="18"/>
  <c r="D14" i="18"/>
  <c r="D15" i="18"/>
  <c r="D16" i="18"/>
  <c r="E12" i="18"/>
  <c r="E13" i="18"/>
  <c r="E14" i="18"/>
  <c r="E15" i="18"/>
  <c r="E16" i="18"/>
  <c r="F12" i="18"/>
  <c r="F13" i="18"/>
  <c r="F14" i="18"/>
  <c r="F15" i="18"/>
  <c r="F16" i="18"/>
  <c r="H12" i="18"/>
  <c r="H13" i="18"/>
  <c r="H14" i="18"/>
  <c r="H15" i="18"/>
  <c r="H16" i="18"/>
  <c r="I12" i="18"/>
  <c r="I13" i="18"/>
  <c r="I14" i="18"/>
  <c r="I15" i="18"/>
  <c r="I16" i="18"/>
  <c r="J12" i="18"/>
  <c r="J13" i="18"/>
  <c r="J14" i="18"/>
  <c r="J15" i="18"/>
  <c r="J16" i="18"/>
  <c r="K12" i="18"/>
  <c r="K13" i="18"/>
  <c r="K14" i="18"/>
  <c r="K15" i="18"/>
  <c r="K16" i="18"/>
  <c r="L12" i="18"/>
  <c r="L13" i="18"/>
  <c r="L14" i="18"/>
  <c r="L15" i="18"/>
  <c r="L16" i="18"/>
  <c r="I37" i="5" l="1"/>
  <c r="H37" i="5" s="1"/>
  <c r="G14" i="18"/>
  <c r="G15" i="18"/>
  <c r="G13" i="18"/>
  <c r="G16" i="18"/>
  <c r="G12" i="18"/>
  <c r="I38" i="5" l="1"/>
  <c r="H38" i="5" s="1"/>
  <c r="G32" i="15" a="1"/>
  <c r="G32" i="15" s="1"/>
  <c r="B32" i="15" s="1"/>
  <c r="G30" i="15" a="1"/>
  <c r="G30" i="15" s="1"/>
  <c r="B30" i="15" s="1"/>
  <c r="G31" i="15" a="1"/>
  <c r="G31" i="15" s="1"/>
  <c r="B31" i="15" s="1"/>
  <c r="G29" i="15" a="1"/>
  <c r="G29" i="15" s="1"/>
  <c r="B29" i="15" s="1"/>
  <c r="G28" i="15" a="1"/>
  <c r="G28" i="15" s="1"/>
  <c r="B28" i="15" s="1"/>
  <c r="G24" i="15" a="1"/>
  <c r="G24" i="15" s="1"/>
  <c r="G23" i="15" a="1"/>
  <c r="G23" i="15" s="1"/>
  <c r="G27" i="15" a="1"/>
  <c r="G27" i="15" s="1"/>
  <c r="G25" i="15" a="1"/>
  <c r="G25" i="15" s="1"/>
  <c r="G26" i="15" a="1"/>
  <c r="G26" i="15" s="1"/>
  <c r="E24" i="18"/>
  <c r="E21" i="18"/>
  <c r="E22" i="18"/>
  <c r="E23" i="18"/>
  <c r="E25" i="18"/>
  <c r="I39" i="5" l="1"/>
  <c r="H39" i="5" s="1"/>
  <c r="E29" i="15"/>
  <c r="I29" i="15"/>
  <c r="H29" i="15"/>
  <c r="K29" i="15"/>
  <c r="D29" i="15"/>
  <c r="J29" i="15"/>
  <c r="L29" i="15"/>
  <c r="C29" i="15"/>
  <c r="F29" i="15"/>
  <c r="D31" i="15"/>
  <c r="H31" i="15"/>
  <c r="K31" i="15"/>
  <c r="L31" i="15"/>
  <c r="E31" i="15"/>
  <c r="C31" i="15"/>
  <c r="I31" i="15"/>
  <c r="J31" i="15"/>
  <c r="F31" i="15"/>
  <c r="D30" i="15"/>
  <c r="H30" i="15"/>
  <c r="I30" i="15"/>
  <c r="E30" i="15"/>
  <c r="K30" i="15"/>
  <c r="L30" i="15"/>
  <c r="C30" i="15"/>
  <c r="F30" i="15"/>
  <c r="J30" i="15"/>
  <c r="F28" i="15"/>
  <c r="J28" i="15"/>
  <c r="K28" i="15"/>
  <c r="D28" i="15"/>
  <c r="I28" i="15"/>
  <c r="H28" i="15"/>
  <c r="E28" i="15"/>
  <c r="L28" i="15"/>
  <c r="C28" i="15"/>
  <c r="L32" i="15"/>
  <c r="H32" i="15"/>
  <c r="C32" i="15"/>
  <c r="D32" i="15"/>
  <c r="E32" i="15"/>
  <c r="F32" i="15"/>
  <c r="J32" i="15"/>
  <c r="K32" i="15"/>
  <c r="I32" i="15"/>
  <c r="G25" i="18"/>
  <c r="F25" i="18"/>
  <c r="D25" i="18"/>
  <c r="C25" i="18"/>
  <c r="G24" i="18"/>
  <c r="F24" i="18"/>
  <c r="D24" i="18"/>
  <c r="C24" i="18"/>
  <c r="G23" i="18"/>
  <c r="F23" i="18"/>
  <c r="D23" i="18"/>
  <c r="C23" i="18"/>
  <c r="G22" i="18"/>
  <c r="F22" i="18"/>
  <c r="D22" i="18"/>
  <c r="C22" i="18"/>
  <c r="G21" i="18"/>
  <c r="F21" i="18"/>
  <c r="D21" i="18"/>
  <c r="C21" i="18"/>
  <c r="C7" i="18"/>
  <c r="I40" i="5" l="1"/>
  <c r="H40" i="5" s="1"/>
  <c r="J7" i="18"/>
  <c r="J8" i="18"/>
  <c r="J9" i="18"/>
  <c r="J10" i="18"/>
  <c r="J11" i="18"/>
  <c r="I7" i="18"/>
  <c r="I41" i="5" l="1"/>
  <c r="H41" i="5" s="1"/>
  <c r="L23" i="9"/>
  <c r="L24" i="9"/>
  <c r="C5" i="14" a="1"/>
  <c r="C5" i="14" s="1"/>
  <c r="C6" i="14" a="1"/>
  <c r="C6" i="14" s="1"/>
  <c r="C7" i="14" a="1"/>
  <c r="C7" i="14" s="1"/>
  <c r="C8" i="14" a="1"/>
  <c r="C8" i="14" s="1"/>
  <c r="C9" i="14" a="1"/>
  <c r="C9" i="14" s="1"/>
  <c r="C10" i="14" a="1"/>
  <c r="C10" i="14" s="1"/>
  <c r="C11" i="14" a="1"/>
  <c r="C11" i="14" s="1"/>
  <c r="C12" i="14" a="1"/>
  <c r="C12" i="14" s="1"/>
  <c r="C13" i="14" a="1"/>
  <c r="C13" i="14" s="1"/>
  <c r="C14" i="14" a="1"/>
  <c r="C14" i="14" s="1"/>
  <c r="C15" i="14" a="1"/>
  <c r="C15" i="14" s="1"/>
  <c r="C16" i="14" a="1"/>
  <c r="C16" i="14" s="1"/>
  <c r="C17" i="14" a="1"/>
  <c r="C17" i="14" s="1"/>
  <c r="C18" i="14" a="1"/>
  <c r="C18" i="14" s="1"/>
  <c r="C19" i="14" a="1"/>
  <c r="C19" i="14" s="1"/>
  <c r="C20" i="14" a="1"/>
  <c r="C20" i="14" s="1"/>
  <c r="C21" i="14" a="1"/>
  <c r="C21" i="14" s="1"/>
  <c r="C22" i="14" a="1"/>
  <c r="C22" i="14" s="1"/>
  <c r="C23" i="14" a="1"/>
  <c r="C23" i="14" s="1"/>
  <c r="C24" i="14" a="1"/>
  <c r="C24" i="14" s="1"/>
  <c r="C25" i="14" a="1"/>
  <c r="C25" i="14" s="1"/>
  <c r="C26" i="14" a="1"/>
  <c r="C26" i="14" s="1"/>
  <c r="C27" i="14" a="1"/>
  <c r="C27" i="14" s="1"/>
  <c r="C28" i="14" a="1"/>
  <c r="C28" i="14" s="1"/>
  <c r="C29" i="14" a="1"/>
  <c r="C29" i="14" s="1"/>
  <c r="C30" i="14" a="1"/>
  <c r="C30" i="14" s="1"/>
  <c r="C31" i="14" a="1"/>
  <c r="C31" i="14" s="1"/>
  <c r="C32" i="14" a="1"/>
  <c r="C32" i="14" s="1"/>
  <c r="C33" i="14" a="1"/>
  <c r="C33" i="14" s="1"/>
  <c r="C34" i="14" a="1"/>
  <c r="C34" i="14" s="1"/>
  <c r="C35" i="14" a="1"/>
  <c r="C35" i="14" s="1"/>
  <c r="C36" i="14" a="1"/>
  <c r="C36" i="14" s="1"/>
  <c r="C37" i="14" a="1"/>
  <c r="C37" i="14" s="1"/>
  <c r="C38" i="14" a="1"/>
  <c r="C38" i="14" s="1"/>
  <c r="C39" i="14" a="1"/>
  <c r="C39" i="14" s="1"/>
  <c r="C40" i="14" a="1"/>
  <c r="C40" i="14" s="1"/>
  <c r="C41" i="14" a="1"/>
  <c r="C41" i="14" s="1"/>
  <c r="C42" i="14" a="1"/>
  <c r="C42" i="14" s="1"/>
  <c r="C43" i="14" a="1"/>
  <c r="C43" i="14" s="1"/>
  <c r="C44" i="14" a="1"/>
  <c r="C44" i="14" s="1"/>
  <c r="C45" i="14" a="1"/>
  <c r="C45" i="14" s="1"/>
  <c r="C46" i="14" a="1"/>
  <c r="C46" i="14" s="1"/>
  <c r="C47" i="14" a="1"/>
  <c r="C47" i="14" s="1"/>
  <c r="C48" i="14" a="1"/>
  <c r="C48" i="14" s="1"/>
  <c r="C49" i="14" a="1"/>
  <c r="C49" i="14" s="1"/>
  <c r="C50" i="14" a="1"/>
  <c r="C50" i="14" s="1"/>
  <c r="C51" i="14" a="1"/>
  <c r="C51" i="14" s="1"/>
  <c r="C52" i="14" a="1"/>
  <c r="C52" i="14" s="1"/>
  <c r="C53" i="14" a="1"/>
  <c r="C53" i="14" s="1"/>
  <c r="C54" i="14" a="1"/>
  <c r="C54" i="14" s="1"/>
  <c r="C55" i="14" a="1"/>
  <c r="C55" i="14" s="1"/>
  <c r="C56" i="14" a="1"/>
  <c r="C56" i="14" s="1"/>
  <c r="C57" i="14" a="1"/>
  <c r="C57" i="14" s="1"/>
  <c r="C58" i="14" a="1"/>
  <c r="C58" i="14" s="1"/>
  <c r="C59" i="14" a="1"/>
  <c r="C59" i="14" s="1"/>
  <c r="C60" i="14" a="1"/>
  <c r="C60" i="14" s="1"/>
  <c r="C61" i="14" a="1"/>
  <c r="C61" i="14" s="1"/>
  <c r="C62" i="14" a="1"/>
  <c r="C62" i="14" s="1"/>
  <c r="C63" i="14" a="1"/>
  <c r="C63" i="14" s="1"/>
  <c r="C64" i="14" a="1"/>
  <c r="C64" i="14" s="1"/>
  <c r="C65" i="14" a="1"/>
  <c r="C65" i="14" s="1"/>
  <c r="C66" i="14" a="1"/>
  <c r="C66" i="14" s="1"/>
  <c r="C67" i="14" a="1"/>
  <c r="C67" i="14" s="1"/>
  <c r="C68" i="14" a="1"/>
  <c r="C68" i="14" s="1"/>
  <c r="C69" i="14" a="1"/>
  <c r="C69" i="14" s="1"/>
  <c r="C70" i="14" a="1"/>
  <c r="C70" i="14" s="1"/>
  <c r="C71" i="14" a="1"/>
  <c r="C71" i="14" s="1"/>
  <c r="C72" i="14" a="1"/>
  <c r="C72" i="14" s="1"/>
  <c r="C73" i="14" a="1"/>
  <c r="C73" i="14" s="1"/>
  <c r="C74" i="14" a="1"/>
  <c r="C74" i="14" s="1"/>
  <c r="C75" i="14" a="1"/>
  <c r="C75" i="14" s="1"/>
  <c r="C76" i="14" a="1"/>
  <c r="C76" i="14" s="1"/>
  <c r="C77" i="14" a="1"/>
  <c r="C77" i="14" s="1"/>
  <c r="C78" i="14" a="1"/>
  <c r="C78" i="14" s="1"/>
  <c r="C79" i="14" a="1"/>
  <c r="C79" i="14" s="1"/>
  <c r="C80" i="14" a="1"/>
  <c r="C80" i="14" s="1"/>
  <c r="C81" i="14" a="1"/>
  <c r="C81" i="14" s="1"/>
  <c r="C82" i="14" a="1"/>
  <c r="C82" i="14" s="1"/>
  <c r="C83" i="14" a="1"/>
  <c r="C83" i="14" s="1"/>
  <c r="C84" i="14" a="1"/>
  <c r="C84" i="14" s="1"/>
  <c r="C85" i="14" a="1"/>
  <c r="C85" i="14" s="1"/>
  <c r="C86" i="14" a="1"/>
  <c r="C86" i="14" s="1"/>
  <c r="C87" i="14" a="1"/>
  <c r="C87" i="14" s="1"/>
  <c r="C88" i="14" a="1"/>
  <c r="C88" i="14" s="1"/>
  <c r="C89" i="14" a="1"/>
  <c r="C89" i="14" s="1"/>
  <c r="C90" i="14" a="1"/>
  <c r="C90" i="14" s="1"/>
  <c r="C91" i="14" a="1"/>
  <c r="C91" i="14" s="1"/>
  <c r="C92" i="14" a="1"/>
  <c r="C92" i="14" s="1"/>
  <c r="C93" i="14" a="1"/>
  <c r="C93" i="14" s="1"/>
  <c r="C94" i="14" a="1"/>
  <c r="C94" i="14" s="1"/>
  <c r="C95" i="14" a="1"/>
  <c r="C95" i="14" s="1"/>
  <c r="C96" i="14" a="1"/>
  <c r="C96" i="14" s="1"/>
  <c r="C97" i="14" a="1"/>
  <c r="C97" i="14" s="1"/>
  <c r="C98" i="14" a="1"/>
  <c r="C98" i="14" s="1"/>
  <c r="C99" i="14" a="1"/>
  <c r="C99" i="14" s="1"/>
  <c r="C100" i="14" a="1"/>
  <c r="C100" i="14" s="1"/>
  <c r="C4" i="14" a="1"/>
  <c r="C4" i="14" s="1"/>
  <c r="J5" i="14" a="1"/>
  <c r="J5" i="14" s="1"/>
  <c r="J6" i="14" a="1"/>
  <c r="J6" i="14" s="1"/>
  <c r="J7" i="14" a="1"/>
  <c r="J7" i="14" s="1"/>
  <c r="J8" i="14" a="1"/>
  <c r="J8" i="14" s="1"/>
  <c r="J9" i="14" a="1"/>
  <c r="J9" i="14" s="1"/>
  <c r="J10" i="14" a="1"/>
  <c r="J10" i="14" s="1"/>
  <c r="J11" i="14" a="1"/>
  <c r="J11" i="14" s="1"/>
  <c r="J12" i="14" a="1"/>
  <c r="J12" i="14" s="1"/>
  <c r="J13" i="14" a="1"/>
  <c r="J13" i="14" s="1"/>
  <c r="J14" i="14" a="1"/>
  <c r="J14" i="14" s="1"/>
  <c r="J15" i="14" a="1"/>
  <c r="J15" i="14" s="1"/>
  <c r="J16" i="14" a="1"/>
  <c r="J16" i="14" s="1"/>
  <c r="J17" i="14" a="1"/>
  <c r="J17" i="14" s="1"/>
  <c r="J18" i="14" a="1"/>
  <c r="J18" i="14" s="1"/>
  <c r="J19" i="14" a="1"/>
  <c r="J19" i="14" s="1"/>
  <c r="J20" i="14" a="1"/>
  <c r="J20" i="14" s="1"/>
  <c r="J21" i="14" a="1"/>
  <c r="J21" i="14" s="1"/>
  <c r="J22" i="14" a="1"/>
  <c r="J22" i="14" s="1"/>
  <c r="J23" i="14" a="1"/>
  <c r="J23" i="14" s="1"/>
  <c r="J24" i="14" a="1"/>
  <c r="J24" i="14" s="1"/>
  <c r="J25" i="14" a="1"/>
  <c r="J25" i="14" s="1"/>
  <c r="J26" i="14" a="1"/>
  <c r="J26" i="14" s="1"/>
  <c r="J27" i="14" a="1"/>
  <c r="J27" i="14" s="1"/>
  <c r="J28" i="14" a="1"/>
  <c r="J28" i="14" s="1"/>
  <c r="J29" i="14" a="1"/>
  <c r="J29" i="14" s="1"/>
  <c r="J30" i="14" a="1"/>
  <c r="J30" i="14" s="1"/>
  <c r="J31" i="14" a="1"/>
  <c r="J31" i="14" s="1"/>
  <c r="J32" i="14" a="1"/>
  <c r="J32" i="14" s="1"/>
  <c r="J33" i="14" a="1"/>
  <c r="J33" i="14" s="1"/>
  <c r="J34" i="14" a="1"/>
  <c r="J34" i="14" s="1"/>
  <c r="J35" i="14" a="1"/>
  <c r="J35" i="14" s="1"/>
  <c r="J36" i="14" a="1"/>
  <c r="J36" i="14" s="1"/>
  <c r="J37" i="14" a="1"/>
  <c r="J37" i="14" s="1"/>
  <c r="J38" i="14" a="1"/>
  <c r="J38" i="14" s="1"/>
  <c r="J39" i="14" a="1"/>
  <c r="J39" i="14" s="1"/>
  <c r="J40" i="14" a="1"/>
  <c r="J40" i="14" s="1"/>
  <c r="J41" i="14" a="1"/>
  <c r="J41" i="14" s="1"/>
  <c r="J42" i="14" a="1"/>
  <c r="J42" i="14" s="1"/>
  <c r="J43" i="14" a="1"/>
  <c r="J43" i="14" s="1"/>
  <c r="J44" i="14" a="1"/>
  <c r="J44" i="14" s="1"/>
  <c r="J45" i="14" a="1"/>
  <c r="J45" i="14" s="1"/>
  <c r="J46" i="14" a="1"/>
  <c r="J46" i="14" s="1"/>
  <c r="J47" i="14" a="1"/>
  <c r="J47" i="14" s="1"/>
  <c r="J48" i="14" a="1"/>
  <c r="J48" i="14" s="1"/>
  <c r="J49" i="14" a="1"/>
  <c r="J49" i="14" s="1"/>
  <c r="J50" i="14" a="1"/>
  <c r="J50" i="14" s="1"/>
  <c r="J51" i="14" a="1"/>
  <c r="J51" i="14" s="1"/>
  <c r="J52" i="14" a="1"/>
  <c r="J52" i="14" s="1"/>
  <c r="J53" i="14" a="1"/>
  <c r="J53" i="14" s="1"/>
  <c r="J54" i="14" a="1"/>
  <c r="J54" i="14" s="1"/>
  <c r="J55" i="14" a="1"/>
  <c r="J55" i="14" s="1"/>
  <c r="J56" i="14" a="1"/>
  <c r="J56" i="14" s="1"/>
  <c r="J57" i="14" a="1"/>
  <c r="J57" i="14" s="1"/>
  <c r="J58" i="14" a="1"/>
  <c r="J58" i="14" s="1"/>
  <c r="J59" i="14" a="1"/>
  <c r="J59" i="14" s="1"/>
  <c r="J60" i="14" a="1"/>
  <c r="J60" i="14" s="1"/>
  <c r="J61" i="14" a="1"/>
  <c r="J61" i="14" s="1"/>
  <c r="J62" i="14" a="1"/>
  <c r="J62" i="14" s="1"/>
  <c r="J63" i="14" a="1"/>
  <c r="J63" i="14" s="1"/>
  <c r="J64" i="14" a="1"/>
  <c r="J64" i="14" s="1"/>
  <c r="J65" i="14" a="1"/>
  <c r="J65" i="14" s="1"/>
  <c r="J66" i="14" a="1"/>
  <c r="J66" i="14" s="1"/>
  <c r="J67" i="14" a="1"/>
  <c r="J67" i="14" s="1"/>
  <c r="J68" i="14" a="1"/>
  <c r="J68" i="14" s="1"/>
  <c r="J69" i="14" a="1"/>
  <c r="J69" i="14" s="1"/>
  <c r="J70" i="14" a="1"/>
  <c r="J70" i="14" s="1"/>
  <c r="J71" i="14" a="1"/>
  <c r="J71" i="14" s="1"/>
  <c r="J72" i="14" a="1"/>
  <c r="J72" i="14" s="1"/>
  <c r="J73" i="14" a="1"/>
  <c r="J73" i="14" s="1"/>
  <c r="J74" i="14" a="1"/>
  <c r="J74" i="14" s="1"/>
  <c r="J75" i="14" a="1"/>
  <c r="J75" i="14" s="1"/>
  <c r="J76" i="14" a="1"/>
  <c r="J76" i="14" s="1"/>
  <c r="J77" i="14" a="1"/>
  <c r="J77" i="14" s="1"/>
  <c r="J78" i="14" a="1"/>
  <c r="J78" i="14" s="1"/>
  <c r="J79" i="14" a="1"/>
  <c r="J79" i="14" s="1"/>
  <c r="J80" i="14" a="1"/>
  <c r="J80" i="14" s="1"/>
  <c r="J81" i="14" a="1"/>
  <c r="J81" i="14" s="1"/>
  <c r="J82" i="14" a="1"/>
  <c r="J82" i="14" s="1"/>
  <c r="J83" i="14" a="1"/>
  <c r="J83" i="14" s="1"/>
  <c r="J84" i="14" a="1"/>
  <c r="J84" i="14" s="1"/>
  <c r="J85" i="14" a="1"/>
  <c r="J85" i="14" s="1"/>
  <c r="J86" i="14" a="1"/>
  <c r="J86" i="14" s="1"/>
  <c r="J87" i="14" a="1"/>
  <c r="J87" i="14" s="1"/>
  <c r="J88" i="14" a="1"/>
  <c r="J88" i="14" s="1"/>
  <c r="J89" i="14" a="1"/>
  <c r="J89" i="14" s="1"/>
  <c r="J90" i="14" a="1"/>
  <c r="J90" i="14" s="1"/>
  <c r="J91" i="14" a="1"/>
  <c r="J91" i="14" s="1"/>
  <c r="J92" i="14" a="1"/>
  <c r="J92" i="14" s="1"/>
  <c r="J93" i="14" a="1"/>
  <c r="J93" i="14" s="1"/>
  <c r="J94" i="14" a="1"/>
  <c r="J94" i="14" s="1"/>
  <c r="J95" i="14" a="1"/>
  <c r="J95" i="14" s="1"/>
  <c r="J96" i="14" a="1"/>
  <c r="J96" i="14" s="1"/>
  <c r="J97" i="14" a="1"/>
  <c r="J97" i="14" s="1"/>
  <c r="J98" i="14" a="1"/>
  <c r="J98" i="14" s="1"/>
  <c r="J99" i="14" a="1"/>
  <c r="J99" i="14" s="1"/>
  <c r="J100" i="14" a="1"/>
  <c r="J100" i="14" s="1"/>
  <c r="J4" i="14" a="1"/>
  <c r="J4" i="14" s="1"/>
  <c r="C2" i="13"/>
  <c r="E2" i="13" s="1"/>
  <c r="C3" i="13"/>
  <c r="E3" i="13" s="1"/>
  <c r="C4" i="13"/>
  <c r="E4" i="13" s="1"/>
  <c r="C5" i="13"/>
  <c r="E5" i="13" s="1"/>
  <c r="C6" i="13"/>
  <c r="E6" i="13" s="1"/>
  <c r="C7" i="13"/>
  <c r="E7" i="13" s="1"/>
  <c r="C8" i="13"/>
  <c r="E8" i="13" s="1"/>
  <c r="C9" i="13"/>
  <c r="E9" i="13" s="1"/>
  <c r="C10" i="13"/>
  <c r="E10" i="13" s="1"/>
  <c r="C11" i="13"/>
  <c r="E11" i="13" s="1"/>
  <c r="C12" i="13"/>
  <c r="E12" i="13" s="1"/>
  <c r="C13" i="13"/>
  <c r="E13" i="13" s="1"/>
  <c r="C14" i="13"/>
  <c r="E14" i="13" s="1"/>
  <c r="C15" i="13"/>
  <c r="E15" i="13" s="1"/>
  <c r="C16" i="13"/>
  <c r="E16" i="13" s="1"/>
  <c r="C17" i="13"/>
  <c r="E17" i="13" s="1"/>
  <c r="C18" i="13"/>
  <c r="E18" i="13" s="1"/>
  <c r="C19" i="13"/>
  <c r="E19" i="13" s="1"/>
  <c r="C20" i="13"/>
  <c r="E20" i="13" s="1"/>
  <c r="C21" i="13"/>
  <c r="E21" i="13" s="1"/>
  <c r="C22" i="13"/>
  <c r="E22" i="13" s="1"/>
  <c r="C23" i="13"/>
  <c r="E23" i="13" s="1"/>
  <c r="C24" i="13"/>
  <c r="E24" i="13" s="1"/>
  <c r="C25" i="13"/>
  <c r="E25" i="13" s="1"/>
  <c r="C26" i="13"/>
  <c r="E26" i="13" s="1"/>
  <c r="C27" i="13"/>
  <c r="E27" i="13" s="1"/>
  <c r="C28" i="13"/>
  <c r="E28" i="13" s="1"/>
  <c r="C29" i="13"/>
  <c r="E29" i="13" s="1"/>
  <c r="C30" i="13"/>
  <c r="E30" i="13" s="1"/>
  <c r="C31" i="13"/>
  <c r="E31" i="13" s="1"/>
  <c r="C32" i="13"/>
  <c r="E32" i="13" s="1"/>
  <c r="C33" i="13"/>
  <c r="E33" i="13" s="1"/>
  <c r="C34" i="13"/>
  <c r="E34" i="13" s="1"/>
  <c r="C35" i="13"/>
  <c r="E35" i="13" s="1"/>
  <c r="C36" i="13"/>
  <c r="E36" i="13" s="1"/>
  <c r="C37" i="13"/>
  <c r="E37" i="13" s="1"/>
  <c r="C38" i="13"/>
  <c r="E38" i="13" s="1"/>
  <c r="C39" i="13"/>
  <c r="E39" i="13" s="1"/>
  <c r="C40" i="13"/>
  <c r="E40" i="13" s="1"/>
  <c r="C41" i="13"/>
  <c r="E41" i="13" s="1"/>
  <c r="C42" i="13"/>
  <c r="E42" i="13" s="1"/>
  <c r="C43" i="13"/>
  <c r="E43" i="13" s="1"/>
  <c r="C44" i="13"/>
  <c r="E44" i="13" s="1"/>
  <c r="C45" i="13"/>
  <c r="E45" i="13" s="1"/>
  <c r="C46" i="13"/>
  <c r="E46" i="13" s="1"/>
  <c r="C47" i="13"/>
  <c r="E47" i="13" s="1"/>
  <c r="C48" i="13"/>
  <c r="E48" i="13" s="1"/>
  <c r="C49" i="13"/>
  <c r="E49" i="13" s="1"/>
  <c r="C50" i="13"/>
  <c r="E50" i="13" s="1"/>
  <c r="K7" i="18"/>
  <c r="K8" i="18"/>
  <c r="K9" i="18"/>
  <c r="K10" i="18"/>
  <c r="K11" i="18"/>
  <c r="L7" i="18"/>
  <c r="I42" i="5" l="1"/>
  <c r="H42" i="5" s="1"/>
  <c r="M20" i="9"/>
  <c r="M23" i="9"/>
  <c r="M24" i="9"/>
  <c r="M21" i="9"/>
  <c r="M22" i="9"/>
  <c r="G16" i="15" a="1"/>
  <c r="G16" i="15" s="1"/>
  <c r="B16" i="15" s="1"/>
  <c r="G14" i="15" a="1"/>
  <c r="G14" i="15" s="1"/>
  <c r="B14" i="15" s="1"/>
  <c r="G13" i="15" a="1"/>
  <c r="G13" i="15" s="1"/>
  <c r="B13" i="15" s="1"/>
  <c r="G15" i="15" a="1"/>
  <c r="G15" i="15" s="1"/>
  <c r="B15" i="15" s="1"/>
  <c r="G12" i="15" a="1"/>
  <c r="G12" i="15" s="1"/>
  <c r="B12" i="15" s="1"/>
  <c r="G7" i="15" a="1"/>
  <c r="G7" i="15" s="1"/>
  <c r="B7" i="15" s="1"/>
  <c r="G11" i="15" a="1"/>
  <c r="G11" i="15" s="1"/>
  <c r="B11" i="15" s="1"/>
  <c r="G8" i="15" a="1"/>
  <c r="G8" i="15" s="1"/>
  <c r="B8" i="15" s="1"/>
  <c r="G9" i="15" a="1"/>
  <c r="G9" i="15" s="1"/>
  <c r="B9" i="15" s="1"/>
  <c r="G10" i="15" a="1"/>
  <c r="G10" i="15" s="1"/>
  <c r="B10" i="15" s="1"/>
  <c r="C3" i="12"/>
  <c r="B24" i="15"/>
  <c r="B27" i="15"/>
  <c r="B23" i="15"/>
  <c r="B26" i="15"/>
  <c r="B25" i="15"/>
  <c r="E97" i="14" a="1"/>
  <c r="E97" i="14" s="1"/>
  <c r="E65" i="14" a="1"/>
  <c r="E65" i="14" s="1"/>
  <c r="E57" i="14" a="1"/>
  <c r="E57" i="14" s="1"/>
  <c r="E49" i="14" a="1"/>
  <c r="E49" i="14" s="1"/>
  <c r="L9" i="14" a="1"/>
  <c r="L9" i="14" s="1"/>
  <c r="E81" i="14" a="1"/>
  <c r="E81" i="14" s="1"/>
  <c r="E93" i="14" a="1"/>
  <c r="E93" i="14" s="1"/>
  <c r="E77" i="14" a="1"/>
  <c r="E77" i="14" s="1"/>
  <c r="E61" i="14" a="1"/>
  <c r="E61" i="14" s="1"/>
  <c r="E45" i="14" a="1"/>
  <c r="E45" i="14" s="1"/>
  <c r="E89" i="14" a="1"/>
  <c r="E89" i="14" s="1"/>
  <c r="E73" i="14" a="1"/>
  <c r="E73" i="14" s="1"/>
  <c r="E16" i="14" a="1"/>
  <c r="E16" i="14" s="1"/>
  <c r="E28" i="14" a="1"/>
  <c r="E28" i="14" s="1"/>
  <c r="E36" i="14" a="1"/>
  <c r="E36" i="14" s="1"/>
  <c r="E52" i="14" a="1"/>
  <c r="E52" i="14" s="1"/>
  <c r="E64" i="14" a="1"/>
  <c r="E64" i="14" s="1"/>
  <c r="E72" i="14" a="1"/>
  <c r="E72" i="14" s="1"/>
  <c r="E84" i="14" a="1"/>
  <c r="E84" i="14" s="1"/>
  <c r="E100" i="14" a="1"/>
  <c r="E100" i="14" s="1"/>
  <c r="L11" i="14" a="1"/>
  <c r="L11" i="14" s="1"/>
  <c r="L22" i="14" a="1"/>
  <c r="L22" i="14" s="1"/>
  <c r="L35" i="14" a="1"/>
  <c r="L35" i="14" s="1"/>
  <c r="L51" i="14" a="1"/>
  <c r="L51" i="14" s="1"/>
  <c r="L62" i="14" a="1"/>
  <c r="L62" i="14" s="1"/>
  <c r="L75" i="14" a="1"/>
  <c r="L75" i="14" s="1"/>
  <c r="L86" i="14" a="1"/>
  <c r="L86" i="14" s="1"/>
  <c r="L99" i="14" a="1"/>
  <c r="L99" i="14" s="1"/>
  <c r="E14" i="14" a="1"/>
  <c r="E14" i="14" s="1"/>
  <c r="E25" i="14" a="1"/>
  <c r="E25" i="14" s="1"/>
  <c r="E37" i="14" a="1"/>
  <c r="E37" i="14" s="1"/>
  <c r="E13" i="14" a="1"/>
  <c r="E13" i="14" s="1"/>
  <c r="E24" i="14" a="1"/>
  <c r="E24" i="14" s="1"/>
  <c r="E40" i="14" a="1"/>
  <c r="E40" i="14" s="1"/>
  <c r="E48" i="14" a="1"/>
  <c r="E48" i="14" s="1"/>
  <c r="E60" i="14" a="1"/>
  <c r="E60" i="14" s="1"/>
  <c r="E76" i="14" a="1"/>
  <c r="E76" i="14" s="1"/>
  <c r="E88" i="14" a="1"/>
  <c r="E88" i="14" s="1"/>
  <c r="E96" i="14" a="1"/>
  <c r="E96" i="14" s="1"/>
  <c r="L14" i="14" a="1"/>
  <c r="L14" i="14" s="1"/>
  <c r="L27" i="14" a="1"/>
  <c r="L27" i="14" s="1"/>
  <c r="L38" i="14" a="1"/>
  <c r="L38" i="14" s="1"/>
  <c r="L46" i="14" a="1"/>
  <c r="L46" i="14" s="1"/>
  <c r="L59" i="14" a="1"/>
  <c r="L59" i="14" s="1"/>
  <c r="L70" i="14" a="1"/>
  <c r="L70" i="14" s="1"/>
  <c r="L83" i="14" a="1"/>
  <c r="L83" i="14" s="1"/>
  <c r="L94" i="14" a="1"/>
  <c r="L94" i="14" s="1"/>
  <c r="E11" i="14" a="1"/>
  <c r="E11" i="14" s="1"/>
  <c r="E21" i="14" a="1"/>
  <c r="E21" i="14" s="1"/>
  <c r="E33" i="14" a="1"/>
  <c r="E33" i="14" s="1"/>
  <c r="E20" i="14" a="1"/>
  <c r="E20" i="14" s="1"/>
  <c r="E32" i="14" a="1"/>
  <c r="E32" i="14" s="1"/>
  <c r="E44" i="14" a="1"/>
  <c r="E44" i="14" s="1"/>
  <c r="E56" i="14" a="1"/>
  <c r="E56" i="14" s="1"/>
  <c r="E68" i="14" a="1"/>
  <c r="E68" i="14" s="1"/>
  <c r="E80" i="14" a="1"/>
  <c r="E80" i="14" s="1"/>
  <c r="E92" i="14" a="1"/>
  <c r="E92" i="14" s="1"/>
  <c r="E7" i="14" a="1"/>
  <c r="E7" i="14" s="1"/>
  <c r="L6" i="14" a="1"/>
  <c r="L6" i="14" s="1"/>
  <c r="L19" i="14" a="1"/>
  <c r="L19" i="14" s="1"/>
  <c r="L30" i="14" a="1"/>
  <c r="L30" i="14" s="1"/>
  <c r="L43" i="14" a="1"/>
  <c r="L43" i="14" s="1"/>
  <c r="L54" i="14" a="1"/>
  <c r="L54" i="14" s="1"/>
  <c r="L67" i="14" a="1"/>
  <c r="L67" i="14" s="1"/>
  <c r="L78" i="14" a="1"/>
  <c r="L78" i="14" s="1"/>
  <c r="L91" i="14" a="1"/>
  <c r="L91" i="14" s="1"/>
  <c r="E8" i="14" a="1"/>
  <c r="E8" i="14" s="1"/>
  <c r="E17" i="14" a="1"/>
  <c r="E17" i="14" s="1"/>
  <c r="E29" i="14" a="1"/>
  <c r="E29" i="14" s="1"/>
  <c r="E41" i="14" a="1"/>
  <c r="E41" i="14" s="1"/>
  <c r="E4" i="14" a="1"/>
  <c r="E4" i="14" s="1"/>
  <c r="E85" i="14" a="1"/>
  <c r="E85" i="14" s="1"/>
  <c r="E69" i="14" a="1"/>
  <c r="E69" i="14" s="1"/>
  <c r="E53" i="14" a="1"/>
  <c r="E53" i="14" s="1"/>
  <c r="E10" i="14" a="1"/>
  <c r="E10" i="14" s="1"/>
  <c r="L4" i="14" a="1"/>
  <c r="L4" i="14" s="1"/>
  <c r="L96" i="14" a="1"/>
  <c r="L96" i="14" s="1"/>
  <c r="L93" i="14" a="1"/>
  <c r="L93" i="14" s="1"/>
  <c r="L88" i="14" a="1"/>
  <c r="L88" i="14" s="1"/>
  <c r="L85" i="14" a="1"/>
  <c r="L85" i="14" s="1"/>
  <c r="L80" i="14" a="1"/>
  <c r="L80" i="14" s="1"/>
  <c r="L77" i="14" a="1"/>
  <c r="L77" i="14" s="1"/>
  <c r="L72" i="14" a="1"/>
  <c r="L72" i="14" s="1"/>
  <c r="L69" i="14" a="1"/>
  <c r="L69" i="14" s="1"/>
  <c r="L64" i="14" a="1"/>
  <c r="L64" i="14" s="1"/>
  <c r="L61" i="14" a="1"/>
  <c r="L61" i="14" s="1"/>
  <c r="L56" i="14" a="1"/>
  <c r="L56" i="14" s="1"/>
  <c r="L53" i="14" a="1"/>
  <c r="L53" i="14" s="1"/>
  <c r="L48" i="14" a="1"/>
  <c r="L48" i="14" s="1"/>
  <c r="L45" i="14" a="1"/>
  <c r="L45" i="14" s="1"/>
  <c r="L40" i="14" a="1"/>
  <c r="L40" i="14" s="1"/>
  <c r="L37" i="14" a="1"/>
  <c r="L37" i="14" s="1"/>
  <c r="L32" i="14" a="1"/>
  <c r="L32" i="14" s="1"/>
  <c r="L29" i="14" a="1"/>
  <c r="L29" i="14" s="1"/>
  <c r="L24" i="14" a="1"/>
  <c r="L24" i="14" s="1"/>
  <c r="L21" i="14" a="1"/>
  <c r="L21" i="14" s="1"/>
  <c r="L16" i="14" a="1"/>
  <c r="L16" i="14" s="1"/>
  <c r="L13" i="14" a="1"/>
  <c r="L13" i="14" s="1"/>
  <c r="L8" i="14" a="1"/>
  <c r="L8" i="14" s="1"/>
  <c r="L5" i="14" a="1"/>
  <c r="L5" i="14" s="1"/>
  <c r="E6" i="14" a="1"/>
  <c r="E6" i="14" s="1"/>
  <c r="E99" i="14" a="1"/>
  <c r="E99" i="14" s="1"/>
  <c r="E95" i="14" a="1"/>
  <c r="E95" i="14" s="1"/>
  <c r="E91" i="14" a="1"/>
  <c r="E91" i="14" s="1"/>
  <c r="E87" i="14" a="1"/>
  <c r="E87" i="14" s="1"/>
  <c r="E83" i="14" a="1"/>
  <c r="E83" i="14" s="1"/>
  <c r="E79" i="14" a="1"/>
  <c r="E79" i="14" s="1"/>
  <c r="E75" i="14" a="1"/>
  <c r="E75" i="14" s="1"/>
  <c r="E71" i="14" a="1"/>
  <c r="E71" i="14" s="1"/>
  <c r="E67" i="14" a="1"/>
  <c r="E67" i="14" s="1"/>
  <c r="E63" i="14" a="1"/>
  <c r="E63" i="14" s="1"/>
  <c r="E59" i="14" a="1"/>
  <c r="E59" i="14" s="1"/>
  <c r="E55" i="14" a="1"/>
  <c r="E55" i="14" s="1"/>
  <c r="E51" i="14" a="1"/>
  <c r="E51" i="14" s="1"/>
  <c r="E47" i="14" a="1"/>
  <c r="E47" i="14" s="1"/>
  <c r="E43" i="14" a="1"/>
  <c r="E43" i="14" s="1"/>
  <c r="E39" i="14" a="1"/>
  <c r="E39" i="14" s="1"/>
  <c r="E35" i="14" a="1"/>
  <c r="E35" i="14" s="1"/>
  <c r="E31" i="14" a="1"/>
  <c r="E31" i="14" s="1"/>
  <c r="E27" i="14" a="1"/>
  <c r="E27" i="14" s="1"/>
  <c r="E23" i="14" a="1"/>
  <c r="E23" i="14" s="1"/>
  <c r="E19" i="14" a="1"/>
  <c r="E19" i="14" s="1"/>
  <c r="E12" i="14" a="1"/>
  <c r="E12" i="14" s="1"/>
  <c r="L98" i="14" a="1"/>
  <c r="L98" i="14" s="1"/>
  <c r="L95" i="14" a="1"/>
  <c r="L95" i="14" s="1"/>
  <c r="L90" i="14" a="1"/>
  <c r="L90" i="14" s="1"/>
  <c r="L87" i="14" a="1"/>
  <c r="L87" i="14" s="1"/>
  <c r="L82" i="14" a="1"/>
  <c r="L82" i="14" s="1"/>
  <c r="L79" i="14" a="1"/>
  <c r="L79" i="14" s="1"/>
  <c r="L74" i="14" a="1"/>
  <c r="L74" i="14" s="1"/>
  <c r="L71" i="14" a="1"/>
  <c r="L71" i="14" s="1"/>
  <c r="L66" i="14" a="1"/>
  <c r="L66" i="14" s="1"/>
  <c r="L63" i="14" a="1"/>
  <c r="L63" i="14" s="1"/>
  <c r="L58" i="14" a="1"/>
  <c r="L58" i="14" s="1"/>
  <c r="L55" i="14" a="1"/>
  <c r="L55" i="14" s="1"/>
  <c r="L50" i="14" a="1"/>
  <c r="L50" i="14" s="1"/>
  <c r="L47" i="14" a="1"/>
  <c r="L47" i="14" s="1"/>
  <c r="L42" i="14" a="1"/>
  <c r="L42" i="14" s="1"/>
  <c r="L39" i="14" a="1"/>
  <c r="L39" i="14" s="1"/>
  <c r="L34" i="14" a="1"/>
  <c r="L34" i="14" s="1"/>
  <c r="L31" i="14" a="1"/>
  <c r="L31" i="14" s="1"/>
  <c r="L26" i="14" a="1"/>
  <c r="L26" i="14" s="1"/>
  <c r="L23" i="14" a="1"/>
  <c r="L23" i="14" s="1"/>
  <c r="L18" i="14" a="1"/>
  <c r="L18" i="14" s="1"/>
  <c r="L15" i="14" a="1"/>
  <c r="L15" i="14" s="1"/>
  <c r="L10" i="14" a="1"/>
  <c r="L10" i="14" s="1"/>
  <c r="L7" i="14" a="1"/>
  <c r="L7" i="14" s="1"/>
  <c r="E5" i="14" a="1"/>
  <c r="E5" i="14" s="1"/>
  <c r="E98" i="14" a="1"/>
  <c r="E98" i="14" s="1"/>
  <c r="E94" i="14" a="1"/>
  <c r="E94" i="14" s="1"/>
  <c r="E90" i="14" a="1"/>
  <c r="E90" i="14" s="1"/>
  <c r="E86" i="14" a="1"/>
  <c r="E86" i="14" s="1"/>
  <c r="E82" i="14" a="1"/>
  <c r="E82" i="14" s="1"/>
  <c r="E78" i="14" a="1"/>
  <c r="E78" i="14" s="1"/>
  <c r="E74" i="14" a="1"/>
  <c r="E74" i="14" s="1"/>
  <c r="E70" i="14" a="1"/>
  <c r="E70" i="14" s="1"/>
  <c r="E66" i="14" a="1"/>
  <c r="E66" i="14" s="1"/>
  <c r="E62" i="14" a="1"/>
  <c r="E62" i="14" s="1"/>
  <c r="E58" i="14" a="1"/>
  <c r="E58" i="14" s="1"/>
  <c r="E54" i="14" a="1"/>
  <c r="E54" i="14" s="1"/>
  <c r="E50" i="14" a="1"/>
  <c r="E50" i="14" s="1"/>
  <c r="E46" i="14" a="1"/>
  <c r="E46" i="14" s="1"/>
  <c r="E42" i="14" a="1"/>
  <c r="E42" i="14" s="1"/>
  <c r="E38" i="14" a="1"/>
  <c r="E38" i="14" s="1"/>
  <c r="E34" i="14" a="1"/>
  <c r="E34" i="14" s="1"/>
  <c r="E30" i="14" a="1"/>
  <c r="E30" i="14" s="1"/>
  <c r="E26" i="14" a="1"/>
  <c r="E26" i="14" s="1"/>
  <c r="E22" i="14" a="1"/>
  <c r="E22" i="14" s="1"/>
  <c r="E18" i="14" a="1"/>
  <c r="E18" i="14" s="1"/>
  <c r="E15" i="14" a="1"/>
  <c r="E15" i="14" s="1"/>
  <c r="E9" i="14" a="1"/>
  <c r="E9" i="14" s="1"/>
  <c r="L100" i="14" a="1"/>
  <c r="L100" i="14" s="1"/>
  <c r="L97" i="14" a="1"/>
  <c r="L97" i="14" s="1"/>
  <c r="L92" i="14" a="1"/>
  <c r="L92" i="14" s="1"/>
  <c r="L89" i="14" a="1"/>
  <c r="L89" i="14" s="1"/>
  <c r="L84" i="14" a="1"/>
  <c r="L84" i="14" s="1"/>
  <c r="L81" i="14" a="1"/>
  <c r="L81" i="14" s="1"/>
  <c r="L76" i="14" a="1"/>
  <c r="L76" i="14" s="1"/>
  <c r="L73" i="14" a="1"/>
  <c r="L73" i="14" s="1"/>
  <c r="L68" i="14" a="1"/>
  <c r="L68" i="14" s="1"/>
  <c r="L65" i="14" a="1"/>
  <c r="L65" i="14" s="1"/>
  <c r="L60" i="14" a="1"/>
  <c r="L60" i="14" s="1"/>
  <c r="L57" i="14" a="1"/>
  <c r="L57" i="14" s="1"/>
  <c r="L52" i="14" a="1"/>
  <c r="L52" i="14" s="1"/>
  <c r="L49" i="14" a="1"/>
  <c r="L49" i="14" s="1"/>
  <c r="L44" i="14" a="1"/>
  <c r="L44" i="14" s="1"/>
  <c r="L41" i="14" a="1"/>
  <c r="L41" i="14" s="1"/>
  <c r="L36" i="14" a="1"/>
  <c r="L36" i="14" s="1"/>
  <c r="L33" i="14" a="1"/>
  <c r="L33" i="14" s="1"/>
  <c r="L28" i="14" a="1"/>
  <c r="L28" i="14" s="1"/>
  <c r="L25" i="14" a="1"/>
  <c r="L25" i="14" s="1"/>
  <c r="L20" i="14" a="1"/>
  <c r="L20" i="14" s="1"/>
  <c r="L17" i="14" a="1"/>
  <c r="L17" i="14" s="1"/>
  <c r="L12" i="14" a="1"/>
  <c r="L12" i="14" s="1"/>
  <c r="I43" i="5" l="1"/>
  <c r="H43" i="5" s="1"/>
  <c r="L13" i="15"/>
  <c r="C13" i="15"/>
  <c r="H13" i="15"/>
  <c r="F13" i="15"/>
  <c r="J13" i="15"/>
  <c r="K13" i="15"/>
  <c r="E13" i="15"/>
  <c r="I13" i="15"/>
  <c r="D13" i="15"/>
  <c r="L12" i="15"/>
  <c r="H12" i="15"/>
  <c r="C12" i="15"/>
  <c r="D12" i="15"/>
  <c r="E12" i="15"/>
  <c r="F12" i="15"/>
  <c r="J12" i="15"/>
  <c r="K12" i="15"/>
  <c r="I12" i="15"/>
  <c r="D15" i="15"/>
  <c r="H15" i="15"/>
  <c r="F15" i="15"/>
  <c r="K15" i="15"/>
  <c r="L15" i="15"/>
  <c r="J15" i="15"/>
  <c r="C15" i="15"/>
  <c r="I15" i="15"/>
  <c r="E15" i="15"/>
  <c r="D14" i="15"/>
  <c r="H14" i="15"/>
  <c r="I14" i="15"/>
  <c r="K14" i="15"/>
  <c r="L14" i="15"/>
  <c r="C14" i="15"/>
  <c r="E14" i="15"/>
  <c r="J14" i="15"/>
  <c r="F14" i="15"/>
  <c r="F16" i="15"/>
  <c r="J16" i="15"/>
  <c r="K16" i="15"/>
  <c r="C16" i="15"/>
  <c r="I16" i="15"/>
  <c r="H16" i="15"/>
  <c r="E16" i="15"/>
  <c r="D16" i="15"/>
  <c r="L16" i="15"/>
  <c r="I9" i="15"/>
  <c r="L9" i="15"/>
  <c r="H9" i="15"/>
  <c r="K9" i="15"/>
  <c r="J9" i="15"/>
  <c r="C9" i="15"/>
  <c r="J8" i="15"/>
  <c r="I8" i="15"/>
  <c r="L8" i="15"/>
  <c r="H8" i="15"/>
  <c r="K8" i="15"/>
  <c r="K11" i="15"/>
  <c r="J11" i="15"/>
  <c r="I11" i="15"/>
  <c r="L11" i="15"/>
  <c r="H11" i="15"/>
  <c r="L10" i="15"/>
  <c r="H10" i="15"/>
  <c r="K10" i="15"/>
  <c r="J10" i="15"/>
  <c r="I10" i="15"/>
  <c r="K7" i="15"/>
  <c r="J7" i="15"/>
  <c r="I7" i="15"/>
  <c r="L7" i="15"/>
  <c r="H7" i="15"/>
  <c r="J25" i="15"/>
  <c r="I25" i="15"/>
  <c r="L25" i="15"/>
  <c r="H25" i="15"/>
  <c r="K25" i="15"/>
  <c r="K24" i="15"/>
  <c r="L24" i="15"/>
  <c r="H24" i="15"/>
  <c r="J24" i="15"/>
  <c r="I24" i="15"/>
  <c r="L27" i="15"/>
  <c r="H27" i="15"/>
  <c r="K27" i="15"/>
  <c r="I27" i="15"/>
  <c r="J27" i="15"/>
  <c r="I26" i="15"/>
  <c r="J26" i="15"/>
  <c r="L26" i="15"/>
  <c r="H26" i="15"/>
  <c r="K26" i="15"/>
  <c r="L23" i="15"/>
  <c r="H23" i="15"/>
  <c r="K23" i="15"/>
  <c r="J23" i="15"/>
  <c r="I23" i="15"/>
  <c r="F27" i="15"/>
  <c r="E27" i="15"/>
  <c r="E25" i="15"/>
  <c r="F25" i="15"/>
  <c r="E24" i="15"/>
  <c r="F24" i="15"/>
  <c r="E26" i="15"/>
  <c r="F26" i="15"/>
  <c r="F23" i="15"/>
  <c r="E23" i="15"/>
  <c r="E10" i="15"/>
  <c r="E7" i="15"/>
  <c r="C11" i="15"/>
  <c r="E8" i="15"/>
  <c r="E9" i="15"/>
  <c r="C26" i="15"/>
  <c r="D26" i="15"/>
  <c r="C23" i="15"/>
  <c r="D23" i="15"/>
  <c r="D25" i="15"/>
  <c r="C25" i="15"/>
  <c r="C27" i="15"/>
  <c r="D27" i="15"/>
  <c r="C24" i="15"/>
  <c r="D24" i="15"/>
  <c r="F8" i="15"/>
  <c r="F11" i="15"/>
  <c r="D8" i="15"/>
  <c r="D7" i="15"/>
  <c r="F9" i="15"/>
  <c r="C8" i="15"/>
  <c r="D9" i="15"/>
  <c r="D10" i="15"/>
  <c r="F10" i="15"/>
  <c r="C10" i="15"/>
  <c r="D11" i="15"/>
  <c r="F7" i="15"/>
  <c r="E11" i="15"/>
  <c r="C7" i="15"/>
  <c r="I13" i="14" a="1"/>
  <c r="I13" i="14" s="1"/>
  <c r="I14" i="14" a="1"/>
  <c r="I14" i="14" s="1"/>
  <c r="I15" i="14" a="1"/>
  <c r="I15" i="14" s="1"/>
  <c r="I16" i="14" a="1"/>
  <c r="I16" i="14" s="1"/>
  <c r="I17" i="14" a="1"/>
  <c r="I17" i="14" s="1"/>
  <c r="I18" i="14" a="1"/>
  <c r="I18" i="14" s="1"/>
  <c r="I19" i="14" a="1"/>
  <c r="I19" i="14" s="1"/>
  <c r="I20" i="14" a="1"/>
  <c r="I20" i="14" s="1"/>
  <c r="I21" i="14" a="1"/>
  <c r="I21" i="14" s="1"/>
  <c r="I22" i="14" a="1"/>
  <c r="I22" i="14" s="1"/>
  <c r="I23" i="14" a="1"/>
  <c r="I23" i="14" s="1"/>
  <c r="I24" i="14" a="1"/>
  <c r="I24" i="14" s="1"/>
  <c r="I26" i="14" a="1"/>
  <c r="I26" i="14" s="1"/>
  <c r="I27" i="14" a="1"/>
  <c r="I27" i="14" s="1"/>
  <c r="I28" i="14" a="1"/>
  <c r="I28" i="14" s="1"/>
  <c r="I29" i="14" a="1"/>
  <c r="I29" i="14" s="1"/>
  <c r="I30" i="14" a="1"/>
  <c r="I30" i="14" s="1"/>
  <c r="I31" i="14" a="1"/>
  <c r="I31" i="14" s="1"/>
  <c r="I32" i="14" a="1"/>
  <c r="I32" i="14" s="1"/>
  <c r="I33" i="14" a="1"/>
  <c r="I33" i="14" s="1"/>
  <c r="I34" i="14" a="1"/>
  <c r="I34" i="14" s="1"/>
  <c r="I35" i="14" a="1"/>
  <c r="I35" i="14" s="1"/>
  <c r="I36" i="14" a="1"/>
  <c r="I36" i="14" s="1"/>
  <c r="I37" i="14" a="1"/>
  <c r="I37" i="14" s="1"/>
  <c r="I38" i="14" a="1"/>
  <c r="I38" i="14" s="1"/>
  <c r="I39" i="14" a="1"/>
  <c r="I39" i="14" s="1"/>
  <c r="I40" i="14" a="1"/>
  <c r="I40" i="14" s="1"/>
  <c r="I42" i="14" a="1"/>
  <c r="I42" i="14" s="1"/>
  <c r="I43" i="14" a="1"/>
  <c r="I43" i="14" s="1"/>
  <c r="I44" i="14" a="1"/>
  <c r="I44" i="14" s="1"/>
  <c r="I45" i="14" a="1"/>
  <c r="I45" i="14" s="1"/>
  <c r="I46" i="14" a="1"/>
  <c r="I46" i="14" s="1"/>
  <c r="I47" i="14" a="1"/>
  <c r="I47" i="14" s="1"/>
  <c r="I48" i="14" a="1"/>
  <c r="I48" i="14" s="1"/>
  <c r="I49" i="14" a="1"/>
  <c r="I49" i="14" s="1"/>
  <c r="I50" i="14" a="1"/>
  <c r="I50" i="14" s="1"/>
  <c r="I51" i="14" a="1"/>
  <c r="I51" i="14" s="1"/>
  <c r="I52" i="14" a="1"/>
  <c r="I52" i="14" s="1"/>
  <c r="I53" i="14" a="1"/>
  <c r="I53" i="14" s="1"/>
  <c r="I54" i="14" a="1"/>
  <c r="I54" i="14" s="1"/>
  <c r="I55" i="14" a="1"/>
  <c r="I55" i="14" s="1"/>
  <c r="I56" i="14" a="1"/>
  <c r="I56" i="14" s="1"/>
  <c r="I57" i="14" a="1"/>
  <c r="I57" i="14" s="1"/>
  <c r="I58" i="14" a="1"/>
  <c r="I58" i="14" s="1"/>
  <c r="I59" i="14" a="1"/>
  <c r="I59" i="14" s="1"/>
  <c r="I60" i="14" a="1"/>
  <c r="I60" i="14" s="1"/>
  <c r="I61" i="14" a="1"/>
  <c r="I61" i="14" s="1"/>
  <c r="I62" i="14" a="1"/>
  <c r="I62" i="14" s="1"/>
  <c r="I63" i="14" a="1"/>
  <c r="I63" i="14" s="1"/>
  <c r="I64" i="14" a="1"/>
  <c r="I64" i="14" s="1"/>
  <c r="I65" i="14" a="1"/>
  <c r="I65" i="14" s="1"/>
  <c r="I66" i="14" a="1"/>
  <c r="I66" i="14" s="1"/>
  <c r="I67" i="14" a="1"/>
  <c r="I67" i="14" s="1"/>
  <c r="I68" i="14" a="1"/>
  <c r="I68" i="14" s="1"/>
  <c r="I69" i="14" a="1"/>
  <c r="I69" i="14" s="1"/>
  <c r="I70" i="14" a="1"/>
  <c r="I70" i="14" s="1"/>
  <c r="I71" i="14" a="1"/>
  <c r="I71" i="14" s="1"/>
  <c r="I72" i="14" a="1"/>
  <c r="I72" i="14" s="1"/>
  <c r="I73" i="14" a="1"/>
  <c r="I73" i="14" s="1"/>
  <c r="I74" i="14" a="1"/>
  <c r="I74" i="14" s="1"/>
  <c r="I75" i="14" a="1"/>
  <c r="I75" i="14" s="1"/>
  <c r="I76" i="14" a="1"/>
  <c r="I76" i="14" s="1"/>
  <c r="I77" i="14" a="1"/>
  <c r="I77" i="14" s="1"/>
  <c r="I78" i="14" a="1"/>
  <c r="I78" i="14" s="1"/>
  <c r="I79" i="14" a="1"/>
  <c r="I79" i="14" s="1"/>
  <c r="I80" i="14" a="1"/>
  <c r="I80" i="14" s="1"/>
  <c r="I81" i="14" a="1"/>
  <c r="I81" i="14" s="1"/>
  <c r="I82" i="14" a="1"/>
  <c r="I82" i="14" s="1"/>
  <c r="I83" i="14" a="1"/>
  <c r="I83" i="14" s="1"/>
  <c r="I84" i="14" a="1"/>
  <c r="I84" i="14" s="1"/>
  <c r="I85" i="14" a="1"/>
  <c r="I85" i="14" s="1"/>
  <c r="I86" i="14" a="1"/>
  <c r="I86" i="14" s="1"/>
  <c r="I87" i="14" a="1"/>
  <c r="I87" i="14" s="1"/>
  <c r="I88" i="14" a="1"/>
  <c r="I88" i="14" s="1"/>
  <c r="I89" i="14" a="1"/>
  <c r="I89" i="14" s="1"/>
  <c r="I90" i="14" a="1"/>
  <c r="I90" i="14" s="1"/>
  <c r="I91" i="14" a="1"/>
  <c r="I91" i="14" s="1"/>
  <c r="I92" i="14" a="1"/>
  <c r="I92" i="14" s="1"/>
  <c r="I93" i="14" a="1"/>
  <c r="I93" i="14" s="1"/>
  <c r="I94" i="14" a="1"/>
  <c r="I94" i="14" s="1"/>
  <c r="I95" i="14" a="1"/>
  <c r="I95" i="14" s="1"/>
  <c r="I96" i="14" a="1"/>
  <c r="I96" i="14" s="1"/>
  <c r="I97" i="14" a="1"/>
  <c r="I97" i="14" s="1"/>
  <c r="I98" i="14" a="1"/>
  <c r="I98" i="14" s="1"/>
  <c r="I99" i="14" a="1"/>
  <c r="I99" i="14" s="1"/>
  <c r="I100" i="14" a="1"/>
  <c r="I100" i="14" s="1"/>
  <c r="I41" i="14" a="1"/>
  <c r="I41" i="14" s="1"/>
  <c r="I25" i="14" a="1"/>
  <c r="I25" i="14" s="1"/>
  <c r="B24" i="14" a="1"/>
  <c r="B24" i="14" s="1"/>
  <c r="B25" i="14" a="1"/>
  <c r="B25" i="14" s="1"/>
  <c r="B26" i="14" a="1"/>
  <c r="B26" i="14" s="1"/>
  <c r="B27" i="14" a="1"/>
  <c r="B27" i="14" s="1"/>
  <c r="B28" i="14" a="1"/>
  <c r="B28" i="14" s="1"/>
  <c r="B29" i="14" a="1"/>
  <c r="B29" i="14" s="1"/>
  <c r="B30" i="14" a="1"/>
  <c r="B30" i="14" s="1"/>
  <c r="B31" i="14" a="1"/>
  <c r="B31" i="14" s="1"/>
  <c r="B32" i="14" a="1"/>
  <c r="B32" i="14" s="1"/>
  <c r="B33" i="14" a="1"/>
  <c r="B33" i="14" s="1"/>
  <c r="B34" i="14" a="1"/>
  <c r="B34" i="14" s="1"/>
  <c r="B35" i="14" a="1"/>
  <c r="B35" i="14" s="1"/>
  <c r="B36" i="14" a="1"/>
  <c r="B36" i="14" s="1"/>
  <c r="B37" i="14" a="1"/>
  <c r="B37" i="14" s="1"/>
  <c r="B38" i="14" a="1"/>
  <c r="B38" i="14" s="1"/>
  <c r="B39" i="14" a="1"/>
  <c r="B39" i="14" s="1"/>
  <c r="B40" i="14" a="1"/>
  <c r="B40" i="14" s="1"/>
  <c r="B41" i="14" a="1"/>
  <c r="B41" i="14" s="1"/>
  <c r="B42" i="14" a="1"/>
  <c r="B42" i="14" s="1"/>
  <c r="B43" i="14" a="1"/>
  <c r="B43" i="14" s="1"/>
  <c r="B44" i="14" a="1"/>
  <c r="B44" i="14" s="1"/>
  <c r="B45" i="14" a="1"/>
  <c r="B45" i="14" s="1"/>
  <c r="B46" i="14" a="1"/>
  <c r="B46" i="14" s="1"/>
  <c r="B47" i="14" a="1"/>
  <c r="B47" i="14" s="1"/>
  <c r="B48" i="14" a="1"/>
  <c r="B48" i="14" s="1"/>
  <c r="B49" i="14" a="1"/>
  <c r="B49" i="14" s="1"/>
  <c r="B50" i="14" a="1"/>
  <c r="B50" i="14" s="1"/>
  <c r="B51" i="14" a="1"/>
  <c r="B51" i="14" s="1"/>
  <c r="B52" i="14" a="1"/>
  <c r="B52" i="14" s="1"/>
  <c r="B53" i="14" a="1"/>
  <c r="B53" i="14" s="1"/>
  <c r="B54" i="14" a="1"/>
  <c r="B54" i="14" s="1"/>
  <c r="B55" i="14" a="1"/>
  <c r="B55" i="14" s="1"/>
  <c r="B56" i="14" a="1"/>
  <c r="B56" i="14" s="1"/>
  <c r="B57" i="14" a="1"/>
  <c r="B57" i="14" s="1"/>
  <c r="B58" i="14" a="1"/>
  <c r="B58" i="14" s="1"/>
  <c r="B59" i="14" a="1"/>
  <c r="B59" i="14" s="1"/>
  <c r="B60" i="14" a="1"/>
  <c r="B60" i="14" s="1"/>
  <c r="B61" i="14" a="1"/>
  <c r="B61" i="14" s="1"/>
  <c r="B62" i="14" a="1"/>
  <c r="B62" i="14" s="1"/>
  <c r="B63" i="14" a="1"/>
  <c r="B63" i="14" s="1"/>
  <c r="B64" i="14" a="1"/>
  <c r="B64" i="14" s="1"/>
  <c r="B65" i="14" a="1"/>
  <c r="B65" i="14" s="1"/>
  <c r="B66" i="14" a="1"/>
  <c r="B66" i="14" s="1"/>
  <c r="B67" i="14" a="1"/>
  <c r="B67" i="14" s="1"/>
  <c r="B68" i="14" a="1"/>
  <c r="B68" i="14" s="1"/>
  <c r="B69" i="14" a="1"/>
  <c r="B69" i="14" s="1"/>
  <c r="B70" i="14" a="1"/>
  <c r="B70" i="14" s="1"/>
  <c r="B71" i="14" a="1"/>
  <c r="B71" i="14" s="1"/>
  <c r="B72" i="14" a="1"/>
  <c r="B72" i="14" s="1"/>
  <c r="B73" i="14" a="1"/>
  <c r="B73" i="14" s="1"/>
  <c r="B74" i="14" a="1"/>
  <c r="B74" i="14" s="1"/>
  <c r="B75" i="14" a="1"/>
  <c r="B75" i="14" s="1"/>
  <c r="B76" i="14" a="1"/>
  <c r="B76" i="14" s="1"/>
  <c r="B77" i="14" a="1"/>
  <c r="B77" i="14" s="1"/>
  <c r="B78" i="14" a="1"/>
  <c r="B78" i="14" s="1"/>
  <c r="B79" i="14" a="1"/>
  <c r="B79" i="14" s="1"/>
  <c r="B80" i="14" a="1"/>
  <c r="B80" i="14" s="1"/>
  <c r="B81" i="14" a="1"/>
  <c r="B81" i="14" s="1"/>
  <c r="B82" i="14" a="1"/>
  <c r="B82" i="14" s="1"/>
  <c r="B83" i="14" a="1"/>
  <c r="B83" i="14" s="1"/>
  <c r="B84" i="14" a="1"/>
  <c r="B84" i="14" s="1"/>
  <c r="B85" i="14" a="1"/>
  <c r="B85" i="14" s="1"/>
  <c r="B86" i="14" a="1"/>
  <c r="B86" i="14" s="1"/>
  <c r="B87" i="14" a="1"/>
  <c r="B87" i="14" s="1"/>
  <c r="B88" i="14" a="1"/>
  <c r="B88" i="14" s="1"/>
  <c r="B89" i="14" a="1"/>
  <c r="B89" i="14" s="1"/>
  <c r="B90" i="14" a="1"/>
  <c r="B90" i="14" s="1"/>
  <c r="B91" i="14" a="1"/>
  <c r="B91" i="14" s="1"/>
  <c r="B92" i="14" a="1"/>
  <c r="B92" i="14" s="1"/>
  <c r="B93" i="14" a="1"/>
  <c r="B93" i="14" s="1"/>
  <c r="B94" i="14" a="1"/>
  <c r="B94" i="14" s="1"/>
  <c r="B95" i="14" a="1"/>
  <c r="B95" i="14" s="1"/>
  <c r="B96" i="14" a="1"/>
  <c r="B96" i="14" s="1"/>
  <c r="B97" i="14" a="1"/>
  <c r="B97" i="14" s="1"/>
  <c r="B98" i="14" a="1"/>
  <c r="B98" i="14" s="1"/>
  <c r="B99" i="14" a="1"/>
  <c r="B99" i="14" s="1"/>
  <c r="B100" i="14" a="1"/>
  <c r="B100" i="14" s="1"/>
  <c r="B14" i="14" a="1"/>
  <c r="B14" i="14" s="1"/>
  <c r="B15" i="14" a="1"/>
  <c r="B15" i="14" s="1"/>
  <c r="B16" i="14" a="1"/>
  <c r="B16" i="14" s="1"/>
  <c r="B17" i="14" a="1"/>
  <c r="B17" i="14" s="1"/>
  <c r="B18" i="14" a="1"/>
  <c r="B18" i="14" s="1"/>
  <c r="B19" i="14" a="1"/>
  <c r="B19" i="14" s="1"/>
  <c r="B20" i="14" a="1"/>
  <c r="B20" i="14" s="1"/>
  <c r="B21" i="14" a="1"/>
  <c r="B21" i="14" s="1"/>
  <c r="B22" i="14" a="1"/>
  <c r="B22" i="14" s="1"/>
  <c r="B23" i="14" a="1"/>
  <c r="B23" i="14" s="1"/>
  <c r="B8" i="14" a="1"/>
  <c r="B8" i="14" s="1"/>
  <c r="I44" i="5" l="1"/>
  <c r="H44" i="5" s="1"/>
  <c r="M4" i="5"/>
  <c r="L4" i="5" s="1"/>
  <c r="I7" i="14" a="1"/>
  <c r="I7" i="14" s="1"/>
  <c r="I45" i="5" l="1"/>
  <c r="H45" i="5" s="1"/>
  <c r="M5" i="5"/>
  <c r="L5" i="5" s="1"/>
  <c r="D11" i="18"/>
  <c r="D10" i="18"/>
  <c r="D9" i="18"/>
  <c r="D8" i="18"/>
  <c r="D7" i="18"/>
  <c r="L11" i="18"/>
  <c r="I11" i="18"/>
  <c r="H11" i="18"/>
  <c r="F11" i="18"/>
  <c r="E11" i="18"/>
  <c r="C11" i="18"/>
  <c r="L10" i="18"/>
  <c r="I10" i="18"/>
  <c r="H10" i="18"/>
  <c r="F10" i="18"/>
  <c r="E10" i="18"/>
  <c r="C10" i="18"/>
  <c r="L9" i="18"/>
  <c r="I9" i="18"/>
  <c r="H9" i="18"/>
  <c r="F9" i="18"/>
  <c r="E9" i="18"/>
  <c r="C9" i="18"/>
  <c r="L8" i="18"/>
  <c r="I8" i="18"/>
  <c r="H8" i="18"/>
  <c r="F8" i="18"/>
  <c r="E8" i="18"/>
  <c r="C8" i="18"/>
  <c r="H7" i="18"/>
  <c r="F7" i="18"/>
  <c r="E7" i="18"/>
  <c r="I46" i="5" l="1"/>
  <c r="H46" i="5" s="1"/>
  <c r="M6" i="5"/>
  <c r="L6" i="5" s="1"/>
  <c r="G8" i="18"/>
  <c r="G10" i="18"/>
  <c r="G11" i="18"/>
  <c r="G7" i="18"/>
  <c r="G9" i="18"/>
  <c r="I47" i="5" l="1"/>
  <c r="H47" i="5" s="1"/>
  <c r="M7" i="5"/>
  <c r="L7" i="5" s="1"/>
  <c r="I48" i="5" l="1"/>
  <c r="H48" i="5" s="1"/>
  <c r="M8" i="5"/>
  <c r="L8" i="5" s="1"/>
  <c r="H2" i="13"/>
  <c r="I6" i="13"/>
  <c r="H6" i="13"/>
  <c r="L5" i="13"/>
  <c r="K5" i="13"/>
  <c r="J5" i="13"/>
  <c r="I5" i="13"/>
  <c r="H5" i="13"/>
  <c r="L4" i="13"/>
  <c r="K4" i="13"/>
  <c r="J4" i="13"/>
  <c r="I4" i="13"/>
  <c r="H4" i="13"/>
  <c r="L3" i="13"/>
  <c r="K3" i="13"/>
  <c r="J3" i="13"/>
  <c r="I3" i="13"/>
  <c r="H3" i="13"/>
  <c r="L2" i="13"/>
  <c r="K2" i="13"/>
  <c r="J2" i="13"/>
  <c r="I2" i="13"/>
  <c r="D1" i="13"/>
  <c r="C1" i="13"/>
  <c r="E1" i="13" s="1"/>
  <c r="I49" i="5" l="1"/>
  <c r="H49" i="5" s="1"/>
  <c r="M9" i="5"/>
  <c r="L9" i="5" s="1"/>
  <c r="A19" i="13"/>
  <c r="A12" i="13"/>
  <c r="A13" i="13"/>
  <c r="A33" i="13"/>
  <c r="A9" i="13"/>
  <c r="A50" i="13"/>
  <c r="A42" i="13"/>
  <c r="A38" i="13"/>
  <c r="A30" i="13"/>
  <c r="A18" i="13"/>
  <c r="A39" i="13"/>
  <c r="A31" i="13"/>
  <c r="A15" i="13"/>
  <c r="A7" i="13"/>
  <c r="A3" i="13"/>
  <c r="A44" i="13"/>
  <c r="A28" i="13"/>
  <c r="A14" i="13"/>
  <c r="A10" i="13"/>
  <c r="A2" i="13"/>
  <c r="A46" i="13"/>
  <c r="A34" i="13"/>
  <c r="A26" i="13"/>
  <c r="A22" i="13"/>
  <c r="A47" i="13"/>
  <c r="A43" i="13"/>
  <c r="A35" i="13"/>
  <c r="A27" i="13"/>
  <c r="A23" i="13"/>
  <c r="A11" i="13"/>
  <c r="A6" i="13"/>
  <c r="A48" i="13"/>
  <c r="A40" i="13"/>
  <c r="A36" i="13"/>
  <c r="A32" i="13"/>
  <c r="A24" i="13"/>
  <c r="A20" i="13"/>
  <c r="A16" i="13"/>
  <c r="A8" i="13"/>
  <c r="A4" i="13"/>
  <c r="A49" i="13"/>
  <c r="A45" i="13"/>
  <c r="A41" i="13"/>
  <c r="A37" i="13"/>
  <c r="A29" i="13"/>
  <c r="A25" i="13"/>
  <c r="A21" i="13"/>
  <c r="A17" i="13"/>
  <c r="A5" i="13"/>
  <c r="A1" i="13"/>
  <c r="I50" i="5" l="1"/>
  <c r="H50" i="5" s="1"/>
  <c r="M10" i="5"/>
  <c r="L10" i="5" s="1"/>
  <c r="K11" i="13" a="1"/>
  <c r="K11" i="13" s="1"/>
  <c r="K12" i="13" a="1"/>
  <c r="K12" i="13" s="1"/>
  <c r="H12" i="13" a="1"/>
  <c r="H12" i="13" s="1"/>
  <c r="H13" i="13" a="1"/>
  <c r="H13" i="13" s="1"/>
  <c r="J14" i="13" a="1"/>
  <c r="J14" i="13" s="1"/>
  <c r="J15" i="13" a="1"/>
  <c r="J15" i="13" s="1"/>
  <c r="G15" i="13" a="1"/>
  <c r="G15" i="13" s="1"/>
  <c r="G16" i="13" a="1"/>
  <c r="G16" i="13" s="1"/>
  <c r="I17" i="13" a="1"/>
  <c r="I17" i="13" s="1"/>
  <c r="I18" i="13" a="1"/>
  <c r="I18" i="13" s="1"/>
  <c r="K19" i="13" a="1"/>
  <c r="K19" i="13" s="1"/>
  <c r="I11" i="13" a="1"/>
  <c r="I11" i="13" s="1"/>
  <c r="H15" i="13" a="1"/>
  <c r="H15" i="13" s="1"/>
  <c r="G17" i="13" a="1"/>
  <c r="G17" i="13" s="1"/>
  <c r="G11" i="13" a="1"/>
  <c r="G11" i="13" s="1"/>
  <c r="J12" i="13" a="1"/>
  <c r="J12" i="13" s="1"/>
  <c r="J13" i="13" a="1"/>
  <c r="J13" i="13" s="1"/>
  <c r="G13" i="13" a="1"/>
  <c r="G13" i="13" s="1"/>
  <c r="G14" i="13" a="1"/>
  <c r="G14" i="13" s="1"/>
  <c r="I15" i="13" a="1"/>
  <c r="I15" i="13" s="1"/>
  <c r="I16" i="13" a="1"/>
  <c r="I16" i="13" s="1"/>
  <c r="K17" i="13" a="1"/>
  <c r="K17" i="13" s="1"/>
  <c r="K18" i="13" a="1"/>
  <c r="K18" i="13" s="1"/>
  <c r="H18" i="13" a="1"/>
  <c r="H18" i="13" s="1"/>
  <c r="H19" i="13" a="1"/>
  <c r="H19" i="13" s="1"/>
  <c r="H11" i="13" a="1"/>
  <c r="H11" i="13" s="1"/>
  <c r="K13" i="13" a="1"/>
  <c r="K13" i="13" s="1"/>
  <c r="H14" i="13" a="1"/>
  <c r="H14" i="13" s="1"/>
  <c r="J17" i="13" a="1"/>
  <c r="J17" i="13" s="1"/>
  <c r="I19" i="13" a="1"/>
  <c r="I19" i="13" s="1"/>
  <c r="G12" i="13" a="1"/>
  <c r="G12" i="13" s="1"/>
  <c r="I13" i="13" a="1"/>
  <c r="I13" i="13" s="1"/>
  <c r="I14" i="13" a="1"/>
  <c r="I14" i="13" s="1"/>
  <c r="K15" i="13" a="1"/>
  <c r="K15" i="13" s="1"/>
  <c r="K16" i="13" a="1"/>
  <c r="K16" i="13" s="1"/>
  <c r="H16" i="13" a="1"/>
  <c r="H16" i="13" s="1"/>
  <c r="H17" i="13" a="1"/>
  <c r="H17" i="13" s="1"/>
  <c r="J18" i="13" a="1"/>
  <c r="J18" i="13" s="1"/>
  <c r="J19" i="13" a="1"/>
  <c r="J19" i="13" s="1"/>
  <c r="G19" i="13" a="1"/>
  <c r="G19" i="13" s="1"/>
  <c r="I12" i="13" a="1"/>
  <c r="I12" i="13" s="1"/>
  <c r="K14" i="13" a="1"/>
  <c r="K14" i="13" s="1"/>
  <c r="J16" i="13" a="1"/>
  <c r="J16" i="13" s="1"/>
  <c r="G18" i="13" a="1"/>
  <c r="G18" i="13" s="1"/>
  <c r="J11" i="13" a="1"/>
  <c r="J11" i="13" s="1"/>
  <c r="K41" i="13" a="1"/>
  <c r="K41" i="13" s="1"/>
  <c r="G41" i="13" a="1"/>
  <c r="G41" i="13" s="1"/>
  <c r="H40" i="13" a="1"/>
  <c r="H40" i="13" s="1"/>
  <c r="J39" i="13" a="1"/>
  <c r="J39" i="13" s="1"/>
  <c r="K38" i="13" a="1"/>
  <c r="K38" i="13" s="1"/>
  <c r="H38" i="13" a="1"/>
  <c r="H38" i="13" s="1"/>
  <c r="I37" i="13" a="1"/>
  <c r="I37" i="13" s="1"/>
  <c r="G36" i="13" a="1"/>
  <c r="G36" i="13" s="1"/>
  <c r="H35" i="13" a="1"/>
  <c r="H35" i="13" s="1"/>
  <c r="J34" i="13" a="1"/>
  <c r="J34" i="13" s="1"/>
  <c r="K33" i="13" a="1"/>
  <c r="K33" i="13" s="1"/>
  <c r="H33" i="13" a="1"/>
  <c r="H33" i="13" s="1"/>
  <c r="O30" i="13" a="1"/>
  <c r="O30" i="13" s="1"/>
  <c r="K30" i="13" a="1"/>
  <c r="K30" i="13" s="1"/>
  <c r="G30" i="13" a="1"/>
  <c r="G30" i="13" s="1"/>
  <c r="J29" i="13" a="1"/>
  <c r="J29" i="13" s="1"/>
  <c r="Q28" i="13" a="1"/>
  <c r="Q28" i="13" s="1"/>
  <c r="N28" i="13" a="1"/>
  <c r="N28" i="13" s="1"/>
  <c r="I28" i="13" a="1"/>
  <c r="I28" i="13" s="1"/>
  <c r="Q27" i="13" a="1"/>
  <c r="Q27" i="13" s="1"/>
  <c r="M27" i="13" a="1"/>
  <c r="M27" i="13" s="1"/>
  <c r="I27" i="13" a="1"/>
  <c r="I27" i="13" s="1"/>
  <c r="O26" i="13" a="1"/>
  <c r="O26" i="13" s="1"/>
  <c r="G26" i="13" a="1"/>
  <c r="G26" i="13" s="1"/>
  <c r="N25" i="13" a="1"/>
  <c r="N25" i="13" s="1"/>
  <c r="J25" i="13" a="1"/>
  <c r="J25" i="13" s="1"/>
  <c r="Q24" i="13" a="1"/>
  <c r="Q24" i="13" s="1"/>
  <c r="N24" i="13" a="1"/>
  <c r="N24" i="13" s="1"/>
  <c r="I24" i="13" a="1"/>
  <c r="I24" i="13" s="1"/>
  <c r="Q23" i="13" a="1"/>
  <c r="Q23" i="13" s="1"/>
  <c r="M23" i="13" a="1"/>
  <c r="M23" i="13" s="1"/>
  <c r="P22" i="13" a="1"/>
  <c r="P22" i="13" s="1"/>
  <c r="K22" i="13" a="1"/>
  <c r="K22" i="13" s="1"/>
  <c r="H22" i="13" a="1"/>
  <c r="H22" i="13" s="1"/>
  <c r="O19" i="13" a="1"/>
  <c r="O19" i="13" s="1"/>
  <c r="O18" i="13" a="1"/>
  <c r="O18" i="13" s="1"/>
  <c r="N17" i="13" a="1"/>
  <c r="N17" i="13" s="1"/>
  <c r="Q16" i="13" a="1"/>
  <c r="Q16" i="13" s="1"/>
  <c r="N16" i="13" a="1"/>
  <c r="N16" i="13" s="1"/>
  <c r="P15" i="13" a="1"/>
  <c r="P15" i="13" s="1"/>
  <c r="M14" i="13" a="1"/>
  <c r="M14" i="13" s="1"/>
  <c r="P13" i="13" a="1"/>
  <c r="P13" i="13" s="1"/>
  <c r="N12" i="13" a="1"/>
  <c r="N12" i="13" s="1"/>
  <c r="P11" i="13" a="1"/>
  <c r="P11" i="13" s="1"/>
  <c r="J41" i="13" a="1"/>
  <c r="J41" i="13" s="1"/>
  <c r="K40" i="13" a="1"/>
  <c r="K40" i="13" s="1"/>
  <c r="G40" i="13" a="1"/>
  <c r="G40" i="13" s="1"/>
  <c r="I39" i="13" a="1"/>
  <c r="I39" i="13" s="1"/>
  <c r="J38" i="13" a="1"/>
  <c r="J38" i="13" s="1"/>
  <c r="G38" i="13" a="1"/>
  <c r="G38" i="13" s="1"/>
  <c r="H37" i="13" a="1"/>
  <c r="H37" i="13" s="1"/>
  <c r="J36" i="13" a="1"/>
  <c r="J36" i="13" s="1"/>
  <c r="K35" i="13" a="1"/>
  <c r="K35" i="13" s="1"/>
  <c r="I34" i="13" a="1"/>
  <c r="I34" i="13" s="1"/>
  <c r="J33" i="13" a="1"/>
  <c r="J33" i="13" s="1"/>
  <c r="G33" i="13" a="1"/>
  <c r="G33" i="13" s="1"/>
  <c r="N30" i="13" a="1"/>
  <c r="N30" i="13" s="1"/>
  <c r="J30" i="13" a="1"/>
  <c r="J30" i="13" s="1"/>
  <c r="Q29" i="13" a="1"/>
  <c r="Q29" i="13" s="1"/>
  <c r="N29" i="13" a="1"/>
  <c r="N29" i="13" s="1"/>
  <c r="I29" i="13" a="1"/>
  <c r="I29" i="13" s="1"/>
  <c r="M28" i="13" a="1"/>
  <c r="M28" i="13" s="1"/>
  <c r="H28" i="13" a="1"/>
  <c r="H28" i="13" s="1"/>
  <c r="P27" i="13" a="1"/>
  <c r="P27" i="13" s="1"/>
  <c r="K27" i="13" a="1"/>
  <c r="K27" i="13" s="1"/>
  <c r="H27" i="13" a="1"/>
  <c r="H27" i="13" s="1"/>
  <c r="N26" i="13" a="1"/>
  <c r="N26" i="13" s="1"/>
  <c r="J26" i="13" a="1"/>
  <c r="J26" i="13" s="1"/>
  <c r="Q25" i="13" a="1"/>
  <c r="Q25" i="13" s="1"/>
  <c r="I25" i="13" a="1"/>
  <c r="I25" i="13" s="1"/>
  <c r="P24" i="13" a="1"/>
  <c r="P24" i="13" s="1"/>
  <c r="M24" i="13" a="1"/>
  <c r="M24" i="13" s="1"/>
  <c r="H24" i="13" a="1"/>
  <c r="H24" i="13" s="1"/>
  <c r="P23" i="13" a="1"/>
  <c r="P23" i="13" s="1"/>
  <c r="K23" i="13" a="1"/>
  <c r="K23" i="13" s="1"/>
  <c r="H23" i="13" a="1"/>
  <c r="H23" i="13" s="1"/>
  <c r="O22" i="13" a="1"/>
  <c r="O22" i="13" s="1"/>
  <c r="G22" i="13" a="1"/>
  <c r="G22" i="13" s="1"/>
  <c r="N19" i="13" a="1"/>
  <c r="N19" i="13" s="1"/>
  <c r="I41" i="13" a="1"/>
  <c r="I41" i="13" s="1"/>
  <c r="J40" i="13" a="1"/>
  <c r="J40" i="13" s="1"/>
  <c r="H39" i="13" a="1"/>
  <c r="H39" i="13" s="1"/>
  <c r="I38" i="13" a="1"/>
  <c r="I38" i="13" s="1"/>
  <c r="K37" i="13" a="1"/>
  <c r="K37" i="13" s="1"/>
  <c r="G37" i="13" a="1"/>
  <c r="G37" i="13" s="1"/>
  <c r="I36" i="13" a="1"/>
  <c r="I36" i="13" s="1"/>
  <c r="J35" i="13" a="1"/>
  <c r="J35" i="13" s="1"/>
  <c r="G35" i="13" a="1"/>
  <c r="G35" i="13" s="1"/>
  <c r="H34" i="13" a="1"/>
  <c r="H34" i="13" s="1"/>
  <c r="Q30" i="13" a="1"/>
  <c r="Q30" i="13" s="1"/>
  <c r="M30" i="13" a="1"/>
  <c r="M30" i="13" s="1"/>
  <c r="I30" i="13" a="1"/>
  <c r="I30" i="13" s="1"/>
  <c r="P29" i="13" a="1"/>
  <c r="P29" i="13" s="1"/>
  <c r="M29" i="13" a="1"/>
  <c r="M29" i="13" s="1"/>
  <c r="H29" i="13" a="1"/>
  <c r="H29" i="13" s="1"/>
  <c r="P28" i="13" a="1"/>
  <c r="P28" i="13" s="1"/>
  <c r="K28" i="13" a="1"/>
  <c r="K28" i="13" s="1"/>
  <c r="O27" i="13" a="1"/>
  <c r="O27" i="13" s="1"/>
  <c r="J27" i="13" a="1"/>
  <c r="J27" i="13" s="1"/>
  <c r="Q26" i="13" a="1"/>
  <c r="Q26" i="13" s="1"/>
  <c r="M26" i="13" a="1"/>
  <c r="M26" i="13" s="1"/>
  <c r="I26" i="13" a="1"/>
  <c r="I26" i="13" s="1"/>
  <c r="P25" i="13" a="1"/>
  <c r="P25" i="13" s="1"/>
  <c r="M25" i="13" a="1"/>
  <c r="M25" i="13" s="1"/>
  <c r="H25" i="13" a="1"/>
  <c r="H25" i="13" s="1"/>
  <c r="K24" i="13" a="1"/>
  <c r="K24" i="13" s="1"/>
  <c r="G24" i="13" a="1"/>
  <c r="G24" i="13" s="1"/>
  <c r="O23" i="13" a="1"/>
  <c r="O23" i="13" s="1"/>
  <c r="J23" i="13" a="1"/>
  <c r="J23" i="13" s="1"/>
  <c r="G23" i="13" a="1"/>
  <c r="G23" i="13" s="1"/>
  <c r="N22" i="13" a="1"/>
  <c r="N22" i="13" s="1"/>
  <c r="J22" i="13" a="1"/>
  <c r="J22" i="13" s="1"/>
  <c r="Q19" i="13" a="1"/>
  <c r="Q19" i="13" s="1"/>
  <c r="P18" i="13" a="1"/>
  <c r="P18" i="13" s="1"/>
  <c r="M18" i="13" a="1"/>
  <c r="M18" i="13" s="1"/>
  <c r="P17" i="13" a="1"/>
  <c r="P17" i="13" s="1"/>
  <c r="O15" i="13" a="1"/>
  <c r="O15" i="13" s="1"/>
  <c r="Q14" i="13" a="1"/>
  <c r="Q14" i="13" s="1"/>
  <c r="N14" i="13" a="1"/>
  <c r="N14" i="13" s="1"/>
  <c r="N13" i="13" a="1"/>
  <c r="N13" i="13" s="1"/>
  <c r="P12" i="13" a="1"/>
  <c r="P12" i="13" s="1"/>
  <c r="N11" i="13" a="1"/>
  <c r="N11" i="13" s="1"/>
  <c r="H41" i="13" a="1"/>
  <c r="H41" i="13" s="1"/>
  <c r="I40" i="13" a="1"/>
  <c r="I40" i="13" s="1"/>
  <c r="K39" i="13" a="1"/>
  <c r="K39" i="13" s="1"/>
  <c r="G39" i="13" a="1"/>
  <c r="G39" i="13" s="1"/>
  <c r="H36" i="13" a="1"/>
  <c r="H36" i="13" s="1"/>
  <c r="I33" i="13" a="1"/>
  <c r="I33" i="13" s="1"/>
  <c r="O29" i="13" a="1"/>
  <c r="O29" i="13" s="1"/>
  <c r="J28" i="13" a="1"/>
  <c r="J28" i="13" s="1"/>
  <c r="P26" i="13" a="1"/>
  <c r="P26" i="13" s="1"/>
  <c r="K25" i="13" a="1"/>
  <c r="K25" i="13" s="1"/>
  <c r="M22" i="13" a="1"/>
  <c r="M22" i="13" s="1"/>
  <c r="O17" i="13" a="1"/>
  <c r="O17" i="13" s="1"/>
  <c r="Q15" i="13" a="1"/>
  <c r="Q15" i="13" s="1"/>
  <c r="P14" i="13" a="1"/>
  <c r="P14" i="13" s="1"/>
  <c r="M13" i="13" a="1"/>
  <c r="M13" i="13" s="1"/>
  <c r="O12" i="13" a="1"/>
  <c r="O12" i="13" s="1"/>
  <c r="Q11" i="13" a="1"/>
  <c r="Q11" i="13" s="1"/>
  <c r="K34" i="13" a="1"/>
  <c r="K34" i="13" s="1"/>
  <c r="N27" i="13" a="1"/>
  <c r="N27" i="13" s="1"/>
  <c r="O24" i="13" a="1"/>
  <c r="O24" i="13" s="1"/>
  <c r="P19" i="13" a="1"/>
  <c r="P19" i="13" s="1"/>
  <c r="N15" i="13" a="1"/>
  <c r="N15" i="13" s="1"/>
  <c r="Q13" i="13" a="1"/>
  <c r="Q13" i="13" s="1"/>
  <c r="K36" i="13" a="1"/>
  <c r="K36" i="13" s="1"/>
  <c r="G34" i="13" a="1"/>
  <c r="G34" i="13" s="1"/>
  <c r="O28" i="13" a="1"/>
  <c r="O28" i="13" s="1"/>
  <c r="J24" i="13" a="1"/>
  <c r="J24" i="13" s="1"/>
  <c r="M19" i="13" a="1"/>
  <c r="M19" i="13" s="1"/>
  <c r="Q17" i="13" a="1"/>
  <c r="Q17" i="13" s="1"/>
  <c r="M15" i="13" a="1"/>
  <c r="M15" i="13" s="1"/>
  <c r="O13" i="13" a="1"/>
  <c r="O13" i="13" s="1"/>
  <c r="Q12" i="13" a="1"/>
  <c r="Q12" i="13" s="1"/>
  <c r="I35" i="13" a="1"/>
  <c r="I35" i="13" s="1"/>
  <c r="P30" i="13" a="1"/>
  <c r="P30" i="13" s="1"/>
  <c r="K29" i="13" a="1"/>
  <c r="K29" i="13" s="1"/>
  <c r="G28" i="13" a="1"/>
  <c r="G28" i="13" s="1"/>
  <c r="K26" i="13" a="1"/>
  <c r="K26" i="13" s="1"/>
  <c r="G25" i="13" a="1"/>
  <c r="G25" i="13" s="1"/>
  <c r="N23" i="13" a="1"/>
  <c r="N23" i="13" s="1"/>
  <c r="I22" i="13" a="1"/>
  <c r="I22" i="13" s="1"/>
  <c r="Q18" i="13" a="1"/>
  <c r="Q18" i="13" s="1"/>
  <c r="M17" i="13" a="1"/>
  <c r="M17" i="13" s="1"/>
  <c r="P16" i="13" a="1"/>
  <c r="P16" i="13" s="1"/>
  <c r="O14" i="13" a="1"/>
  <c r="O14" i="13" s="1"/>
  <c r="M12" i="13" a="1"/>
  <c r="M12" i="13" s="1"/>
  <c r="O11" i="13" a="1"/>
  <c r="O11" i="13" s="1"/>
  <c r="J37" i="13" a="1"/>
  <c r="J37" i="13" s="1"/>
  <c r="G29" i="13" a="1"/>
  <c r="G29" i="13" s="1"/>
  <c r="H26" i="13" a="1"/>
  <c r="H26" i="13" s="1"/>
  <c r="I23" i="13" a="1"/>
  <c r="I23" i="13" s="1"/>
  <c r="O16" i="13" a="1"/>
  <c r="O16" i="13" s="1"/>
  <c r="M11" i="13" a="1"/>
  <c r="M11" i="13" s="1"/>
  <c r="H30" i="13" a="1"/>
  <c r="H30" i="13" s="1"/>
  <c r="O25" i="13" a="1"/>
  <c r="O25" i="13" s="1"/>
  <c r="Q22" i="13" a="1"/>
  <c r="Q22" i="13" s="1"/>
  <c r="N18" i="13" a="1"/>
  <c r="N18" i="13" s="1"/>
  <c r="M16" i="13" a="1"/>
  <c r="M16" i="13" s="1"/>
  <c r="I51" i="5" l="1"/>
  <c r="H51" i="5" s="1"/>
  <c r="M11" i="5"/>
  <c r="L11" i="5" s="1"/>
  <c r="R4" i="13"/>
  <c r="F10" i="9" s="1"/>
  <c r="T2" i="13"/>
  <c r="H8" i="9" s="1"/>
  <c r="P2" i="13"/>
  <c r="D8" i="9" s="1"/>
  <c r="P6" i="13"/>
  <c r="D12" i="9" s="1"/>
  <c r="R6" i="13"/>
  <c r="F12" i="9" s="1"/>
  <c r="S6" i="13"/>
  <c r="G12" i="9" s="1"/>
  <c r="Q6" i="13"/>
  <c r="E12" i="9" s="1"/>
  <c r="T6" i="13"/>
  <c r="H12" i="9" s="1"/>
  <c r="Q5" i="13"/>
  <c r="E11" i="9" s="1"/>
  <c r="R2" i="13"/>
  <c r="F8" i="9" s="1"/>
  <c r="P3" i="13"/>
  <c r="D9" i="9" s="1"/>
  <c r="P5" i="13"/>
  <c r="D11" i="9" s="1"/>
  <c r="S5" i="13"/>
  <c r="G11" i="9" s="1"/>
  <c r="T5" i="13"/>
  <c r="H11" i="9" s="1"/>
  <c r="R5" i="13"/>
  <c r="F11" i="9" s="1"/>
  <c r="S4" i="13"/>
  <c r="G10" i="9" s="1"/>
  <c r="T4" i="13"/>
  <c r="H10" i="9" s="1"/>
  <c r="Q4" i="13"/>
  <c r="E10" i="9" s="1"/>
  <c r="P4" i="13"/>
  <c r="D10" i="9" s="1"/>
  <c r="S3" i="13"/>
  <c r="G9" i="9" s="1"/>
  <c r="R3" i="13"/>
  <c r="F9" i="9" s="1"/>
  <c r="Q3" i="13"/>
  <c r="E9" i="9" s="1"/>
  <c r="T3" i="13"/>
  <c r="H9" i="9" s="1"/>
  <c r="S2" i="13"/>
  <c r="G8" i="9" s="1"/>
  <c r="Q2" i="13"/>
  <c r="E8" i="9" s="1"/>
  <c r="I52" i="5" l="1"/>
  <c r="H52" i="5" s="1"/>
  <c r="M12" i="5"/>
  <c r="L12" i="5" s="1"/>
  <c r="C4" i="12"/>
  <c r="C5" i="12"/>
  <c r="I53" i="5" l="1"/>
  <c r="H53" i="5" s="1"/>
  <c r="M13" i="5"/>
  <c r="L13" i="5" s="1"/>
  <c r="M19" i="14"/>
  <c r="M23" i="14"/>
  <c r="M27" i="14"/>
  <c r="M31" i="14"/>
  <c r="M35" i="14"/>
  <c r="M39" i="14"/>
  <c r="M43" i="14"/>
  <c r="M47" i="14"/>
  <c r="M51" i="14"/>
  <c r="M55" i="14"/>
  <c r="M59" i="14"/>
  <c r="M63" i="14"/>
  <c r="M67" i="14"/>
  <c r="M71" i="14"/>
  <c r="M75" i="14"/>
  <c r="M79" i="14"/>
  <c r="M83" i="14"/>
  <c r="M87" i="14"/>
  <c r="M91" i="14"/>
  <c r="M95" i="14"/>
  <c r="M99" i="14"/>
  <c r="F24" i="14"/>
  <c r="F67" i="14"/>
  <c r="F77" i="14"/>
  <c r="F78" i="14"/>
  <c r="F80" i="14"/>
  <c r="F88" i="14"/>
  <c r="F89" i="14"/>
  <c r="F93" i="14"/>
  <c r="F95" i="14"/>
  <c r="F99" i="14"/>
  <c r="M20" i="14"/>
  <c r="M24" i="14"/>
  <c r="M28" i="14"/>
  <c r="M32" i="14"/>
  <c r="M36" i="14"/>
  <c r="M40" i="14"/>
  <c r="M44" i="14"/>
  <c r="M48" i="14"/>
  <c r="M52" i="14"/>
  <c r="M56" i="14"/>
  <c r="M60" i="14"/>
  <c r="M64" i="14"/>
  <c r="M68" i="14"/>
  <c r="M72" i="14"/>
  <c r="M76" i="14"/>
  <c r="M80" i="14"/>
  <c r="M84" i="14"/>
  <c r="M88" i="14"/>
  <c r="M92" i="14"/>
  <c r="M96" i="14"/>
  <c r="M100" i="14"/>
  <c r="M21" i="14"/>
  <c r="M25" i="14"/>
  <c r="M29" i="14"/>
  <c r="M33" i="14"/>
  <c r="M37" i="14"/>
  <c r="M41" i="14"/>
  <c r="M45" i="14"/>
  <c r="M49" i="14"/>
  <c r="M53" i="14"/>
  <c r="M57" i="14"/>
  <c r="M61" i="14"/>
  <c r="M65" i="14"/>
  <c r="M69" i="14"/>
  <c r="M73" i="14"/>
  <c r="M77" i="14"/>
  <c r="M81" i="14"/>
  <c r="M85" i="14"/>
  <c r="M89" i="14"/>
  <c r="M93" i="14"/>
  <c r="M97" i="14"/>
  <c r="M18" i="14"/>
  <c r="M22" i="14"/>
  <c r="M26" i="14"/>
  <c r="M30" i="14"/>
  <c r="M34" i="14"/>
  <c r="M38" i="14"/>
  <c r="M42" i="14"/>
  <c r="M46" i="14"/>
  <c r="M50" i="14"/>
  <c r="M54" i="14"/>
  <c r="M58" i="14"/>
  <c r="M62" i="14"/>
  <c r="M66" i="14"/>
  <c r="M70" i="14"/>
  <c r="M74" i="14"/>
  <c r="M78" i="14"/>
  <c r="M82" i="14"/>
  <c r="M86" i="14"/>
  <c r="M90" i="14"/>
  <c r="M94" i="14"/>
  <c r="M98" i="14"/>
  <c r="F27" i="14"/>
  <c r="F28" i="14"/>
  <c r="F31" i="14"/>
  <c r="F32" i="14"/>
  <c r="F35" i="14"/>
  <c r="F36" i="14"/>
  <c r="F39" i="14"/>
  <c r="F40" i="14"/>
  <c r="F43" i="14"/>
  <c r="F44" i="14"/>
  <c r="F47" i="14"/>
  <c r="F48" i="14"/>
  <c r="F51" i="14"/>
  <c r="F52" i="14"/>
  <c r="F53" i="14"/>
  <c r="F54" i="14"/>
  <c r="F41" i="14"/>
  <c r="F49" i="14"/>
  <c r="F57" i="14"/>
  <c r="F62" i="14"/>
  <c r="F84" i="14"/>
  <c r="F29" i="14"/>
  <c r="F33" i="14"/>
  <c r="F38" i="14"/>
  <c r="F46" i="14"/>
  <c r="F55" i="14"/>
  <c r="F60" i="14"/>
  <c r="F61" i="14"/>
  <c r="F64" i="14"/>
  <c r="F73" i="14"/>
  <c r="F79" i="14"/>
  <c r="F81" i="14"/>
  <c r="F87" i="14"/>
  <c r="F92" i="14"/>
  <c r="F94" i="14"/>
  <c r="F96" i="14"/>
  <c r="F14" i="14"/>
  <c r="B16" i="19" s="1"/>
  <c r="F19" i="14"/>
  <c r="F22" i="14"/>
  <c r="F25" i="14"/>
  <c r="F26" i="14"/>
  <c r="F34" i="14"/>
  <c r="F42" i="14"/>
  <c r="F56" i="14"/>
  <c r="F58" i="14"/>
  <c r="F65" i="14"/>
  <c r="F98" i="14"/>
  <c r="F15" i="14"/>
  <c r="B17" i="19" s="1"/>
  <c r="F71" i="14"/>
  <c r="F74" i="14"/>
  <c r="F90" i="14"/>
  <c r="F97" i="14"/>
  <c r="F37" i="14"/>
  <c r="F45" i="14"/>
  <c r="F59" i="14"/>
  <c r="F63" i="14"/>
  <c r="F68" i="14"/>
  <c r="F69" i="14"/>
  <c r="F72" i="14"/>
  <c r="F76" i="14"/>
  <c r="F83" i="14"/>
  <c r="F86" i="14"/>
  <c r="F91" i="14"/>
  <c r="F17" i="14"/>
  <c r="F20" i="14"/>
  <c r="F23" i="14"/>
  <c r="F30" i="14"/>
  <c r="F50" i="14"/>
  <c r="F66" i="14"/>
  <c r="F75" i="14"/>
  <c r="F85" i="14"/>
  <c r="F18" i="14"/>
  <c r="F70" i="14"/>
  <c r="F82" i="14"/>
  <c r="F100" i="14"/>
  <c r="F21" i="14"/>
  <c r="F16" i="14"/>
  <c r="B4" i="14" a="1"/>
  <c r="B4" i="14" s="1"/>
  <c r="B9" i="14" a="1"/>
  <c r="B9" i="14" s="1"/>
  <c r="I8" i="14" a="1"/>
  <c r="I8" i="14" s="1"/>
  <c r="B13" i="14" a="1"/>
  <c r="B13" i="14" s="1"/>
  <c r="I12" i="14" a="1"/>
  <c r="I12" i="14" s="1"/>
  <c r="B5" i="14" a="1"/>
  <c r="B5" i="14" s="1"/>
  <c r="I4" i="14" a="1"/>
  <c r="I4" i="14" s="1"/>
  <c r="B10" i="14" a="1"/>
  <c r="B10" i="14" s="1"/>
  <c r="I9" i="14" a="1"/>
  <c r="I9" i="14" s="1"/>
  <c r="B6" i="14" a="1"/>
  <c r="B6" i="14" s="1"/>
  <c r="I5" i="14" a="1"/>
  <c r="I5" i="14" s="1"/>
  <c r="B11" i="14" a="1"/>
  <c r="B11" i="14" s="1"/>
  <c r="I10" i="14" a="1"/>
  <c r="I10" i="14" s="1"/>
  <c r="I6" i="14" a="1"/>
  <c r="I6" i="14" s="1"/>
  <c r="B7" i="14" a="1"/>
  <c r="B7" i="14" s="1"/>
  <c r="B12" i="14" a="1"/>
  <c r="B12" i="14" s="1"/>
  <c r="I11" i="14" a="1"/>
  <c r="I11" i="14" s="1"/>
  <c r="M17" i="14" l="1"/>
  <c r="M14" i="14"/>
  <c r="B33" i="19" s="1"/>
  <c r="J33" i="19" s="1"/>
  <c r="M16" i="14"/>
  <c r="B35" i="19" s="1"/>
  <c r="J35" i="19" s="1"/>
  <c r="M15" i="14"/>
  <c r="B34" i="19" s="1"/>
  <c r="J34" i="19" s="1"/>
  <c r="I54" i="5"/>
  <c r="H54" i="5" s="1"/>
  <c r="M14" i="5"/>
  <c r="L14" i="5" s="1"/>
  <c r="J16" i="19"/>
  <c r="J17" i="19"/>
  <c r="M13" i="14"/>
  <c r="B32" i="19" s="1"/>
  <c r="F12" i="14"/>
  <c r="B14" i="19" s="1"/>
  <c r="F6" i="14"/>
  <c r="B8" i="19" s="1"/>
  <c r="M6" i="14"/>
  <c r="B25" i="19" s="1"/>
  <c r="M9" i="14"/>
  <c r="B28" i="19" s="1"/>
  <c r="M12" i="14"/>
  <c r="B31" i="19" s="1"/>
  <c r="F5" i="14"/>
  <c r="B7" i="19" s="1"/>
  <c r="F9" i="14"/>
  <c r="B11" i="19" s="1"/>
  <c r="F4" i="14"/>
  <c r="B6" i="19" s="1"/>
  <c r="M4" i="14"/>
  <c r="B23" i="19" s="1"/>
  <c r="M5" i="14"/>
  <c r="B24" i="19" s="1"/>
  <c r="M8" i="14"/>
  <c r="B27" i="19" s="1"/>
  <c r="F8" i="14"/>
  <c r="B10" i="19" s="1"/>
  <c r="M11" i="14"/>
  <c r="B30" i="19" s="1"/>
  <c r="F13" i="14"/>
  <c r="B15" i="19" s="1"/>
  <c r="K17" i="19"/>
  <c r="I17" i="19"/>
  <c r="D17" i="19"/>
  <c r="L17" i="19"/>
  <c r="H17" i="19"/>
  <c r="E17" i="19"/>
  <c r="C17" i="19"/>
  <c r="F17" i="19"/>
  <c r="K16" i="19"/>
  <c r="I16" i="19"/>
  <c r="D16" i="19"/>
  <c r="L16" i="19"/>
  <c r="H16" i="19"/>
  <c r="C16" i="19"/>
  <c r="E16" i="19"/>
  <c r="F16" i="19"/>
  <c r="F10" i="14"/>
  <c r="B12" i="19" s="1"/>
  <c r="F7" i="14"/>
  <c r="B9" i="19" s="1"/>
  <c r="F11" i="14"/>
  <c r="B13" i="19" s="1"/>
  <c r="M10" i="14"/>
  <c r="B29" i="19" s="1"/>
  <c r="M7" i="14"/>
  <c r="B26" i="19" s="1"/>
  <c r="K34" i="19" l="1"/>
  <c r="C34" i="19"/>
  <c r="F34" i="19"/>
  <c r="E34" i="19"/>
  <c r="H34" i="19"/>
  <c r="L34" i="19"/>
  <c r="C33" i="19"/>
  <c r="L33" i="19"/>
  <c r="F33" i="19"/>
  <c r="H33" i="19"/>
  <c r="I33" i="19"/>
  <c r="D35" i="19"/>
  <c r="D33" i="19"/>
  <c r="E33" i="19"/>
  <c r="K33" i="19"/>
  <c r="K35" i="19"/>
  <c r="I35" i="19"/>
  <c r="L35" i="19"/>
  <c r="C35" i="19"/>
  <c r="F35" i="19"/>
  <c r="E35" i="19"/>
  <c r="H35" i="19"/>
  <c r="I34" i="19"/>
  <c r="D34" i="19"/>
  <c r="I55" i="5"/>
  <c r="H55" i="5" s="1"/>
  <c r="M15" i="5"/>
  <c r="L15" i="5" s="1"/>
  <c r="J24" i="19"/>
  <c r="J7" i="19"/>
  <c r="J8" i="19"/>
  <c r="J11" i="19"/>
  <c r="J15" i="19"/>
  <c r="J13" i="19"/>
  <c r="J14" i="19"/>
  <c r="J12" i="19"/>
  <c r="J9" i="19"/>
  <c r="J10" i="19"/>
  <c r="I6" i="19"/>
  <c r="J6" i="19"/>
  <c r="J26" i="19"/>
  <c r="J25" i="19"/>
  <c r="J29" i="19"/>
  <c r="J30" i="19"/>
  <c r="J23" i="19"/>
  <c r="J31" i="19"/>
  <c r="J27" i="19"/>
  <c r="J28" i="19"/>
  <c r="J32" i="19"/>
  <c r="D32" i="19"/>
  <c r="E32" i="19"/>
  <c r="K32" i="19"/>
  <c r="H32" i="19"/>
  <c r="L32" i="19"/>
  <c r="I32" i="19"/>
  <c r="F32" i="19"/>
  <c r="C32" i="19"/>
  <c r="E6" i="19"/>
  <c r="L6" i="19"/>
  <c r="G17" i="19"/>
  <c r="K6" i="19"/>
  <c r="E28" i="19"/>
  <c r="I28" i="19"/>
  <c r="C28" i="19"/>
  <c r="H28" i="19"/>
  <c r="K28" i="19"/>
  <c r="L28" i="19"/>
  <c r="F28" i="19"/>
  <c r="D28" i="19"/>
  <c r="H6" i="19"/>
  <c r="E26" i="19"/>
  <c r="D26" i="19"/>
  <c r="I26" i="19"/>
  <c r="C26" i="19"/>
  <c r="K26" i="19"/>
  <c r="L26" i="19"/>
  <c r="H26" i="19"/>
  <c r="F26" i="19"/>
  <c r="K12" i="19"/>
  <c r="H12" i="19"/>
  <c r="C12" i="19"/>
  <c r="I12" i="19"/>
  <c r="F12" i="19"/>
  <c r="D12" i="19"/>
  <c r="L12" i="19"/>
  <c r="E12" i="19"/>
  <c r="E27" i="19"/>
  <c r="K27" i="19"/>
  <c r="I27" i="19"/>
  <c r="C27" i="19"/>
  <c r="F27" i="19"/>
  <c r="L27" i="19"/>
  <c r="H27" i="19"/>
  <c r="D27" i="19"/>
  <c r="K11" i="19"/>
  <c r="H11" i="19"/>
  <c r="F11" i="19"/>
  <c r="I11" i="19"/>
  <c r="D11" i="19"/>
  <c r="E11" i="19"/>
  <c r="C11" i="19"/>
  <c r="L11" i="19"/>
  <c r="E25" i="19"/>
  <c r="F25" i="19"/>
  <c r="H25" i="19"/>
  <c r="L25" i="19"/>
  <c r="K25" i="19"/>
  <c r="I25" i="19"/>
  <c r="C25" i="19"/>
  <c r="D25" i="19"/>
  <c r="K9" i="19"/>
  <c r="C9" i="19"/>
  <c r="F9" i="19"/>
  <c r="L9" i="19"/>
  <c r="E9" i="19"/>
  <c r="I9" i="19"/>
  <c r="D9" i="19"/>
  <c r="H9" i="19"/>
  <c r="K10" i="19"/>
  <c r="E10" i="19"/>
  <c r="F10" i="19"/>
  <c r="H10" i="19"/>
  <c r="I10" i="19"/>
  <c r="C10" i="19"/>
  <c r="D10" i="19"/>
  <c r="L10" i="19"/>
  <c r="K15" i="19"/>
  <c r="L15" i="19"/>
  <c r="H15" i="19"/>
  <c r="C15" i="19"/>
  <c r="I15" i="19"/>
  <c r="F15" i="19"/>
  <c r="E15" i="19"/>
  <c r="D15" i="19"/>
  <c r="E24" i="19"/>
  <c r="L24" i="19"/>
  <c r="H24" i="19"/>
  <c r="I24" i="19"/>
  <c r="K24" i="19"/>
  <c r="D24" i="19"/>
  <c r="C24" i="19"/>
  <c r="F24" i="19"/>
  <c r="K7" i="19"/>
  <c r="F7" i="19"/>
  <c r="D7" i="19"/>
  <c r="E7" i="19"/>
  <c r="I7" i="19"/>
  <c r="L7" i="19"/>
  <c r="C7" i="19"/>
  <c r="H7" i="19"/>
  <c r="K8" i="19"/>
  <c r="F8" i="19"/>
  <c r="H8" i="19"/>
  <c r="L8" i="19"/>
  <c r="E8" i="19"/>
  <c r="C8" i="19"/>
  <c r="I8" i="19"/>
  <c r="D8" i="19"/>
  <c r="D6" i="19"/>
  <c r="E29" i="19"/>
  <c r="K29" i="19"/>
  <c r="D29" i="19"/>
  <c r="L29" i="19"/>
  <c r="I29" i="19"/>
  <c r="C29" i="19"/>
  <c r="H29" i="19"/>
  <c r="F29" i="19"/>
  <c r="F6" i="19"/>
  <c r="C6" i="19"/>
  <c r="K13" i="19"/>
  <c r="H13" i="19"/>
  <c r="I13" i="19"/>
  <c r="D13" i="19"/>
  <c r="C13" i="19"/>
  <c r="F13" i="19"/>
  <c r="L13" i="19"/>
  <c r="E13" i="19"/>
  <c r="G16" i="19"/>
  <c r="E30" i="19"/>
  <c r="K30" i="19"/>
  <c r="C30" i="19"/>
  <c r="L30" i="19"/>
  <c r="F30" i="19"/>
  <c r="I30" i="19"/>
  <c r="D30" i="19"/>
  <c r="H30" i="19"/>
  <c r="E23" i="19"/>
  <c r="L23" i="19"/>
  <c r="C23" i="19"/>
  <c r="F23" i="19"/>
  <c r="D23" i="19"/>
  <c r="K23" i="19"/>
  <c r="I23" i="19"/>
  <c r="H23" i="19"/>
  <c r="E31" i="19"/>
  <c r="L31" i="19"/>
  <c r="C31" i="19"/>
  <c r="H31" i="19"/>
  <c r="K31" i="19"/>
  <c r="I31" i="19"/>
  <c r="D31" i="19"/>
  <c r="F31" i="19"/>
  <c r="K14" i="19"/>
  <c r="L14" i="19"/>
  <c r="C14" i="19"/>
  <c r="D14" i="19"/>
  <c r="I14" i="19"/>
  <c r="H14" i="19"/>
  <c r="F14" i="19"/>
  <c r="E14" i="19"/>
  <c r="G34" i="19" l="1"/>
  <c r="G33" i="19"/>
  <c r="G35" i="19"/>
  <c r="I56" i="5"/>
  <c r="M16" i="5"/>
  <c r="L16" i="5" s="1"/>
  <c r="G6" i="19"/>
  <c r="G32" i="19"/>
  <c r="G14" i="19"/>
  <c r="G12" i="19"/>
  <c r="G31" i="19"/>
  <c r="G23" i="19"/>
  <c r="G29" i="19"/>
  <c r="G15" i="19"/>
  <c r="G10" i="19"/>
  <c r="G11" i="19"/>
  <c r="G8" i="19"/>
  <c r="G24" i="19"/>
  <c r="G9" i="19"/>
  <c r="G25" i="19"/>
  <c r="G27" i="19"/>
  <c r="G26" i="19"/>
  <c r="G30" i="19"/>
  <c r="G13" i="19"/>
  <c r="G7" i="19"/>
  <c r="G28" i="19"/>
  <c r="I57" i="5" l="1"/>
  <c r="H56" i="5"/>
  <c r="M17" i="5"/>
  <c r="L17" i="5" s="1"/>
  <c r="I58" i="5" l="1"/>
  <c r="H57" i="5"/>
  <c r="M18" i="5"/>
  <c r="L18" i="5" s="1"/>
  <c r="I59" i="5" l="1"/>
  <c r="H58" i="5"/>
  <c r="M19" i="5"/>
  <c r="L19" i="5" s="1"/>
  <c r="H59" i="5" l="1"/>
  <c r="I60" i="5"/>
  <c r="M20" i="5"/>
  <c r="L20" i="5" s="1"/>
  <c r="H60" i="5" l="1"/>
  <c r="I61" i="5"/>
  <c r="M21" i="5"/>
  <c r="L21" i="5" s="1"/>
  <c r="H61" i="5" l="1"/>
  <c r="I62" i="5"/>
  <c r="M22" i="5"/>
  <c r="L22" i="5" s="1"/>
  <c r="H62" i="5" l="1"/>
  <c r="I63" i="5"/>
  <c r="M23" i="5"/>
  <c r="L23" i="5" s="1"/>
  <c r="H63" i="5" l="1"/>
  <c r="I64" i="5"/>
  <c r="M24" i="5"/>
  <c r="L24" i="5" s="1"/>
  <c r="I65" i="5" l="1"/>
  <c r="H64" i="5"/>
  <c r="M25" i="5"/>
  <c r="L25" i="5" s="1"/>
  <c r="I66" i="5" l="1"/>
  <c r="H65" i="5"/>
  <c r="M26" i="5"/>
  <c r="L26" i="5" s="1"/>
  <c r="I67" i="5" l="1"/>
  <c r="H66" i="5"/>
  <c r="M27" i="5"/>
  <c r="L27" i="5" s="1"/>
  <c r="H67" i="5" l="1"/>
  <c r="I68" i="5"/>
  <c r="M28" i="5"/>
  <c r="L28" i="5" s="1"/>
  <c r="H68" i="5" l="1"/>
  <c r="I69" i="5"/>
  <c r="M29" i="5"/>
  <c r="L29" i="5" s="1"/>
  <c r="H69" i="5" l="1"/>
  <c r="I70" i="5"/>
  <c r="M30" i="5"/>
  <c r="L30" i="5" s="1"/>
  <c r="H70" i="5" l="1"/>
  <c r="I71" i="5"/>
  <c r="M31" i="5"/>
  <c r="L31" i="5" s="1"/>
  <c r="H71" i="5" l="1"/>
  <c r="I72" i="5"/>
  <c r="M32" i="5"/>
  <c r="L32" i="5" s="1"/>
  <c r="I73" i="5" l="1"/>
  <c r="H72" i="5"/>
  <c r="M33" i="5"/>
  <c r="L33" i="5" s="1"/>
  <c r="I74" i="5" l="1"/>
  <c r="H73" i="5"/>
  <c r="M34" i="5"/>
  <c r="L34" i="5" s="1"/>
  <c r="I75" i="5" l="1"/>
  <c r="H74" i="5"/>
  <c r="M35" i="5"/>
  <c r="L35" i="5" s="1"/>
  <c r="H75" i="5" l="1"/>
  <c r="I76" i="5"/>
  <c r="M36" i="5"/>
  <c r="L36" i="5" s="1"/>
  <c r="H76" i="5" l="1"/>
  <c r="I77" i="5"/>
  <c r="M37" i="5"/>
  <c r="L37" i="5" s="1"/>
  <c r="H77" i="5" l="1"/>
  <c r="I78" i="5"/>
  <c r="M38" i="5"/>
  <c r="L38" i="5" s="1"/>
  <c r="H78" i="5" l="1"/>
  <c r="I79" i="5"/>
  <c r="M39" i="5"/>
  <c r="L39" i="5" s="1"/>
  <c r="H79" i="5" l="1"/>
  <c r="I80" i="5"/>
  <c r="M40" i="5"/>
  <c r="L40" i="5" s="1"/>
  <c r="I81" i="5" l="1"/>
  <c r="H80" i="5"/>
  <c r="M41" i="5"/>
  <c r="L41" i="5" s="1"/>
  <c r="I82" i="5" l="1"/>
  <c r="H81" i="5"/>
  <c r="M42" i="5"/>
  <c r="L42" i="5" s="1"/>
  <c r="I83" i="5" l="1"/>
  <c r="H82" i="5"/>
  <c r="M43" i="5"/>
  <c r="L43" i="5" s="1"/>
  <c r="H83" i="5" l="1"/>
  <c r="I84" i="5"/>
  <c r="M44" i="5"/>
  <c r="L44" i="5" s="1"/>
  <c r="H84" i="5" l="1"/>
  <c r="I85" i="5"/>
  <c r="M45" i="5"/>
  <c r="L45" i="5" s="1"/>
  <c r="H85" i="5" l="1"/>
  <c r="I86" i="5"/>
  <c r="H86" i="5" s="1"/>
  <c r="M46" i="5"/>
  <c r="L46" i="5" s="1"/>
  <c r="M47" i="5" l="1"/>
  <c r="L47" i="5" s="1"/>
  <c r="M48" i="5" l="1"/>
  <c r="L48" i="5" s="1"/>
  <c r="M49" i="5" l="1"/>
  <c r="L49" i="5" s="1"/>
  <c r="M50" i="5" l="1"/>
  <c r="L50" i="5" s="1"/>
  <c r="M51" i="5" l="1"/>
  <c r="L51" i="5" s="1"/>
  <c r="M52" i="5" l="1"/>
  <c r="L52" i="5" s="1"/>
  <c r="M53" i="5" l="1"/>
  <c r="L53" i="5" s="1"/>
  <c r="M54" i="5" l="1"/>
  <c r="M55" i="5" l="1"/>
  <c r="L54" i="5"/>
  <c r="L55" i="5" l="1"/>
  <c r="L95" i="4" s="1"/>
  <c r="L79" i="4"/>
  <c r="L64" i="4"/>
  <c r="L41" i="4"/>
  <c r="L57" i="4"/>
  <c r="L99" i="4"/>
  <c r="L62" i="4"/>
  <c r="L22" i="4"/>
  <c r="L37" i="4"/>
  <c r="L85" i="4"/>
  <c r="L51" i="4"/>
  <c r="L63" i="4"/>
  <c r="L113" i="4"/>
  <c r="L46" i="4"/>
  <c r="L112" i="4"/>
  <c r="L84" i="4"/>
  <c r="L60" i="4"/>
  <c r="L50" i="4"/>
  <c r="L66" i="4"/>
  <c r="L33" i="4"/>
  <c r="L47" i="4"/>
  <c r="L42" i="4"/>
  <c r="L69" i="4"/>
  <c r="L34" i="4"/>
  <c r="L43" i="4"/>
  <c r="L111" i="4"/>
  <c r="L68" i="4"/>
  <c r="L36" i="4"/>
  <c r="L45" i="4"/>
  <c r="L55" i="4"/>
  <c r="L54" i="4"/>
  <c r="L67" i="4"/>
  <c r="L53" i="4"/>
  <c r="L39" i="4"/>
  <c r="L31" i="4"/>
  <c r="L30" i="4"/>
  <c r="L23" i="4"/>
  <c r="L90" i="4"/>
  <c r="L73" i="4"/>
  <c r="L114" i="4"/>
  <c r="L101" i="4"/>
  <c r="L61" i="4"/>
  <c r="L49" i="4"/>
  <c r="L40" i="4"/>
  <c r="L24" i="4"/>
  <c r="L59" i="4"/>
  <c r="L21" i="4"/>
  <c r="L70" i="4"/>
  <c r="L86" i="4"/>
  <c r="L27" i="4"/>
  <c r="L102" i="4"/>
  <c r="L105" i="4"/>
  <c r="L32" i="4"/>
  <c r="L44" i="4"/>
  <c r="L48" i="4"/>
  <c r="L80" i="4"/>
  <c r="L97" i="4"/>
  <c r="L91" i="4"/>
  <c r="L109" i="4"/>
  <c r="L38" i="4"/>
  <c r="L72" i="4"/>
  <c r="L108" i="4"/>
  <c r="L89" i="4"/>
  <c r="L76" i="4"/>
  <c r="L71" i="4"/>
  <c r="L83" i="4"/>
  <c r="L106" i="4"/>
  <c r="L107" i="4"/>
  <c r="L75" i="4"/>
  <c r="L103" i="4"/>
  <c r="L96" i="4"/>
  <c r="L87" i="4"/>
  <c r="L104" i="4"/>
  <c r="L56" i="4"/>
  <c r="L93" i="4"/>
  <c r="L82" i="4"/>
  <c r="L26" i="4"/>
  <c r="L29" i="4"/>
  <c r="L35" i="4"/>
  <c r="L88" i="4"/>
  <c r="L77" i="4"/>
  <c r="L92" i="4"/>
  <c r="M56" i="5"/>
  <c r="M57" i="5" l="1"/>
  <c r="L56" i="5"/>
  <c r="L98" i="4"/>
  <c r="L110" i="4"/>
  <c r="L65" i="4"/>
  <c r="L74" i="4"/>
  <c r="L52" i="4"/>
  <c r="L100" i="4"/>
  <c r="L16" i="17" s="1" a="1"/>
  <c r="L16" i="17" s="1"/>
  <c r="B16" i="17" s="1"/>
  <c r="D16" i="17" s="1"/>
  <c r="L78" i="4"/>
  <c r="L58" i="4"/>
  <c r="L25" i="4"/>
  <c r="L94" i="4"/>
  <c r="L28" i="4"/>
  <c r="L81" i="4"/>
  <c r="L12" i="17" a="1"/>
  <c r="L12" i="17" s="1"/>
  <c r="B12" i="17" s="1"/>
  <c r="K12" i="17" s="1"/>
  <c r="L13" i="17" a="1"/>
  <c r="L13" i="17" s="1"/>
  <c r="B13" i="17" s="1"/>
  <c r="D13" i="17" s="1"/>
  <c r="L15" i="17" a="1"/>
  <c r="L15" i="17" s="1"/>
  <c r="B15" i="17" s="1"/>
  <c r="J15" i="17" s="1"/>
  <c r="L10" i="17" l="1" a="1"/>
  <c r="L10" i="17" s="1"/>
  <c r="B10" i="17" s="1"/>
  <c r="K10" i="17" s="1"/>
  <c r="L7" i="17" a="1"/>
  <c r="L7" i="17" s="1"/>
  <c r="B7" i="17" s="1"/>
  <c r="K7" i="17" s="1"/>
  <c r="L9" i="17" a="1"/>
  <c r="L9" i="17" s="1"/>
  <c r="B9" i="17" s="1"/>
  <c r="J9" i="17" s="1"/>
  <c r="L14" i="17" a="1"/>
  <c r="L14" i="17" s="1"/>
  <c r="B14" i="17" s="1"/>
  <c r="D14" i="17" s="1"/>
  <c r="L8" i="17" a="1"/>
  <c r="L8" i="17" s="1"/>
  <c r="B8" i="17" s="1"/>
  <c r="L11" i="17" a="1"/>
  <c r="L11" i="17" s="1"/>
  <c r="B11" i="17" s="1"/>
  <c r="C11" i="17" s="1"/>
  <c r="M58" i="5"/>
  <c r="L57" i="5"/>
  <c r="E12" i="17"/>
  <c r="C12" i="17"/>
  <c r="H12" i="17"/>
  <c r="I12" i="17"/>
  <c r="D12" i="17"/>
  <c r="J12" i="17"/>
  <c r="F12" i="17"/>
  <c r="F16" i="17"/>
  <c r="C16" i="17"/>
  <c r="E16" i="17"/>
  <c r="I16" i="17"/>
  <c r="H16" i="17"/>
  <c r="J16" i="17"/>
  <c r="K16" i="17"/>
  <c r="E13" i="17"/>
  <c r="D15" i="17"/>
  <c r="F13" i="17"/>
  <c r="C15" i="17"/>
  <c r="C13" i="17"/>
  <c r="K13" i="17"/>
  <c r="I15" i="17"/>
  <c r="H13" i="17"/>
  <c r="F15" i="17"/>
  <c r="I13" i="17"/>
  <c r="K15" i="17"/>
  <c r="J13" i="17"/>
  <c r="H15" i="17"/>
  <c r="E15" i="17"/>
  <c r="K9" i="17" l="1"/>
  <c r="E9" i="17"/>
  <c r="C14" i="17"/>
  <c r="H14" i="17"/>
  <c r="F14" i="17"/>
  <c r="F7" i="17"/>
  <c r="J14" i="17"/>
  <c r="C9" i="17"/>
  <c r="E14" i="17"/>
  <c r="H7" i="17"/>
  <c r="C7" i="17"/>
  <c r="J7" i="17"/>
  <c r="I14" i="17"/>
  <c r="H9" i="17"/>
  <c r="H11" i="17"/>
  <c r="I7" i="17"/>
  <c r="D7" i="17"/>
  <c r="K11" i="17"/>
  <c r="F10" i="17"/>
  <c r="E7" i="17"/>
  <c r="K14" i="17"/>
  <c r="I9" i="17"/>
  <c r="E11" i="17"/>
  <c r="F9" i="17"/>
  <c r="G9" i="17" s="1"/>
  <c r="D9" i="17"/>
  <c r="F11" i="17"/>
  <c r="L58" i="5"/>
  <c r="M59" i="5"/>
  <c r="D11" i="17"/>
  <c r="C10" i="17"/>
  <c r="E8" i="17"/>
  <c r="K8" i="17"/>
  <c r="J8" i="17"/>
  <c r="D8" i="17"/>
  <c r="I8" i="17"/>
  <c r="F8" i="17"/>
  <c r="H8" i="17"/>
  <c r="C8" i="17"/>
  <c r="I11" i="17"/>
  <c r="J10" i="17"/>
  <c r="E10" i="17"/>
  <c r="J11" i="17"/>
  <c r="D10" i="17"/>
  <c r="H10" i="17"/>
  <c r="I10" i="17"/>
  <c r="G12" i="17"/>
  <c r="G16" i="17"/>
  <c r="G15" i="17"/>
  <c r="G13" i="17"/>
  <c r="G11" i="17" l="1"/>
  <c r="G10" i="17"/>
  <c r="G7" i="17"/>
  <c r="G8" i="17"/>
  <c r="G14" i="17"/>
  <c r="L59" i="5"/>
  <c r="M60" i="5"/>
  <c r="L60" i="5" l="1"/>
  <c r="M61" i="5"/>
  <c r="L61" i="5" l="1"/>
  <c r="M62" i="5"/>
  <c r="L62" i="5" l="1"/>
  <c r="M63" i="5"/>
  <c r="M64" i="5" l="1"/>
  <c r="L63" i="5"/>
  <c r="M65" i="5" l="1"/>
  <c r="L64" i="5"/>
  <c r="M66" i="5" l="1"/>
  <c r="L65" i="5"/>
  <c r="L66" i="5" l="1"/>
  <c r="M67" i="5"/>
  <c r="L67" i="5" l="1"/>
  <c r="M68" i="5"/>
  <c r="L68" i="5" l="1"/>
  <c r="M69" i="5"/>
  <c r="L69" i="5" l="1"/>
  <c r="M70" i="5"/>
  <c r="L70" i="5" l="1"/>
  <c r="M71" i="5"/>
  <c r="M72" i="5" l="1"/>
  <c r="L71" i="5"/>
  <c r="M73" i="5" l="1"/>
  <c r="L72" i="5"/>
  <c r="M74" i="5" l="1"/>
  <c r="L73" i="5"/>
  <c r="L74" i="5" l="1"/>
  <c r="M75" i="5"/>
  <c r="L75" i="5" l="1"/>
  <c r="M76" i="5"/>
  <c r="L76" i="5" l="1"/>
  <c r="M77" i="5"/>
  <c r="L77" i="5" l="1"/>
  <c r="M78" i="5"/>
  <c r="L78" i="5" l="1"/>
  <c r="M79" i="5"/>
  <c r="M80" i="5" l="1"/>
  <c r="L79" i="5"/>
  <c r="M81" i="5" l="1"/>
  <c r="L80" i="5"/>
  <c r="M82" i="5" l="1"/>
  <c r="L81" i="5"/>
  <c r="L82" i="5" l="1"/>
  <c r="M83" i="5"/>
  <c r="L83" i="5" l="1"/>
  <c r="M84" i="5"/>
  <c r="L84" i="5" l="1"/>
  <c r="M85" i="5"/>
  <c r="L85" i="5" s="1"/>
</calcChain>
</file>

<file path=xl/comments1.xml><?xml version="1.0" encoding="utf-8"?>
<comments xmlns="http://schemas.openxmlformats.org/spreadsheetml/2006/main">
  <authors>
    <author>Christian Sommer Jensen</author>
  </authors>
  <commentList>
    <comment ref="B14" authorId="0" shapeId="0">
      <text>
        <r>
          <rPr>
            <b/>
            <sz val="9"/>
            <color indexed="81"/>
            <rFont val="Calibri"/>
            <family val="2"/>
            <scheme val="minor"/>
          </rPr>
          <t>Fortløbende nummerering af risici af hensyn til identifikation.</t>
        </r>
        <r>
          <rPr>
            <sz val="9"/>
            <color indexed="81"/>
            <rFont val="Calibri"/>
            <family val="2"/>
            <scheme val="minor"/>
          </rPr>
          <t xml:space="preserve">
</t>
        </r>
      </text>
    </comment>
    <comment ref="C14" authorId="0" shapeId="0">
      <text>
        <r>
          <rPr>
            <b/>
            <sz val="9"/>
            <color indexed="81"/>
            <rFont val="Calibri"/>
            <family val="2"/>
            <scheme val="minor"/>
          </rPr>
          <t>Dato for registrering eller opdatering af risiko.</t>
        </r>
        <r>
          <rPr>
            <sz val="9"/>
            <color indexed="81"/>
            <rFont val="Tahoma"/>
            <family val="2"/>
          </rPr>
          <t xml:space="preserve">
</t>
        </r>
      </text>
    </comment>
    <comment ref="D14" authorId="0" shapeId="0">
      <text>
        <r>
          <rPr>
            <b/>
            <sz val="9"/>
            <color indexed="81"/>
            <rFont val="Calibri"/>
            <family val="2"/>
            <scheme val="minor"/>
          </rPr>
          <t>Angiv initialer på forfatter til tilføjelsen/opdateringen af risikoen.</t>
        </r>
        <r>
          <rPr>
            <sz val="9"/>
            <color indexed="81"/>
            <rFont val="Tahoma"/>
            <family val="2"/>
          </rPr>
          <t xml:space="preserve">
</t>
        </r>
      </text>
    </comment>
    <comment ref="E14" authorId="0" shapeId="0">
      <text>
        <r>
          <rPr>
            <b/>
            <sz val="9"/>
            <color indexed="81"/>
            <rFont val="Calibri"/>
            <family val="2"/>
            <scheme val="minor"/>
          </rPr>
          <t xml:space="preserve">Vælg fra listen hvilken risikogruppe risikoen tilhører. Se fanen "Vejledning" for en forklaring af typerne. </t>
        </r>
      </text>
    </comment>
    <comment ref="F14" authorId="0" shapeId="0">
      <text>
        <r>
          <rPr>
            <b/>
            <sz val="9"/>
            <color indexed="81"/>
            <rFont val="Calibri"/>
            <family val="2"/>
            <scheme val="minor"/>
          </rPr>
          <t>Kort og præcis beskrivelse af årsagen til den pågældende risiko, dvs. den begivenhed eller situation, som er kilden til risikoen, samt beskrivelse af den pågældende hændelse.</t>
        </r>
        <r>
          <rPr>
            <sz val="9"/>
            <color indexed="81"/>
            <rFont val="Tahoma"/>
            <family val="2"/>
          </rPr>
          <t xml:space="preserve">
</t>
        </r>
      </text>
    </comment>
    <comment ref="G14" authorId="0" shapeId="0">
      <text>
        <r>
          <rPr>
            <b/>
            <sz val="9"/>
            <color indexed="81"/>
            <rFont val="Calibri"/>
            <family val="2"/>
            <scheme val="minor"/>
          </rPr>
          <t>Kort og præcis beskrivelse af den pågældende risikos konsekvens.</t>
        </r>
        <r>
          <rPr>
            <sz val="9"/>
            <color indexed="81"/>
            <rFont val="Calibri"/>
            <family val="2"/>
            <scheme val="minor"/>
          </rPr>
          <t xml:space="preserve">
</t>
        </r>
      </text>
    </comment>
    <comment ref="H14" authorId="0" shapeId="0">
      <text>
        <r>
          <rPr>
            <b/>
            <sz val="9"/>
            <color indexed="81"/>
            <rFont val="Calibri"/>
            <family val="2"/>
            <scheme val="minor"/>
          </rPr>
          <t>Vælg fra listen et tal fra 1-5 sandsynligheden for at risikoen indtræffer:</t>
        </r>
        <r>
          <rPr>
            <sz val="9"/>
            <color indexed="81"/>
            <rFont val="Tahoma"/>
            <family val="2"/>
          </rPr>
          <t xml:space="preserve">
</t>
        </r>
      </text>
    </comment>
    <comment ref="I14" authorId="0" shapeId="0">
      <text>
        <r>
          <rPr>
            <b/>
            <sz val="9"/>
            <color indexed="81"/>
            <rFont val="Calibri"/>
            <family val="2"/>
            <scheme val="minor"/>
          </rPr>
          <t xml:space="preserve">Vælg fra listen en værdi fra 1-5 for de negative konsekvenser hvis risikoen indtræffer: </t>
        </r>
      </text>
    </comment>
    <comment ref="J14" authorId="0" shapeId="0">
      <text>
        <r>
          <rPr>
            <b/>
            <sz val="9"/>
            <color indexed="81"/>
            <rFont val="Calibri"/>
            <family val="2"/>
            <scheme val="minor"/>
          </rPr>
          <t>Udregnes automatisk som sandsynlighed gange konsekvens.</t>
        </r>
        <r>
          <rPr>
            <sz val="9"/>
            <color indexed="81"/>
            <rFont val="Calibri"/>
            <family val="2"/>
            <scheme val="minor"/>
          </rPr>
          <t xml:space="preserve">
</t>
        </r>
      </text>
    </comment>
    <comment ref="K14" authorId="0" shapeId="0">
      <text>
        <r>
          <rPr>
            <b/>
            <sz val="9"/>
            <color indexed="81"/>
            <rFont val="Calibri"/>
            <family val="2"/>
            <scheme val="minor"/>
          </rPr>
          <t>Vælg hvilket kvartal risikoen forventes at ville indtræffe (hvis den indtræffer)
Bemærk, at der skal vælges startkvartal først.</t>
        </r>
      </text>
    </comment>
    <comment ref="M14" authorId="0" shapeId="0">
      <text>
        <r>
          <rPr>
            <b/>
            <sz val="9"/>
            <color indexed="81"/>
            <rFont val="Calibri"/>
            <family val="2"/>
            <scheme val="minor"/>
          </rPr>
          <t xml:space="preserve">Angiv initialer på personer, der har ansvaret for risikoen. </t>
        </r>
        <r>
          <rPr>
            <sz val="9"/>
            <color indexed="81"/>
            <rFont val="Tahoma"/>
            <family val="2"/>
          </rPr>
          <t xml:space="preserve">
</t>
        </r>
      </text>
    </comment>
    <comment ref="N14" authorId="0" shapeId="0">
      <text>
        <r>
          <rPr>
            <b/>
            <sz val="9"/>
            <color indexed="81"/>
            <rFont val="Calibri"/>
            <family val="2"/>
            <scheme val="minor"/>
          </rPr>
          <t>Angiv hvilke mitigerende handlinger der er planlagt for at imødegå risikoen.</t>
        </r>
      </text>
    </comment>
    <comment ref="O14" authorId="0" shapeId="0">
      <text>
        <r>
          <rPr>
            <b/>
            <sz val="9"/>
            <color indexed="81"/>
            <rFont val="Calibri"/>
            <family val="2"/>
            <scheme val="minor"/>
          </rPr>
          <t xml:space="preserve">Angiv initialer på den person, som er ansvarlig for at udføre den mitigerende handling. </t>
        </r>
        <r>
          <rPr>
            <b/>
            <sz val="9"/>
            <color indexed="81"/>
            <rFont val="Tahoma"/>
            <family val="2"/>
          </rPr>
          <t xml:space="preserve">
</t>
        </r>
        <r>
          <rPr>
            <sz val="9"/>
            <color indexed="81"/>
            <rFont val="Tahoma"/>
            <family val="2"/>
          </rPr>
          <t xml:space="preserve">
</t>
        </r>
      </text>
    </comment>
    <comment ref="P14" authorId="0" shapeId="0">
      <text>
        <r>
          <rPr>
            <b/>
            <sz val="9"/>
            <color indexed="81"/>
            <rFont val="Calibri"/>
            <family val="2"/>
            <scheme val="minor"/>
          </rPr>
          <t>Angiv, om risikomitigerende tiltag er lagt i projektets plan</t>
        </r>
        <r>
          <rPr>
            <sz val="9"/>
            <color indexed="81"/>
            <rFont val="Tahoma"/>
            <family val="2"/>
          </rPr>
          <t xml:space="preserve">
</t>
        </r>
      </text>
    </comment>
    <comment ref="Q14" authorId="0" shapeId="0">
      <text>
        <r>
          <rPr>
            <b/>
            <sz val="9"/>
            <color indexed="81"/>
            <rFont val="Calibri"/>
            <family val="2"/>
            <scheme val="minor"/>
          </rPr>
          <t>Angiv, om udgifter til risikomitigerende tiltag er inkluderet i det samlede budget og business case (ikke i risikopulje)</t>
        </r>
        <r>
          <rPr>
            <sz val="9"/>
            <color indexed="81"/>
            <rFont val="Tahoma"/>
            <family val="2"/>
          </rPr>
          <t xml:space="preserve">
</t>
        </r>
      </text>
    </comment>
    <comment ref="R14" authorId="0" shapeId="0">
      <text>
        <r>
          <rPr>
            <b/>
            <sz val="9"/>
            <color indexed="81"/>
            <rFont val="Calibri"/>
            <family val="2"/>
            <scheme val="minor"/>
          </rPr>
          <t xml:space="preserve">Angiv hvilken sandsynlighed der vil være for at risikoen indtræffer, efter de mitigerende tiltag i givet fald er gennemført. Der bruges samme skala som tidligere. </t>
        </r>
        <r>
          <rPr>
            <sz val="9"/>
            <color indexed="81"/>
            <rFont val="Tahoma"/>
            <family val="2"/>
          </rPr>
          <t xml:space="preserve">
</t>
        </r>
      </text>
    </comment>
    <comment ref="S14" authorId="0" shapeId="0">
      <text>
        <r>
          <rPr>
            <b/>
            <sz val="9"/>
            <color indexed="81"/>
            <rFont val="Calibri"/>
            <family val="2"/>
            <scheme val="minor"/>
          </rPr>
          <t>Angiv hvilken konsekvens risikoen vil have, hvis den indtræffer, efter at de mitigerende tiltag i givet fald er gennemført. Der bruges samme skala som tidligere.</t>
        </r>
        <r>
          <rPr>
            <sz val="9"/>
            <color indexed="81"/>
            <rFont val="Tahoma"/>
            <family val="2"/>
          </rPr>
          <t xml:space="preserve">
</t>
        </r>
      </text>
    </comment>
    <comment ref="T14" authorId="0" shapeId="0">
      <text>
        <r>
          <rPr>
            <b/>
            <sz val="9"/>
            <color indexed="81"/>
            <rFont val="Calibri"/>
            <family val="2"/>
            <scheme val="minor"/>
          </rPr>
          <t>Beregnes automatisk som sandsynlighed efter tiltag gange konskevens efter tiltag.</t>
        </r>
        <r>
          <rPr>
            <sz val="9"/>
            <color indexed="81"/>
            <rFont val="Tahoma"/>
            <family val="2"/>
          </rPr>
          <t xml:space="preserve">
</t>
        </r>
      </text>
    </comment>
    <comment ref="U14" authorId="0" shapeId="0">
      <text>
        <r>
          <rPr>
            <b/>
            <sz val="9"/>
            <color indexed="81"/>
            <rFont val="Calibri"/>
            <family val="2"/>
            <scheme val="minor"/>
          </rPr>
          <t>Angiv hvordan projektet vil håndtere risikoen hvis den indtræffer. Det kan for eksempel være ved at bruge ekstra midler på ekstern bistand eller ved at forlænge udviklingsperioden.</t>
        </r>
        <r>
          <rPr>
            <sz val="9"/>
            <color indexed="81"/>
            <rFont val="Tahoma"/>
            <family val="2"/>
          </rPr>
          <t xml:space="preserve">
</t>
        </r>
      </text>
    </comment>
    <comment ref="V14" authorId="0" shapeId="0">
      <text>
        <r>
          <rPr>
            <b/>
            <sz val="9"/>
            <color indexed="81"/>
            <rFont val="Calibri"/>
            <family val="2"/>
            <scheme val="minor"/>
          </rPr>
          <t xml:space="preserve">Angiv, om ovenstående beredskabsplan er lagt i projektets risikopulje i Statens business case-model. Der kan maksimalt medtages 12 risici i udregningen af risikopuljen. </t>
        </r>
      </text>
    </comment>
    <comment ref="W14" authorId="0" shapeId="0">
      <text>
        <r>
          <rPr>
            <b/>
            <sz val="9"/>
            <color indexed="81"/>
            <rFont val="Calibri"/>
            <family val="2"/>
            <scheme val="minor"/>
          </rPr>
          <t xml:space="preserve">Angiv om risikoen er indtruffet eller om risikoen ikke indtraf. </t>
        </r>
        <r>
          <rPr>
            <b/>
            <sz val="9"/>
            <color indexed="81"/>
            <rFont val="Calibri"/>
            <family val="2"/>
            <scheme val="minor"/>
          </rPr>
          <t>Risiko er udfyldt på forhånd, da input er påkrævet for at overblikstabellerne virker.</t>
        </r>
      </text>
    </comment>
  </commentList>
</comments>
</file>

<file path=xl/sharedStrings.xml><?xml version="1.0" encoding="utf-8"?>
<sst xmlns="http://schemas.openxmlformats.org/spreadsheetml/2006/main" count="347" uniqueCount="237">
  <si>
    <t>Dato</t>
  </si>
  <si>
    <t>Status</t>
  </si>
  <si>
    <t>Skala</t>
  </si>
  <si>
    <t>Analyse</t>
  </si>
  <si>
    <t>Gennemførsel</t>
  </si>
  <si>
    <t>Realisering</t>
  </si>
  <si>
    <t>Risikotype</t>
  </si>
  <si>
    <t>STAMDATA</t>
  </si>
  <si>
    <t>Journalnummer</t>
  </si>
  <si>
    <t>Projektleder</t>
  </si>
  <si>
    <t>Typografi</t>
  </si>
  <si>
    <t>Farve på overskrifter, hvid kant af celler, farvning af omkringliggende celler</t>
  </si>
  <si>
    <t>Indsat ekstra kolonne til konsekvenser af gevinstrealisering</t>
  </si>
  <si>
    <t>Kommentar til økonomi ændret så der ikke refereres til BC</t>
  </si>
  <si>
    <t>Kommentar til risikoværdi ændret så det hedder produktet i stedet for gennemsnittet</t>
  </si>
  <si>
    <t>Kategorierne for økonomiske konsekvenser ændres til worst case, best case og middel estimat</t>
  </si>
  <si>
    <t>Kommentar til leverance/kvalitet redigeret ("estimeres" slettet)</t>
  </si>
  <si>
    <t>Ny kommentar til konsekvenser for gevinstrealisering</t>
  </si>
  <si>
    <t>Vejledningboks indsat</t>
  </si>
  <si>
    <t>Før reducerende tiltag fjernet</t>
  </si>
  <si>
    <t>Sandsynlighed og konsekvens gjort til 5-punktsskala</t>
  </si>
  <si>
    <t>Risiko</t>
  </si>
  <si>
    <t>reducerende tiltag fjernes. Det er et tiltag der først kan tages stilling til efter risikoscoren og da arket opdateres løbende vil ssh og konsekvens blive opdateret alligevel</t>
  </si>
  <si>
    <t>Forfatter</t>
  </si>
  <si>
    <t>Vælg fase</t>
  </si>
  <si>
    <t>Early Warning tilføjet, jf. Rambøll-rapport</t>
  </si>
  <si>
    <t>Forfatter tilføjet, jf. Rambøll-rapport</t>
  </si>
  <si>
    <t>Risikotype udvidet ift. terminologi benyttet af statens it-projektråd</t>
  </si>
  <si>
    <t>status for risiko før seneste opdatering tilføjet som halvskjulte celler (ssh, konsekvens, risikoværdi, tiltag)</t>
  </si>
  <si>
    <t>Konsekvensscorene ændret så muligt at blive negativ til positive risici (muligheder), jf. Rambøll-rapport</t>
  </si>
  <si>
    <t>Tilføjet status over udvikling i risikoværdi</t>
  </si>
  <si>
    <t>Proximity specificeret ved at flytte tidspunktet (fase), ændre navnet, kommentar samt tilføje farvekode til id af nære risici</t>
  </si>
  <si>
    <t>Præcise konsekvenser for økonomi og gevinstrealisering tilføjet som halvskjulte celler til kopering fra bc</t>
  </si>
  <si>
    <t>Farve for halvskjulte celler lidt mørkere</t>
  </si>
  <si>
    <t>linjer adskilt af matte farveændringer</t>
  </si>
  <si>
    <t>Eskalation</t>
  </si>
  <si>
    <t>Projektejer</t>
  </si>
  <si>
    <t>Forretningsmæssige forhold</t>
  </si>
  <si>
    <t>Slutbrugere og slutprodukt</t>
  </si>
  <si>
    <t>Markedsafklaring og teknisk løsning</t>
  </si>
  <si>
    <t>Risiko-id</t>
  </si>
  <si>
    <t>Idé</t>
  </si>
  <si>
    <t>Projektstyregruppe</t>
  </si>
  <si>
    <t>Indtraf ikke</t>
  </si>
  <si>
    <t>Indtraf</t>
  </si>
  <si>
    <t>Risikobeskrivelse (identificering)</t>
  </si>
  <si>
    <t>X</t>
  </si>
  <si>
    <t>Tiltag</t>
  </si>
  <si>
    <t>Direktion</t>
  </si>
  <si>
    <t>Projektets tilrettelæggelse</t>
  </si>
  <si>
    <t>Interessenter</t>
  </si>
  <si>
    <t>Projektnavn</t>
  </si>
  <si>
    <t>Primært formål</t>
  </si>
  <si>
    <t>Vælg primært formål</t>
  </si>
  <si>
    <t>Effektivisering</t>
  </si>
  <si>
    <t>Kvalitetsløft</t>
  </si>
  <si>
    <t>Nuværende fase</t>
  </si>
  <si>
    <t>Version 2.02</t>
  </si>
  <si>
    <t>Ændring af lovgivningskategorie</t>
  </si>
  <si>
    <t>Risikoejer</t>
  </si>
  <si>
    <t>Lagt i projektplan</t>
  </si>
  <si>
    <t>Sandsynlighed efter tiltag</t>
  </si>
  <si>
    <t>Konsekvens efter tiltag</t>
  </si>
  <si>
    <t>Risikoværdi efter tiltag</t>
  </si>
  <si>
    <t>Risikoværdi</t>
  </si>
  <si>
    <t>Forventet tidspunkt for indtræffen</t>
  </si>
  <si>
    <t>Konsekvens</t>
  </si>
  <si>
    <t>Lagt i budget</t>
  </si>
  <si>
    <t>Nærhed</t>
  </si>
  <si>
    <t>Mitigerende tiltag</t>
  </si>
  <si>
    <t>Plan, hvis risiko indtræffer (alligevel)</t>
  </si>
  <si>
    <t>Risikoårsag og risikohændelse</t>
  </si>
  <si>
    <t>Sandsynlighed</t>
  </si>
  <si>
    <t>Nærhed (måneder)</t>
  </si>
  <si>
    <t>Risiko-værdi</t>
  </si>
  <si>
    <t>Antal</t>
  </si>
  <si>
    <t>Indtast ID manuelt for at få vist ønskede risici</t>
  </si>
  <si>
    <t>Proces</t>
  </si>
  <si>
    <t>Felt</t>
  </si>
  <si>
    <t>Stamdata</t>
  </si>
  <si>
    <t>Fortløbende nummerering af risici af hensyn til identifikation.</t>
  </si>
  <si>
    <t>Dato for registrering eller opdatering af risiko.</t>
  </si>
  <si>
    <t>Angiv initialer på forfatter til tilføjelsen/opdateringen af risikoen.</t>
  </si>
  <si>
    <t>Vælg fra listen hvilken risikogruppe risikoen tilhører:</t>
  </si>
  <si>
    <t>Vælg fra listen et tal fra 1-5 sandsynligheden for at risikoen indtræffer:</t>
  </si>
  <si>
    <t>Udregnes automatisk som sandsynlighed x konsekvens.</t>
  </si>
  <si>
    <t>Beredskabsplan</t>
  </si>
  <si>
    <t>Beskrivelse </t>
  </si>
  <si>
    <t>Risikoårsag og hændelse</t>
  </si>
  <si>
    <t>Beredskabsplan lagt i risikopulje</t>
  </si>
  <si>
    <t>Efter mitigerende tiltag</t>
  </si>
  <si>
    <t>Antal risici</t>
  </si>
  <si>
    <t>Beredskabsplan hvis risiko indtræffer (alligevel)</t>
  </si>
  <si>
    <t>Risikobeskrivelse</t>
  </si>
  <si>
    <t>Risikobehandling</t>
  </si>
  <si>
    <t>Vejledning til felter</t>
  </si>
  <si>
    <t>Risikokonsekvens</t>
  </si>
  <si>
    <t>Risici i risikopulje</t>
  </si>
  <si>
    <t>1: 0-20 %</t>
  </si>
  <si>
    <t>2. 20-40 %</t>
  </si>
  <si>
    <t>4: 60-80 %</t>
  </si>
  <si>
    <t>5: 80-100 %</t>
  </si>
  <si>
    <t>3: 40-60 %</t>
  </si>
  <si>
    <t>Sand-synlighed</t>
  </si>
  <si>
    <t>Forventet indtræffen</t>
  </si>
  <si>
    <t>Nærmeste risici</t>
  </si>
  <si>
    <t>Valgfri</t>
  </si>
  <si>
    <t>Risikomatrix</t>
  </si>
  <si>
    <t>Risici inkluderet i projektplan</t>
  </si>
  <si>
    <t>Overblik over risici</t>
  </si>
  <si>
    <t>Risikoplanlægning</t>
  </si>
  <si>
    <t>Risikovurdering efter mitigerende tiltag</t>
  </si>
  <si>
    <t>Mitigerende tiltag lagt i budget</t>
  </si>
  <si>
    <t>Mitigerende tiltag lagt i projektplan</t>
  </si>
  <si>
    <t>1: Ubetydelige konsekvenser</t>
  </si>
  <si>
    <t>2: Mindre konsekvenser</t>
  </si>
  <si>
    <t>3: Betydelige konsekvenser</t>
  </si>
  <si>
    <t>4: Store konsekvenser</t>
  </si>
  <si>
    <t>5: Meget store konsekvenser</t>
  </si>
  <si>
    <t>Forretningsmæssige forhold:</t>
  </si>
  <si>
    <t>Projektets tilrettelæggelse:</t>
  </si>
  <si>
    <t>Markedsafklaring og teknisk løsning:</t>
  </si>
  <si>
    <t>Interessenter:</t>
  </si>
  <si>
    <t>Slutbrugere og slutprodukt:</t>
  </si>
  <si>
    <r>
      <t xml:space="preserve">Potentielle </t>
    </r>
    <r>
      <rPr>
        <sz val="11"/>
        <rFont val="Garamond"/>
        <family val="1"/>
      </rPr>
      <t>hændelser, der omhandler det projekttekniske setup, scope, organisationens modenhed og planlægning af projektet.</t>
    </r>
  </si>
  <si>
    <r>
      <t xml:space="preserve">Potentielle </t>
    </r>
    <r>
      <rPr>
        <sz val="11"/>
        <rFont val="Garamond"/>
        <family val="1"/>
      </rPr>
      <t>hændelser, der omhandler markedsafklaringen og den tekniske løsnings opfyldelse af kvalitetskrav og sikkerhed.</t>
    </r>
  </si>
  <si>
    <r>
      <t xml:space="preserve">Potentielle </t>
    </r>
    <r>
      <rPr>
        <sz val="11"/>
        <rFont val="Garamond"/>
        <family val="1"/>
      </rPr>
      <t>hændelser, der omhandler interessenters ageren og interessevaretagelse.</t>
    </r>
  </si>
  <si>
    <t>Angiv, om risikomitigerende tiltag er lagt i projektets plan</t>
  </si>
  <si>
    <t>Beregnes på baggrund af ovenstående oplysninger.</t>
  </si>
  <si>
    <t>Angiv hvordan projektet vil håndtere risikoen hvis den indtræffer. Det kan for eksempel være ved at bruge ekstra midler på ekstern bistand eller ved at forlænge udviklingsperioden.</t>
  </si>
  <si>
    <t>Risikovurdering</t>
  </si>
  <si>
    <t>Projektets stamdata til brug for intern styring. Det er væsentligt, at den nuværende fase holdes opdateret for projekter</t>
  </si>
  <si>
    <t>Angiv hvilke mitigerende handlinger der er planlagt for at imødegå risikoen</t>
  </si>
  <si>
    <r>
      <t>Potentielle hændelser, der omhandler det forretningsmæssige grundlag for projektet, herunder økonomiske estimater,</t>
    </r>
    <r>
      <rPr>
        <sz val="11"/>
        <rFont val="Garamond"/>
        <family val="1"/>
      </rPr>
      <t xml:space="preserve"> trusler mod gevinster o.l.,</t>
    </r>
    <r>
      <rPr>
        <sz val="11"/>
        <color rgb="FF000000"/>
        <rFont val="Garamond"/>
        <family val="1"/>
      </rPr>
      <t xml:space="preserve"> fraset hændelser der falder under de </t>
    </r>
    <r>
      <rPr>
        <sz val="11"/>
        <rFont val="Garamond"/>
        <family val="1"/>
      </rPr>
      <t>andre kategorier.</t>
    </r>
  </si>
  <si>
    <t>Uddybende beskrivelse</t>
  </si>
  <si>
    <r>
      <t xml:space="preserve">Potentielle </t>
    </r>
    <r>
      <rPr>
        <sz val="11"/>
        <rFont val="Garamond"/>
        <family val="1"/>
      </rPr>
      <t>hændelser, der omhandler slutbrugernes inddragelse og slutproduktets opfyldelse af brugernes/forretningens behov.</t>
    </r>
  </si>
  <si>
    <t>Ansvarlig for at udføre mitigerende tiltag</t>
  </si>
  <si>
    <t xml:space="preserve">Angiv, om udgifter til risikomitigerende tiltag er inkluderet i det samlede budget og business case (ikke i risikopuljen, men som en del af leverancerne). </t>
  </si>
  <si>
    <t xml:space="preserve">Angiv, om ovenstående beredskabsplan er lagt i projektets risikopulje i Statens business case-model. Der kan maksimalt medtages 12 risici i udregningen af risikopuljen. </t>
  </si>
  <si>
    <r>
      <t xml:space="preserve">Kort og præcis beskrivelse af den pågældende risikos konsekvens for enten proktets </t>
    </r>
    <r>
      <rPr>
        <i/>
        <sz val="11"/>
        <rFont val="Garamond"/>
        <family val="1"/>
      </rPr>
      <t xml:space="preserve">proces </t>
    </r>
    <r>
      <rPr>
        <sz val="11"/>
        <rFont val="Garamond"/>
        <family val="1"/>
      </rPr>
      <t xml:space="preserve">(tid, økonomi, ressourcer) eller projektets </t>
    </r>
    <r>
      <rPr>
        <i/>
        <sz val="11"/>
        <rFont val="Garamond"/>
        <family val="1"/>
      </rPr>
      <t xml:space="preserve">mål </t>
    </r>
    <r>
      <rPr>
        <sz val="11"/>
        <rFont val="Garamond"/>
        <family val="1"/>
      </rPr>
      <t xml:space="preserve">(gevinster, scope). </t>
    </r>
  </si>
  <si>
    <t>Konsekvenser for projektets proces (tid, økonomi, ressourcer) eller mål (gevinster eller scope)</t>
  </si>
  <si>
    <t xml:space="preserve">Vælg fra listen en værdi fra 1-5 for de negative konsekvenser hvis risikoen indtræffer. Hvis risiko både har konsekvens for proces og mål, angiv da den største konsekvens: </t>
  </si>
  <si>
    <t>RisikoID</t>
  </si>
  <si>
    <t>I risikopulje</t>
  </si>
  <si>
    <t>Score</t>
  </si>
  <si>
    <t>I projektplan</t>
  </si>
  <si>
    <t xml:space="preserve">Forventet tidspunkt for indtræffen </t>
  </si>
  <si>
    <t>Projektstart (kvartal)</t>
  </si>
  <si>
    <t>Startkvartal</t>
  </si>
  <si>
    <t>Vælg projektfase</t>
  </si>
  <si>
    <t>Sand-synlig-hed</t>
  </si>
  <si>
    <r>
      <rPr>
        <b/>
        <sz val="10"/>
        <rFont val="Arial"/>
        <family val="2"/>
      </rPr>
      <t>OBS:</t>
    </r>
    <r>
      <rPr>
        <sz val="10"/>
        <rFont val="Arial"/>
        <family val="2"/>
      </rPr>
      <t xml:space="preserve"> Celler, rækker og kolonner må ikke copy/cut-pastes, da det ødelægger visningerne på de øvrige faner. Du kan godt kopiere celler på denne fane, men indsæt altid som "værdi". </t>
    </r>
  </si>
  <si>
    <t>Risikolog</t>
  </si>
  <si>
    <t>Startdatoer</t>
  </si>
  <si>
    <t>Sand-synlighed efter tiltag</t>
  </si>
  <si>
    <t>Konse-kvens efter tiltag</t>
  </si>
  <si>
    <t>Beredskabsplan hvis risiko indtræffer</t>
  </si>
  <si>
    <t>ID</t>
  </si>
  <si>
    <t>Åbne risici fordelt på risikotype</t>
  </si>
  <si>
    <t>Største risici før mitigerende handlinger</t>
  </si>
  <si>
    <t>Største risici efter mitigerende handlinger</t>
  </si>
  <si>
    <t>Ansvarlig for mitigerende tiltag</t>
  </si>
  <si>
    <t>Angiv initialer på de personer i styregruppen, der har ansvaret for at risikoen bliver håndteret. Bemærk, at der godt kan være andre der arbejder på mitigeringen, men her går det på, hvem der har ansvaret.</t>
  </si>
  <si>
    <t>Indtast ID manuelt for de risici, som skal overføres til Projektgrundlaget (tabel 2.6)</t>
  </si>
  <si>
    <t>Ansvar
(for mitigerende tiltag)</t>
  </si>
  <si>
    <t>Handling
(mitigerende tiltag)</t>
  </si>
  <si>
    <t>Risikokonsekvens/effekt</t>
  </si>
  <si>
    <t>Vælg hvilket kvartal risikoen forventes at ville indtræffe (hvis den indtræffer)</t>
  </si>
  <si>
    <t>Visningen kan bl.a. bruge til at få overblik over de risici som man skal være særligt opmærsom på at overvåge i den kommende tid.</t>
  </si>
  <si>
    <t>Denne visning giver overblik over de risici, som har størst risikoværdi før der er gennemført mitigerende handlinger.</t>
  </si>
  <si>
    <t>Denne visning giver overblik over de risici, hvor de mitigerende handlinger er lagt i projektplanen</t>
  </si>
  <si>
    <t>Risikovurdering før mitigerende tiltag</t>
  </si>
  <si>
    <t>Risikoanalyse</t>
  </si>
  <si>
    <t>IF([@[Sand-synlig-hed]]*[@Konsekvens]=0;"";[@[Sand-synlig-hed]]*[@Konsekvens]+[@[Risiko-id]]/10^8)</t>
  </si>
  <si>
    <t>Formlen udregner risikoværdien for risikoen, hvis resultatet vil være højere end 0. Der tillægges en lille unik residual, for at sikre at alle risici har forskellige værdier. Det gør det muligt at sortere i risici i rapporteringsfanerne</t>
  </si>
  <si>
    <t>Drop-down menu der bruger en liste fra fanen "lister", der består af de 53 kvartaler fra startdatoen på projektet (som angivet i stamdato)</t>
  </si>
  <si>
    <t>IFERROR((VLOOKUP([@[Forventet tidspunkt for indtræffen ]];Lister!L$2:M$55;2)-TODAY())/30+[@[Risiko-id]]/10^8;"")</t>
  </si>
  <si>
    <t>Overblik</t>
  </si>
  <si>
    <t>Risikomatrix beregnes via fanen "Data til matrix", som strukturerer data via en række operationer</t>
  </si>
  <si>
    <t>Graf</t>
  </si>
  <si>
    <t>Grafen fungerer som en normal excelgraf der henter data fra risikoanalyse for at vise fordelingen mellem risici</t>
  </si>
  <si>
    <t xml:space="preserve">Tabellen bruger funktionen tæl.hviser til at optælle hvor mange (kritiske) risici, der har den enkelte type. </t>
  </si>
  <si>
    <t>Rapporteringsfaner</t>
  </si>
  <si>
    <t>Sorteringskolonne</t>
  </si>
  <si>
    <t>IFERROR(SMALL(IF(Risikolog[Status]="Risiko";IF(Risikolog[Risiko-værdi]&gt;1;Risikolog[Nærhed]));1);"N/A")</t>
  </si>
  <si>
    <t>Hver rapporteringsfane har en sorteringskolonne, der danner grundlag for alt det andet data. I Nærmeste risici er det nærhed, i top 5 er det risikoværdi osv. Sorteringskolonnen benytter SMALL-funktionen til at sortere værdier fra et datasæt (i dette eksempel den allermindste værdi, da der bruges 1. Den næste række vil så have 2 osv.)
Datasættet definerer ved brug af IF-funktionen på en kolonne (i eksemplet Nærhed), hvor de værdier af Nærhed, hvor Status=Risiko og Risiko-værdi&gt;1</t>
  </si>
  <si>
    <t>Datasæt i Excel</t>
  </si>
  <si>
    <t>For at lave beregninger med datasæt (arrays) i formler, skal man trykke Ctrl-Shift-Enter i stedet for Enter for at beregne cellerne. Når det er gjort korrekt, vil formlen blive omgivet af { }</t>
  </si>
  <si>
    <t>Vopslag og Index:Match</t>
  </si>
  <si>
    <t xml:space="preserve">For at finde de resterende kolonner i tabellerne, bruges vopslag eller index:match til at finde værdierne i Risikoanalyse-tabellen. </t>
  </si>
  <si>
    <t>Data til Matrix</t>
  </si>
  <si>
    <t>Kolonne A-E</t>
  </si>
  <si>
    <t>I disse kolonner gives alle risici (som fortsat er risici med en værdi over 0) et unikt ID, der knytter deres risiko-id og deres risikokonsekvens/sandsynlighed til én placering i grafen.</t>
  </si>
  <si>
    <t>De blå kasser</t>
  </si>
  <si>
    <t>Fane</t>
  </si>
  <si>
    <t>Eksempel på formel</t>
  </si>
  <si>
    <t>Forklaring</t>
  </si>
  <si>
    <t>Her kan der selv vælges, hvilke risici man ønsker at vise. Nederste tabel kan bruges til at overføre til Projektgrundlagets tabel 2.6</t>
  </si>
  <si>
    <t>Matrice i kolonne N-T</t>
  </si>
  <si>
    <t>Her placeres de enkelte risici i forhold til et felt i risikomatricen. Hver blå kasse svarer til en konsekvensværdi fra 1-5, hver kolonne i en blå kasse svarer til en sandsynlighedsværdi fra 1-5. Der er plads til 5 værdier i hver felt i risikomatrixen.</t>
  </si>
  <si>
    <t>Felterne fra de blå kasser sættes sammen i risikomatricen, sådan at det hele passer i ét felt.</t>
  </si>
  <si>
    <t>Måneder</t>
  </si>
  <si>
    <t>Risikokvartal</t>
  </si>
  <si>
    <t>Risikodato</t>
  </si>
  <si>
    <t>Startmåned</t>
  </si>
  <si>
    <t>Lister</t>
  </si>
  <si>
    <t>Lister til datavalidering</t>
  </si>
  <si>
    <t>Listerne fungerer som datavalidering til risikoanalysen</t>
  </si>
  <si>
    <t>Angiver det kvartal projektet starter i. Dette bruges til at lave en liste over forventet tidspunkt for indtræffen</t>
  </si>
  <si>
    <t>Bruges til at omdanne ovenstående kvartal til en dato, som kan bruges til beregning.</t>
  </si>
  <si>
    <t>YEAR(L2)&amp;" Q"&amp;ROUNDUP(MONTH(L2)/3;0)</t>
  </si>
  <si>
    <t>Omdanner ovenstående til kvartaler ved at bruge ÅR( og MÅNED(-funktionerne.</t>
  </si>
  <si>
    <t>VLOOKUP(Risikoanalyse!E10;Lister!H2:I30;2)</t>
  </si>
  <si>
    <t>Første celle L2 tager Startkvartal fra Risikoanalyse-fanen, omdanner denne til en dato ved hjælp af opslag i Startmåned-Startkvartal. Der bruges første dag i hvert kvartal. Følgende celler angiver startdatoen for de næste kvartaler ved at lægge tre måneder til cellen ovenover.</t>
  </si>
  <si>
    <t>Formlen estimerer hvor mange måneder "Forventet tidspunkt for indtræffen" er fra dags dato ved en gennemsnitlig månedslænge på 30 dage. Der tillægges en lille unik residual, for at sikre at alle risici har forskellige værdier. Det gør det muligt at sortere i risici i rapporteringsfanerne</t>
  </si>
  <si>
    <t>Vejledning til formler</t>
  </si>
  <si>
    <t>Vælg startkvartal</t>
  </si>
  <si>
    <t xml:space="preserve">Denne visning er lavet for at vise de risici, som har lavest nærhed. Nærhed viser mange måneder der er fra dags dato til første dag i det kvartal, som er angivet i "Forventet tidspunkt for indtræffen" i risikoanalysen. </t>
  </si>
  <si>
    <t xml:space="preserve">På denne fane findes forskellige overblik over de risici, som fortsat er aktive (Status er lig med "Risici). </t>
  </si>
  <si>
    <t>De kan bruges til at kopiere ind i styregrupperapportering eller lignende.</t>
  </si>
  <si>
    <t>Sandsynligheden kan forstås som den frekvens, hvormed risikoen vil indtræffe per projekt. En sandsynlighed på 20% svarer derfor til, at risikoen vil indtræffe i 1 ud af 5 projekter, mens en sandsynlighed på 40% svarer til, at risikoen vil indtræffe i 2 ud af 5 projekter.</t>
  </si>
  <si>
    <t xml:space="preserve">Eksempelvis: Der er risiko for, at vores hovedleverandør af udvikling af systemet går konkurs. Det risikoscenarie, der er lagt til grund for analysen, er, at leverandøren efter en periode med nedsat leveranceevne går konkurs midt i projektforløbet. </t>
  </si>
  <si>
    <t>Eksempelvis: Der foretages screening af leverandørernes økonomiske forhold i forbindelse med udbud af opgaven, og der følges løbende op på leverandørens soliditet.</t>
  </si>
  <si>
    <t>Kort og præcis beskrivelse af årsagen til den pågældende risiko, dvs. den begivenhed eller situation, som er kilden til risikoen, samt beskrivelse af den pågældende hændelse.
Under risikoårsag og -hændelse beskrives også risikoscenariet, forstået som de forudsætninger, som risikoen er analyseret ud fra - herunder omfang og udstrækning af risikohændelsen.</t>
  </si>
  <si>
    <t>Eksempelvis: Dette forventes at give en forsinkelse på 9 måneder, da der skal foretages et nyt udbud og den nye leverandør skal overtage og videreføre det hidtidige arbejde</t>
  </si>
  <si>
    <t>Eksempelvis: Der igangsættes nyt udbud og en ny leverandør forventes at kunne fortsætte udviklingen af systemet. Det vil kræve en merudgift på 50% af leverandørudgiften.</t>
  </si>
  <si>
    <t>Lovgivning</t>
  </si>
  <si>
    <t xml:space="preserve">Angiv hvilken sandsynlighed der vil være for at risikoen indtræffer, efter de mitigerende tiltag i givet fald er gennemført. Der bruges samme skala som tidligere. </t>
  </si>
  <si>
    <t>Angiv hvilken konsekvens risikoen vil have, hvis den indtræffer efter at de mitigerende tiltag i givet fald er gennemført. Der bruges samme skala som tidligere.</t>
  </si>
  <si>
    <t>Konse-kvens</t>
  </si>
  <si>
    <t>Beredskabsplan, hvis risiko indtræffer (alligevel)</t>
  </si>
  <si>
    <t xml:space="preserve">Denne visning giver overblik over de risici, som har størst risikoværdi hvis de mitigerende tiltag gennemføres. </t>
  </si>
  <si>
    <t>Denne visning giver overblik over de risici, hvor beredskabsplanen hvis risikoen indtræffer, er lagt i risikopuljen i Statens business case-model</t>
  </si>
  <si>
    <t>Heraf kritiske (større end eller lig med 10)</t>
  </si>
  <si>
    <t>Risikomatrix (FØR mitigerende tiltag)</t>
  </si>
  <si>
    <t>Risikomatrix (EFTER mitigerende tiltag)</t>
  </si>
  <si>
    <t>Skabelon opdateret 28-06-2024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</si>
</sst>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00_)"/>
    <numFmt numFmtId="165" formatCode="#,##0;\(#,##0\);0;@"/>
    <numFmt numFmtId="166" formatCode="\(#,##0\);#,##0;0;@"/>
    <numFmt numFmtId="167" formatCode="#,##0,;\(#,##0,\);0;@"/>
    <numFmt numFmtId="168" formatCode="\(#,##0,\);#,##0,;0;@"/>
    <numFmt numFmtId="169" formatCode="0_)%;\(0\)%"/>
    <numFmt numFmtId="170" formatCode="[$-406]mmmm\ yy;@"/>
    <numFmt numFmtId="171" formatCode="0\ &quot;måneder&quot;"/>
    <numFmt numFmtId="172" formatCode="[$-406]mmmm\ yyyy;@"/>
  </numFmts>
  <fonts count="36" x14ac:knownFonts="1">
    <font>
      <sz val="11"/>
      <name val="Arial"/>
      <family val="2"/>
    </font>
    <font>
      <sz val="11"/>
      <color theme="1"/>
      <name val="Calibri"/>
      <family val="2"/>
      <scheme val="minor"/>
    </font>
    <font>
      <sz val="11"/>
      <name val="Arial"/>
      <family val="2"/>
    </font>
    <font>
      <b/>
      <sz val="11"/>
      <name val="Arial"/>
      <family val="2"/>
    </font>
    <font>
      <sz val="11"/>
      <color indexed="12"/>
      <name val="Times New Roman"/>
      <family val="1"/>
    </font>
    <font>
      <b/>
      <sz val="11"/>
      <name val="Times New Roman"/>
      <family val="1"/>
    </font>
    <font>
      <b/>
      <sz val="13"/>
      <name val="Times New Roman"/>
      <family val="1"/>
    </font>
    <font>
      <b/>
      <sz val="15"/>
      <name val="Times New Roman"/>
      <family val="1"/>
    </font>
    <font>
      <b/>
      <sz val="11"/>
      <color indexed="10"/>
      <name val="Times New Roman"/>
      <family val="1"/>
    </font>
    <font>
      <sz val="10"/>
      <name val="Arial"/>
      <family val="2"/>
    </font>
    <font>
      <b/>
      <sz val="10"/>
      <name val="Arial"/>
      <family val="2"/>
    </font>
    <font>
      <sz val="8"/>
      <name val="Arial"/>
      <family val="2"/>
    </font>
    <font>
      <sz val="10"/>
      <color theme="0" tint="-0.34998626667073579"/>
      <name val="Arial"/>
      <family val="2"/>
    </font>
    <font>
      <b/>
      <sz val="10"/>
      <color theme="0"/>
      <name val="Arial"/>
      <family val="2"/>
    </font>
    <font>
      <b/>
      <sz val="30"/>
      <name val="Garamond"/>
      <family val="1"/>
    </font>
    <font>
      <i/>
      <sz val="11"/>
      <name val="Arial"/>
      <family val="2"/>
    </font>
    <font>
      <sz val="9"/>
      <name val="Arial"/>
      <family val="2"/>
    </font>
    <font>
      <b/>
      <u/>
      <sz val="16"/>
      <name val="Arial"/>
      <family val="2"/>
    </font>
    <font>
      <b/>
      <sz val="11"/>
      <color theme="1"/>
      <name val="Calibri"/>
      <family val="2"/>
      <scheme val="minor"/>
    </font>
    <font>
      <sz val="11"/>
      <name val="Calibri"/>
      <family val="2"/>
      <scheme val="minor"/>
    </font>
    <font>
      <sz val="11"/>
      <color rgb="FFFF0000"/>
      <name val="Arial"/>
      <family val="2"/>
    </font>
    <font>
      <sz val="11"/>
      <name val="Garamond"/>
      <family val="1"/>
    </font>
    <font>
      <sz val="11"/>
      <color theme="1"/>
      <name val="Garamond"/>
      <family val="1"/>
    </font>
    <font>
      <sz val="11"/>
      <color rgb="FF000000"/>
      <name val="Garamond"/>
      <family val="1"/>
    </font>
    <font>
      <b/>
      <sz val="11"/>
      <name val="Garamond"/>
      <family val="1"/>
    </font>
    <font>
      <sz val="10"/>
      <name val="Garamond"/>
      <family val="1"/>
    </font>
    <font>
      <sz val="9"/>
      <color indexed="81"/>
      <name val="Tahoma"/>
      <family val="2"/>
    </font>
    <font>
      <b/>
      <sz val="9"/>
      <color indexed="81"/>
      <name val="Tahoma"/>
      <family val="2"/>
    </font>
    <font>
      <b/>
      <sz val="9"/>
      <color indexed="81"/>
      <name val="Calibri"/>
      <family val="2"/>
      <scheme val="minor"/>
    </font>
    <font>
      <sz val="9"/>
      <color indexed="81"/>
      <name val="Calibri"/>
      <family val="2"/>
      <scheme val="minor"/>
    </font>
    <font>
      <sz val="10"/>
      <name val="Calibri"/>
      <family val="2"/>
      <scheme val="minor"/>
    </font>
    <font>
      <sz val="10"/>
      <color theme="1"/>
      <name val="Calibri"/>
      <family val="2"/>
      <scheme val="minor"/>
    </font>
    <font>
      <b/>
      <sz val="10"/>
      <name val="Calibri"/>
      <family val="2"/>
      <scheme val="minor"/>
    </font>
    <font>
      <i/>
      <sz val="11"/>
      <name val="Garamond"/>
      <family val="1"/>
    </font>
    <font>
      <b/>
      <sz val="14"/>
      <name val="Arial"/>
      <family val="2"/>
    </font>
    <font>
      <b/>
      <sz val="12"/>
      <name val="Arial"/>
      <family val="2"/>
    </font>
  </fonts>
  <fills count="1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medium">
        <color indexed="64"/>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style="thin">
        <color rgb="FF000000"/>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6">
    <xf numFmtId="0" fontId="0" fillId="0" borderId="0"/>
    <xf numFmtId="165" fontId="4" fillId="0" borderId="0" applyFill="0" applyBorder="0" applyProtection="0">
      <alignment horizontal="right"/>
    </xf>
    <xf numFmtId="166" fontId="4" fillId="0" borderId="0" applyFill="0" applyBorder="0" applyProtection="0">
      <alignment horizontal="right"/>
    </xf>
    <xf numFmtId="167" fontId="4" fillId="0" borderId="0" applyFill="0" applyBorder="0" applyProtection="0">
      <alignment horizontal="right"/>
    </xf>
    <xf numFmtId="168" fontId="4" fillId="0" borderId="0" applyFill="0" applyBorder="0" applyProtection="0">
      <alignment horizontal="right"/>
    </xf>
    <xf numFmtId="39" fontId="2" fillId="0" borderId="0" applyFont="0" applyFill="0" applyBorder="0" applyAlignment="0" applyProtection="0"/>
    <xf numFmtId="164" fontId="2" fillId="0" borderId="0" applyFont="0" applyFill="0" applyBorder="0" applyAlignment="0" applyProtection="0"/>
    <xf numFmtId="0" fontId="5" fillId="2" borderId="0" applyNumberFormat="0" applyFill="0" applyBorder="0" applyAlignment="0" applyProtection="0"/>
    <xf numFmtId="0" fontId="6" fillId="2" borderId="0" applyNumberFormat="0" applyFill="0" applyBorder="0" applyAlignment="0" applyProtection="0"/>
    <xf numFmtId="0" fontId="7" fillId="2" borderId="0" applyNumberFormat="0" applyFill="0" applyBorder="0" applyAlignment="0" applyProtection="0"/>
    <xf numFmtId="1" fontId="5" fillId="0" borderId="0" applyFill="0" applyBorder="0" applyProtection="0">
      <alignment horizontal="center"/>
    </xf>
    <xf numFmtId="169" fontId="3" fillId="0" borderId="0" applyFont="0" applyFill="0" applyBorder="0" applyAlignment="0" applyProtection="0"/>
    <xf numFmtId="165" fontId="8" fillId="0" borderId="0"/>
    <xf numFmtId="166" fontId="8" fillId="0" borderId="0" applyFill="0" applyBorder="0" applyProtection="0">
      <alignment horizontal="right"/>
    </xf>
    <xf numFmtId="167" fontId="8" fillId="0" borderId="0" applyFill="0" applyBorder="0" applyProtection="0">
      <alignment horizontal="right"/>
    </xf>
    <xf numFmtId="168" fontId="8" fillId="0" borderId="0" applyFill="0" applyBorder="0" applyProtection="0">
      <alignment horizontal="right"/>
    </xf>
  </cellStyleXfs>
  <cellXfs count="216">
    <xf numFmtId="0" fontId="0" fillId="0" borderId="0" xfId="0"/>
    <xf numFmtId="0" fontId="9" fillId="0" borderId="0" xfId="0" applyFont="1"/>
    <xf numFmtId="0" fontId="9" fillId="0" borderId="0" xfId="0" applyFont="1" applyAlignment="1">
      <alignment horizontal="center"/>
    </xf>
    <xf numFmtId="0" fontId="9" fillId="3" borderId="0" xfId="0" applyFont="1" applyFill="1" applyAlignment="1">
      <alignment horizontal="center"/>
    </xf>
    <xf numFmtId="0" fontId="9" fillId="3" borderId="0" xfId="0" applyFont="1" applyFill="1"/>
    <xf numFmtId="0" fontId="10" fillId="3" borderId="0" xfId="0" applyFont="1" applyFill="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0" fillId="3" borderId="0" xfId="0" applyFill="1"/>
    <xf numFmtId="0" fontId="9" fillId="3" borderId="0" xfId="0" applyFont="1" applyFill="1" applyBorder="1" applyAlignment="1">
      <alignment horizontal="center"/>
    </xf>
    <xf numFmtId="0" fontId="9" fillId="3" borderId="0" xfId="0" applyFont="1" applyFill="1" applyBorder="1"/>
    <xf numFmtId="0" fontId="13" fillId="3" borderId="0" xfId="0" applyFont="1" applyFill="1" applyBorder="1" applyAlignment="1"/>
    <xf numFmtId="0" fontId="12" fillId="3" borderId="0" xfId="0" applyFont="1" applyFill="1" applyBorder="1" applyAlignment="1"/>
    <xf numFmtId="0" fontId="9" fillId="3" borderId="0" xfId="0" applyFont="1" applyFill="1" applyBorder="1" applyAlignment="1"/>
    <xf numFmtId="0" fontId="12" fillId="3" borderId="0" xfId="0" applyFont="1" applyFill="1" applyBorder="1" applyAlignment="1">
      <alignment horizontal="left"/>
    </xf>
    <xf numFmtId="0" fontId="14" fillId="3" borderId="0" xfId="0" applyFont="1" applyFill="1" applyAlignment="1">
      <alignment horizontal="left"/>
    </xf>
    <xf numFmtId="0" fontId="15" fillId="0" borderId="0" xfId="0" applyFont="1" applyAlignment="1">
      <alignment wrapText="1"/>
    </xf>
    <xf numFmtId="0" fontId="15" fillId="0" borderId="0" xfId="0" quotePrefix="1" applyFont="1" applyAlignment="1">
      <alignment wrapText="1"/>
    </xf>
    <xf numFmtId="0" fontId="9" fillId="3" borderId="0" xfId="0" applyFont="1" applyFill="1" applyBorder="1" applyAlignment="1">
      <alignment horizontal="left"/>
    </xf>
    <xf numFmtId="0" fontId="0" fillId="3" borderId="7" xfId="0" applyFill="1" applyBorder="1"/>
    <xf numFmtId="0" fontId="0" fillId="3" borderId="0" xfId="0" applyFill="1" applyBorder="1"/>
    <xf numFmtId="0" fontId="0" fillId="3" borderId="10" xfId="0" applyFill="1" applyBorder="1"/>
    <xf numFmtId="0" fontId="0" fillId="3" borderId="11" xfId="0" applyFill="1" applyBorder="1"/>
    <xf numFmtId="1" fontId="0" fillId="0" borderId="0" xfId="0" applyNumberFormat="1" applyAlignment="1">
      <alignment horizontal="center" wrapText="1"/>
    </xf>
    <xf numFmtId="0" fontId="9" fillId="3" borderId="0" xfId="0" applyFont="1" applyFill="1" applyAlignment="1">
      <alignment horizontal="center"/>
    </xf>
    <xf numFmtId="170" fontId="0" fillId="0" borderId="0" xfId="0" applyNumberFormat="1" applyAlignment="1">
      <alignment wrapText="1"/>
    </xf>
    <xf numFmtId="0" fontId="0" fillId="0" borderId="0" xfId="0"/>
    <xf numFmtId="0" fontId="9" fillId="3" borderId="0" xfId="0" applyFont="1" applyFill="1" applyAlignment="1">
      <alignment horizontal="center"/>
    </xf>
    <xf numFmtId="0" fontId="0" fillId="3" borderId="0" xfId="0" applyFill="1"/>
    <xf numFmtId="0" fontId="9" fillId="3" borderId="0" xfId="0" applyFont="1" applyFill="1" applyBorder="1" applyAlignment="1">
      <alignment horizontal="center"/>
    </xf>
    <xf numFmtId="0" fontId="9" fillId="3" borderId="0" xfId="0" applyFont="1" applyFill="1" applyBorder="1" applyAlignment="1"/>
    <xf numFmtId="0" fontId="0" fillId="3" borderId="0" xfId="0" applyFill="1" applyBorder="1"/>
    <xf numFmtId="170" fontId="0" fillId="0" borderId="0" xfId="0" applyNumberFormat="1" applyAlignment="1">
      <alignment wrapText="1"/>
    </xf>
    <xf numFmtId="0" fontId="0" fillId="3" borderId="14" xfId="0" applyFill="1" applyBorder="1"/>
    <xf numFmtId="0" fontId="0" fillId="3" borderId="16" xfId="0" applyFill="1" applyBorder="1"/>
    <xf numFmtId="0" fontId="12" fillId="0" borderId="19"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2" fillId="0" borderId="13" xfId="0" applyFont="1" applyBorder="1" applyAlignment="1" applyProtection="1">
      <alignment horizontal="center" vertical="center" wrapText="1"/>
      <protection locked="0"/>
    </xf>
    <xf numFmtId="0" fontId="12" fillId="0" borderId="12" xfId="0" applyFont="1" applyFill="1" applyBorder="1" applyAlignment="1" applyProtection="1">
      <alignment horizontal="center" vertical="center"/>
      <protection locked="0"/>
    </xf>
    <xf numFmtId="14" fontId="0" fillId="3" borderId="0" xfId="0" applyNumberFormat="1" applyFill="1"/>
    <xf numFmtId="0" fontId="0" fillId="3" borderId="0" xfId="0" quotePrefix="1" applyFill="1" applyAlignment="1"/>
    <xf numFmtId="0" fontId="16" fillId="3" borderId="0" xfId="0" applyFont="1" applyFill="1"/>
    <xf numFmtId="0" fontId="16" fillId="3" borderId="0" xfId="0" applyNumberFormat="1" applyFont="1" applyFill="1"/>
    <xf numFmtId="0" fontId="0" fillId="3" borderId="17" xfId="0" applyFill="1" applyBorder="1"/>
    <xf numFmtId="0" fontId="0" fillId="3" borderId="20" xfId="0" applyFill="1" applyBorder="1"/>
    <xf numFmtId="0" fontId="0" fillId="3" borderId="13" xfId="0" applyFill="1" applyBorder="1"/>
    <xf numFmtId="0" fontId="17" fillId="3" borderId="15" xfId="0" applyFont="1" applyFill="1" applyBorder="1"/>
    <xf numFmtId="0" fontId="0" fillId="0" borderId="0" xfId="0" applyAlignment="1"/>
    <xf numFmtId="0" fontId="0" fillId="0" borderId="0" xfId="0"/>
    <xf numFmtId="0" fontId="3" fillId="0" borderId="0" xfId="0" applyFont="1" applyAlignment="1">
      <alignment wrapText="1"/>
    </xf>
    <xf numFmtId="0" fontId="0" fillId="3" borderId="0" xfId="0" applyFill="1"/>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3" fillId="3" borderId="0" xfId="0" applyFont="1" applyFill="1" applyAlignment="1">
      <alignment horizontal="left"/>
    </xf>
    <xf numFmtId="0" fontId="3" fillId="3" borderId="0" xfId="0" applyFont="1" applyFill="1"/>
    <xf numFmtId="0" fontId="0" fillId="5" borderId="0" xfId="0" applyFill="1"/>
    <xf numFmtId="0" fontId="0" fillId="7" borderId="0" xfId="0" applyFill="1"/>
    <xf numFmtId="0" fontId="0" fillId="8" borderId="0" xfId="0" applyFill="1"/>
    <xf numFmtId="49" fontId="18" fillId="0" borderId="0" xfId="0" applyNumberFormat="1" applyFont="1" applyAlignment="1">
      <alignment horizontal="center" vertical="center"/>
    </xf>
    <xf numFmtId="0" fontId="18" fillId="0" borderId="0" xfId="0" applyFont="1" applyAlignment="1">
      <alignment horizontal="center" vertical="center"/>
    </xf>
    <xf numFmtId="0" fontId="0" fillId="5" borderId="6" xfId="0" applyFill="1" applyBorder="1" applyAlignment="1">
      <alignment horizontal="center" vertical="center" wrapText="1"/>
    </xf>
    <xf numFmtId="0" fontId="0" fillId="4" borderId="6"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NumberFormat="1"/>
    <xf numFmtId="0" fontId="13" fillId="9" borderId="9" xfId="0" applyFont="1" applyFill="1" applyBorder="1" applyAlignment="1">
      <alignment horizontal="left"/>
    </xf>
    <xf numFmtId="0" fontId="13" fillId="9" borderId="18" xfId="0" applyFont="1" applyFill="1" applyBorder="1" applyAlignment="1">
      <alignment horizontal="left"/>
    </xf>
    <xf numFmtId="0" fontId="10" fillId="9" borderId="8" xfId="0" applyFont="1" applyFill="1" applyBorder="1" applyAlignment="1">
      <alignment horizontal="left"/>
    </xf>
    <xf numFmtId="0" fontId="10" fillId="3" borderId="0" xfId="0" applyFont="1" applyFill="1" applyBorder="1" applyAlignment="1">
      <alignment horizontal="center"/>
    </xf>
    <xf numFmtId="0" fontId="0" fillId="3" borderId="0" xfId="0" applyFill="1"/>
    <xf numFmtId="0" fontId="14" fillId="3" borderId="0" xfId="0" applyFont="1" applyFill="1" applyAlignment="1">
      <alignment horizontal="left"/>
    </xf>
    <xf numFmtId="0" fontId="0" fillId="3" borderId="0" xfId="0" applyFill="1" applyBorder="1"/>
    <xf numFmtId="0" fontId="16" fillId="3" borderId="0" xfId="0" applyNumberFormat="1" applyFont="1" applyFill="1"/>
    <xf numFmtId="0" fontId="3" fillId="3" borderId="0" xfId="0" applyFont="1" applyFill="1"/>
    <xf numFmtId="0" fontId="20" fillId="3" borderId="0" xfId="0" applyFont="1" applyFill="1"/>
    <xf numFmtId="0" fontId="10" fillId="3" borderId="0" xfId="0" applyFont="1" applyFill="1" applyBorder="1" applyAlignment="1"/>
    <xf numFmtId="0" fontId="21" fillId="0" borderId="0" xfId="0" applyFont="1"/>
    <xf numFmtId="0" fontId="21" fillId="0" borderId="0" xfId="0" applyFont="1" applyAlignment="1">
      <alignment wrapText="1"/>
    </xf>
    <xf numFmtId="0" fontId="25" fillId="3" borderId="0" xfId="0" applyFont="1" applyFill="1" applyAlignment="1">
      <alignment horizontal="center"/>
    </xf>
    <xf numFmtId="0" fontId="25" fillId="3" borderId="0" xfId="0" applyFont="1" applyFill="1" applyBorder="1" applyAlignment="1">
      <alignment wrapText="1"/>
    </xf>
    <xf numFmtId="0" fontId="25" fillId="3" borderId="0" xfId="0" applyFont="1" applyFill="1"/>
    <xf numFmtId="0" fontId="24" fillId="0" borderId="0" xfId="0" applyFont="1" applyAlignment="1">
      <alignment vertical="top"/>
    </xf>
    <xf numFmtId="0" fontId="21" fillId="0" borderId="0" xfId="0" applyFont="1" applyAlignment="1">
      <alignment vertical="top" wrapText="1"/>
    </xf>
    <xf numFmtId="0" fontId="14" fillId="3" borderId="0" xfId="0" applyFont="1" applyFill="1" applyAlignment="1">
      <alignment horizontal="left" vertical="top"/>
    </xf>
    <xf numFmtId="0" fontId="25" fillId="3" borderId="0" xfId="0" applyFont="1" applyFill="1" applyAlignment="1">
      <alignment horizontal="center" vertical="top" wrapText="1"/>
    </xf>
    <xf numFmtId="0" fontId="24" fillId="12" borderId="22" xfId="0" applyFont="1" applyFill="1" applyBorder="1" applyAlignment="1">
      <alignment vertical="top"/>
    </xf>
    <xf numFmtId="0" fontId="24" fillId="12" borderId="21" xfId="0" applyFont="1" applyFill="1" applyBorder="1" applyAlignment="1">
      <alignment vertical="top" wrapText="1"/>
    </xf>
    <xf numFmtId="0" fontId="24" fillId="0" borderId="24" xfId="0" applyFont="1" applyBorder="1" applyAlignment="1">
      <alignment vertical="top"/>
    </xf>
    <xf numFmtId="0" fontId="21" fillId="0" borderId="0" xfId="0" applyFont="1" applyBorder="1" applyAlignment="1">
      <alignment horizontal="left" vertical="top" wrapText="1"/>
    </xf>
    <xf numFmtId="0" fontId="21" fillId="0" borderId="7" xfId="0" applyFont="1" applyBorder="1" applyAlignment="1">
      <alignment wrapText="1"/>
    </xf>
    <xf numFmtId="0" fontId="24" fillId="11" borderId="24" xfId="0" applyFont="1" applyFill="1" applyBorder="1" applyAlignment="1">
      <alignment vertical="top"/>
    </xf>
    <xf numFmtId="0" fontId="21" fillId="11" borderId="0" xfId="0" applyFont="1" applyFill="1" applyBorder="1" applyAlignment="1">
      <alignment wrapText="1"/>
    </xf>
    <xf numFmtId="0" fontId="21" fillId="11" borderId="0" xfId="0" applyFont="1" applyFill="1" applyBorder="1"/>
    <xf numFmtId="0" fontId="21" fillId="11" borderId="7" xfId="0" applyFont="1" applyFill="1" applyBorder="1"/>
    <xf numFmtId="0" fontId="22" fillId="0" borderId="0" xfId="0" applyFont="1" applyBorder="1" applyAlignment="1">
      <alignment horizontal="left" vertical="top" wrapText="1"/>
    </xf>
    <xf numFmtId="0" fontId="23" fillId="0" borderId="7" xfId="0" applyFont="1" applyBorder="1" applyAlignment="1">
      <alignment vertical="center" wrapText="1"/>
    </xf>
    <xf numFmtId="0" fontId="23" fillId="0" borderId="7" xfId="0" applyFont="1" applyBorder="1" applyAlignment="1">
      <alignment wrapText="1"/>
    </xf>
    <xf numFmtId="0" fontId="21" fillId="11" borderId="7" xfId="0" applyFont="1" applyFill="1" applyBorder="1" applyAlignment="1">
      <alignment wrapText="1"/>
    </xf>
    <xf numFmtId="0" fontId="21" fillId="0" borderId="0" xfId="0" applyFont="1" applyBorder="1" applyAlignment="1">
      <alignment vertical="top"/>
    </xf>
    <xf numFmtId="0" fontId="21" fillId="11" borderId="0" xfId="0" applyFont="1" applyFill="1" applyBorder="1" applyAlignment="1">
      <alignment horizontal="left" vertical="top" wrapText="1"/>
    </xf>
    <xf numFmtId="0" fontId="24" fillId="0" borderId="25" xfId="0" applyFont="1" applyBorder="1" applyAlignment="1">
      <alignment vertical="top"/>
    </xf>
    <xf numFmtId="0" fontId="21" fillId="0" borderId="10" xfId="0" applyFont="1" applyBorder="1" applyAlignment="1">
      <alignment horizontal="left" vertical="top" wrapText="1"/>
    </xf>
    <xf numFmtId="0" fontId="21" fillId="0" borderId="11" xfId="0" applyFont="1" applyBorder="1" applyAlignment="1">
      <alignment wrapText="1"/>
    </xf>
    <xf numFmtId="0" fontId="24" fillId="12" borderId="23" xfId="0" applyFont="1" applyFill="1" applyBorder="1" applyAlignment="1">
      <alignment wrapText="1"/>
    </xf>
    <xf numFmtId="0" fontId="21" fillId="0" borderId="7" xfId="0" applyFont="1" applyBorder="1" applyAlignment="1">
      <alignment vertical="top" wrapText="1"/>
    </xf>
    <xf numFmtId="0" fontId="10" fillId="3" borderId="0" xfId="0" applyFont="1" applyFill="1" applyBorder="1" applyAlignment="1">
      <alignment horizontal="left"/>
    </xf>
    <xf numFmtId="1" fontId="30" fillId="10" borderId="0" xfId="0" applyNumberFormat="1" applyFont="1" applyFill="1" applyAlignment="1" applyProtection="1">
      <alignment horizontal="left" vertical="center" wrapText="1"/>
      <protection locked="0"/>
    </xf>
    <xf numFmtId="0" fontId="30" fillId="10" borderId="0" xfId="0" applyFont="1" applyFill="1" applyAlignment="1">
      <alignment horizontal="center" vertical="center" wrapText="1"/>
    </xf>
    <xf numFmtId="1" fontId="30" fillId="10" borderId="0" xfId="0" applyNumberFormat="1" applyFont="1" applyFill="1" applyAlignment="1">
      <alignment horizontal="center" vertical="center" wrapText="1"/>
    </xf>
    <xf numFmtId="0" fontId="31" fillId="9" borderId="0" xfId="0" applyFont="1" applyFill="1" applyAlignment="1">
      <alignment vertical="center" wrapText="1"/>
    </xf>
    <xf numFmtId="1" fontId="32" fillId="10" borderId="0" xfId="0" applyNumberFormat="1" applyFont="1" applyFill="1" applyBorder="1" applyAlignment="1">
      <alignment horizontal="center" vertical="center" wrapText="1"/>
    </xf>
    <xf numFmtId="0" fontId="30" fillId="10" borderId="0" xfId="0" applyFont="1" applyFill="1" applyBorder="1" applyAlignment="1">
      <alignment vertical="center" wrapText="1"/>
    </xf>
    <xf numFmtId="0" fontId="30" fillId="10" borderId="0" xfId="0" applyFont="1" applyFill="1" applyBorder="1" applyAlignment="1">
      <alignment horizontal="center" vertical="center" wrapText="1"/>
    </xf>
    <xf numFmtId="172" fontId="30" fillId="10" borderId="0" xfId="0" applyNumberFormat="1" applyFont="1" applyFill="1" applyBorder="1" applyAlignment="1">
      <alignment horizontal="left" vertical="center" wrapText="1"/>
    </xf>
    <xf numFmtId="0" fontId="30" fillId="10" borderId="0" xfId="0" applyFont="1" applyFill="1" applyBorder="1" applyAlignment="1">
      <alignment horizontal="left" vertical="center" wrapText="1"/>
    </xf>
    <xf numFmtId="171" fontId="30" fillId="10" borderId="0" xfId="0" applyNumberFormat="1" applyFont="1" applyFill="1" applyBorder="1" applyAlignment="1">
      <alignment horizontal="left" vertical="center"/>
    </xf>
    <xf numFmtId="0" fontId="31" fillId="9" borderId="0" xfId="0" applyFont="1" applyFill="1" applyBorder="1" applyAlignment="1">
      <alignment vertical="center" wrapText="1"/>
    </xf>
    <xf numFmtId="1" fontId="32" fillId="10" borderId="0" xfId="0" applyNumberFormat="1" applyFont="1" applyFill="1" applyAlignment="1" applyProtection="1">
      <alignment horizontal="center" vertical="center" wrapText="1"/>
    </xf>
    <xf numFmtId="0" fontId="30" fillId="10" borderId="0" xfId="0" applyFont="1" applyFill="1" applyAlignment="1">
      <alignment vertical="center" wrapText="1"/>
    </xf>
    <xf numFmtId="172" fontId="30" fillId="10" borderId="0" xfId="0" applyNumberFormat="1" applyFont="1" applyFill="1" applyAlignment="1">
      <alignment horizontal="left" vertical="center" wrapText="1"/>
    </xf>
    <xf numFmtId="0" fontId="30" fillId="10" borderId="0" xfId="0" applyFont="1" applyFill="1" applyAlignment="1">
      <alignment horizontal="left" vertical="center" wrapText="1"/>
    </xf>
    <xf numFmtId="171" fontId="30" fillId="10" borderId="0" xfId="0" applyNumberFormat="1" applyFont="1" applyFill="1" applyAlignment="1">
      <alignment horizontal="left" vertical="center"/>
    </xf>
    <xf numFmtId="171" fontId="19" fillId="3" borderId="0" xfId="0" applyNumberFormat="1" applyFont="1" applyFill="1" applyBorder="1" applyAlignment="1">
      <alignment horizontal="left" vertical="center"/>
    </xf>
    <xf numFmtId="0" fontId="1" fillId="3" borderId="0" xfId="0" applyFont="1" applyFill="1" applyBorder="1" applyAlignment="1">
      <alignment vertical="center" wrapText="1"/>
    </xf>
    <xf numFmtId="1" fontId="0" fillId="3" borderId="0" xfId="0" applyNumberFormat="1" applyFill="1"/>
    <xf numFmtId="14" fontId="0" fillId="0" borderId="0" xfId="0" applyNumberFormat="1" applyAlignment="1">
      <alignment wrapText="1"/>
    </xf>
    <xf numFmtId="0" fontId="0" fillId="0" borderId="0" xfId="0" applyNumberFormat="1" applyAlignment="1">
      <alignment wrapText="1"/>
    </xf>
    <xf numFmtId="0" fontId="9" fillId="13" borderId="27" xfId="0" applyFont="1" applyFill="1" applyBorder="1" applyAlignment="1">
      <alignment horizontal="center" vertical="center"/>
    </xf>
    <xf numFmtId="0" fontId="9" fillId="13" borderId="27" xfId="0" applyFont="1" applyFill="1" applyBorder="1" applyAlignment="1">
      <alignment vertical="center"/>
    </xf>
    <xf numFmtId="0" fontId="9" fillId="13" borderId="28" xfId="0" applyFont="1" applyFill="1" applyBorder="1" applyAlignment="1">
      <alignment horizontal="center" vertical="center"/>
    </xf>
    <xf numFmtId="0" fontId="9" fillId="13" borderId="26" xfId="0" applyFont="1" applyFill="1" applyBorder="1" applyAlignment="1">
      <alignment horizontal="left" vertical="center"/>
    </xf>
    <xf numFmtId="0" fontId="9" fillId="3" borderId="0" xfId="0" applyNumberFormat="1" applyFont="1" applyFill="1" applyBorder="1"/>
    <xf numFmtId="0" fontId="13" fillId="3" borderId="0" xfId="0" applyNumberFormat="1" applyFont="1" applyFill="1" applyBorder="1" applyAlignment="1"/>
    <xf numFmtId="0" fontId="9" fillId="3" borderId="0" xfId="0" applyNumberFormat="1" applyFont="1" applyFill="1" applyAlignment="1">
      <alignment horizontal="center"/>
    </xf>
    <xf numFmtId="0" fontId="9" fillId="3" borderId="0" xfId="0" applyNumberFormat="1" applyFont="1" applyFill="1" applyBorder="1" applyAlignment="1"/>
    <xf numFmtId="0" fontId="12" fillId="3" borderId="0" xfId="0" applyNumberFormat="1" applyFont="1" applyFill="1" applyBorder="1" applyAlignment="1"/>
    <xf numFmtId="0" fontId="12" fillId="3" borderId="0" xfId="0" applyNumberFormat="1" applyFont="1" applyFill="1" applyBorder="1" applyAlignment="1">
      <alignment horizontal="left"/>
    </xf>
    <xf numFmtId="0" fontId="10" fillId="3" borderId="0" xfId="0" applyNumberFormat="1" applyFont="1" applyFill="1" applyBorder="1" applyAlignment="1">
      <alignment horizontal="center"/>
    </xf>
    <xf numFmtId="0" fontId="9" fillId="0" borderId="0" xfId="0" applyNumberFormat="1" applyFont="1"/>
    <xf numFmtId="0" fontId="9" fillId="3" borderId="0" xfId="0" applyNumberFormat="1" applyFont="1" applyFill="1"/>
    <xf numFmtId="0" fontId="9" fillId="3" borderId="0" xfId="0" applyFont="1" applyFill="1" applyAlignment="1">
      <alignment wrapText="1"/>
    </xf>
    <xf numFmtId="0" fontId="0" fillId="3" borderId="0" xfId="0" applyFill="1" applyAlignment="1">
      <alignment wrapText="1"/>
    </xf>
    <xf numFmtId="1" fontId="32" fillId="14" borderId="0" xfId="0" applyNumberFormat="1" applyFont="1" applyFill="1" applyAlignment="1" applyProtection="1">
      <alignment horizontal="center" vertical="center" wrapText="1"/>
      <protection locked="0"/>
    </xf>
    <xf numFmtId="1" fontId="30" fillId="10" borderId="0" xfId="0" applyNumberFormat="1" applyFont="1" applyFill="1" applyBorder="1" applyAlignment="1">
      <alignment horizontal="center" vertical="center" wrapText="1"/>
    </xf>
    <xf numFmtId="0" fontId="19" fillId="0" borderId="30" xfId="0" applyFont="1" applyFill="1" applyBorder="1" applyAlignment="1" applyProtection="1">
      <alignment horizontal="right" vertical="center" wrapText="1"/>
      <protection locked="0"/>
    </xf>
    <xf numFmtId="14" fontId="19" fillId="0" borderId="31" xfId="0" applyNumberFormat="1"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170" fontId="19" fillId="0" borderId="31" xfId="0" applyNumberFormat="1" applyFont="1" applyFill="1" applyBorder="1" applyAlignment="1" applyProtection="1">
      <alignment horizontal="left" vertical="center" wrapText="1"/>
      <protection locked="0"/>
    </xf>
    <xf numFmtId="0" fontId="19" fillId="0" borderId="31" xfId="0" applyFont="1" applyFill="1" applyBorder="1" applyAlignment="1" applyProtection="1">
      <alignment vertical="center" wrapText="1"/>
      <protection locked="0"/>
    </xf>
    <xf numFmtId="0" fontId="19" fillId="0" borderId="32" xfId="0" applyFont="1" applyFill="1" applyBorder="1" applyAlignment="1" applyProtection="1">
      <alignment vertical="center" wrapText="1"/>
      <protection locked="0"/>
    </xf>
    <xf numFmtId="0" fontId="19" fillId="0" borderId="33" xfId="0" applyFont="1" applyFill="1" applyBorder="1" applyAlignment="1" applyProtection="1">
      <alignment horizontal="right" vertical="top" wrapText="1"/>
      <protection locked="0"/>
    </xf>
    <xf numFmtId="14" fontId="19" fillId="0" borderId="29" xfId="0" applyNumberFormat="1" applyFont="1" applyFill="1" applyBorder="1" applyAlignment="1" applyProtection="1">
      <alignment horizontal="left" vertical="center" wrapText="1"/>
      <protection locked="0"/>
    </xf>
    <xf numFmtId="0" fontId="19" fillId="0" borderId="29" xfId="0" applyFont="1" applyFill="1" applyBorder="1" applyAlignment="1" applyProtection="1">
      <alignment horizontal="left" vertical="center" wrapText="1"/>
      <protection locked="0"/>
    </xf>
    <xf numFmtId="0" fontId="19" fillId="0" borderId="29" xfId="0" applyNumberFormat="1" applyFont="1" applyFill="1" applyBorder="1" applyAlignment="1" applyProtection="1">
      <alignment horizontal="left" vertical="center" wrapText="1"/>
    </xf>
    <xf numFmtId="0" fontId="19" fillId="0" borderId="29" xfId="0" applyFont="1" applyFill="1" applyBorder="1" applyAlignment="1" applyProtection="1">
      <alignment vertical="center" wrapText="1"/>
      <protection locked="0"/>
    </xf>
    <xf numFmtId="0" fontId="19" fillId="0" borderId="33" xfId="0" applyFont="1" applyFill="1" applyBorder="1" applyAlignment="1" applyProtection="1">
      <alignment wrapText="1"/>
      <protection locked="0"/>
    </xf>
    <xf numFmtId="14" fontId="19" fillId="0" borderId="29" xfId="0" applyNumberFormat="1" applyFont="1" applyFill="1" applyBorder="1" applyAlignment="1" applyProtection="1">
      <alignment wrapText="1"/>
      <protection locked="0"/>
    </xf>
    <xf numFmtId="0" fontId="19" fillId="0" borderId="29" xfId="0" applyFont="1" applyFill="1" applyBorder="1" applyAlignment="1" applyProtection="1">
      <alignment wrapText="1"/>
      <protection locked="0"/>
    </xf>
    <xf numFmtId="0" fontId="19" fillId="0" borderId="29" xfId="0" applyNumberFormat="1" applyFont="1" applyFill="1" applyBorder="1" applyAlignment="1" applyProtection="1">
      <alignment horizontal="left" wrapText="1"/>
    </xf>
    <xf numFmtId="0" fontId="19" fillId="0" borderId="34" xfId="0" applyFont="1" applyFill="1" applyBorder="1" applyAlignment="1" applyProtection="1">
      <alignment wrapText="1"/>
      <protection locked="0"/>
    </xf>
    <xf numFmtId="14" fontId="19" fillId="0" borderId="35" xfId="0" applyNumberFormat="1" applyFont="1" applyFill="1" applyBorder="1" applyAlignment="1" applyProtection="1">
      <alignment wrapText="1"/>
      <protection locked="0"/>
    </xf>
    <xf numFmtId="0" fontId="19" fillId="0" borderId="35" xfId="0" applyFont="1" applyFill="1" applyBorder="1" applyAlignment="1" applyProtection="1">
      <alignment wrapText="1"/>
      <protection locked="0"/>
    </xf>
    <xf numFmtId="0" fontId="19" fillId="0" borderId="35" xfId="0" applyFont="1" applyFill="1" applyBorder="1" applyAlignment="1" applyProtection="1">
      <alignment horizontal="left" vertical="center" wrapText="1"/>
      <protection locked="0"/>
    </xf>
    <xf numFmtId="0" fontId="19" fillId="0" borderId="35" xfId="0" applyNumberFormat="1" applyFont="1" applyFill="1" applyBorder="1" applyAlignment="1" applyProtection="1">
      <alignment horizontal="left" wrapText="1"/>
    </xf>
    <xf numFmtId="0" fontId="19" fillId="0" borderId="35" xfId="0" applyFont="1" applyFill="1" applyBorder="1" applyAlignment="1" applyProtection="1">
      <alignment vertical="center" wrapText="1"/>
      <protection locked="0"/>
    </xf>
    <xf numFmtId="1" fontId="32" fillId="10" borderId="0" xfId="0" applyNumberFormat="1" applyFont="1" applyFill="1" applyAlignment="1">
      <alignment horizontal="center" vertical="center" wrapText="1"/>
    </xf>
    <xf numFmtId="0" fontId="30" fillId="10" borderId="0" xfId="0" applyNumberFormat="1" applyFont="1" applyFill="1" applyAlignment="1">
      <alignment vertical="center" wrapText="1"/>
    </xf>
    <xf numFmtId="0" fontId="30" fillId="10" borderId="0" xfId="0" applyNumberFormat="1" applyFont="1" applyFill="1" applyAlignment="1">
      <alignment horizontal="center" vertical="center" wrapText="1"/>
    </xf>
    <xf numFmtId="0" fontId="30" fillId="10" borderId="0" xfId="0" applyNumberFormat="1" applyFont="1" applyFill="1" applyAlignment="1">
      <alignment horizontal="left" vertical="center" wrapText="1"/>
    </xf>
    <xf numFmtId="0" fontId="30" fillId="10" borderId="0" xfId="0" applyNumberFormat="1" applyFont="1" applyFill="1" applyBorder="1" applyAlignment="1">
      <alignment vertical="center" wrapText="1"/>
    </xf>
    <xf numFmtId="0" fontId="30" fillId="10" borderId="0" xfId="0" applyNumberFormat="1" applyFont="1" applyFill="1" applyBorder="1" applyAlignment="1">
      <alignment horizontal="center" vertical="center" wrapText="1"/>
    </xf>
    <xf numFmtId="0" fontId="30" fillId="10" borderId="0" xfId="0" applyNumberFormat="1" applyFont="1" applyFill="1" applyBorder="1" applyAlignment="1">
      <alignment horizontal="left" vertical="center" wrapText="1"/>
    </xf>
    <xf numFmtId="0" fontId="19" fillId="0" borderId="29" xfId="0" applyFont="1" applyFill="1" applyBorder="1" applyAlignment="1" applyProtection="1">
      <alignment horizontal="center" wrapText="1"/>
      <protection locked="0"/>
    </xf>
    <xf numFmtId="0" fontId="19" fillId="0" borderId="29" xfId="0" applyNumberFormat="1" applyFont="1" applyFill="1" applyBorder="1" applyAlignment="1" applyProtection="1">
      <alignment wrapText="1"/>
    </xf>
    <xf numFmtId="0" fontId="21" fillId="0" borderId="0" xfId="0" applyFont="1" applyBorder="1" applyAlignment="1">
      <alignment wrapText="1"/>
    </xf>
    <xf numFmtId="0" fontId="21" fillId="0" borderId="24" xfId="0" applyFont="1" applyBorder="1" applyAlignment="1">
      <alignment wrapText="1"/>
    </xf>
    <xf numFmtId="0" fontId="34" fillId="3" borderId="0" xfId="0" applyFont="1" applyFill="1"/>
    <xf numFmtId="0" fontId="0" fillId="3" borderId="0" xfId="0" applyFont="1" applyFill="1"/>
    <xf numFmtId="0" fontId="35" fillId="3" borderId="0" xfId="0" applyFont="1" applyFill="1"/>
    <xf numFmtId="0" fontId="34" fillId="3" borderId="36" xfId="0" applyFont="1" applyFill="1" applyBorder="1"/>
    <xf numFmtId="0" fontId="34" fillId="3" borderId="36" xfId="0" applyFont="1" applyFill="1" applyBorder="1" applyAlignment="1">
      <alignment wrapText="1"/>
    </xf>
    <xf numFmtId="0" fontId="0" fillId="3" borderId="21" xfId="0" applyFill="1" applyBorder="1"/>
    <xf numFmtId="0" fontId="0" fillId="3" borderId="23" xfId="0" applyFill="1" applyBorder="1"/>
    <xf numFmtId="0" fontId="16" fillId="3" borderId="24" xfId="0" applyNumberFormat="1" applyFont="1" applyFill="1" applyBorder="1"/>
    <xf numFmtId="0" fontId="16" fillId="3" borderId="0" xfId="0" applyNumberFormat="1" applyFont="1" applyFill="1" applyBorder="1"/>
    <xf numFmtId="0" fontId="16" fillId="3" borderId="7" xfId="0" applyNumberFormat="1" applyFont="1" applyFill="1" applyBorder="1"/>
    <xf numFmtId="0" fontId="16" fillId="3" borderId="25" xfId="0" applyNumberFormat="1" applyFont="1" applyFill="1" applyBorder="1"/>
    <xf numFmtId="0" fontId="16" fillId="3" borderId="10" xfId="0" applyNumberFormat="1" applyFont="1" applyFill="1" applyBorder="1"/>
    <xf numFmtId="0" fontId="16" fillId="3" borderId="11" xfId="0" applyNumberFormat="1" applyFont="1" applyFill="1" applyBorder="1"/>
    <xf numFmtId="0" fontId="17" fillId="3" borderId="22" xfId="0" applyFont="1" applyFill="1" applyBorder="1"/>
    <xf numFmtId="0" fontId="17" fillId="3" borderId="24" xfId="0" applyFont="1" applyFill="1" applyBorder="1"/>
    <xf numFmtId="1" fontId="19" fillId="0" borderId="29" xfId="0" applyNumberFormat="1" applyFont="1" applyFill="1" applyBorder="1" applyAlignment="1" applyProtection="1">
      <alignment vertical="center" wrapText="1"/>
    </xf>
    <xf numFmtId="1" fontId="19" fillId="0" borderId="29" xfId="0" applyNumberFormat="1" applyFont="1" applyFill="1" applyBorder="1" applyAlignment="1" applyProtection="1">
      <alignment wrapText="1"/>
    </xf>
    <xf numFmtId="1" fontId="19" fillId="0" borderId="35" xfId="0" applyNumberFormat="1" applyFont="1" applyFill="1" applyBorder="1" applyAlignment="1" applyProtection="1">
      <alignment wrapText="1"/>
    </xf>
    <xf numFmtId="1" fontId="19" fillId="0" borderId="29" xfId="0" applyNumberFormat="1" applyFont="1" applyFill="1" applyBorder="1" applyAlignment="1" applyProtection="1">
      <alignment horizontal="center" wrapText="1"/>
    </xf>
    <xf numFmtId="1" fontId="19" fillId="0" borderId="31" xfId="0" applyNumberFormat="1" applyFont="1" applyFill="1" applyBorder="1" applyAlignment="1" applyProtection="1">
      <alignment vertical="center" wrapText="1"/>
    </xf>
    <xf numFmtId="0" fontId="18" fillId="9" borderId="37" xfId="0" applyFont="1" applyFill="1" applyBorder="1" applyAlignment="1">
      <alignment vertical="center" wrapText="1"/>
    </xf>
    <xf numFmtId="0" fontId="18" fillId="9" borderId="38" xfId="0" applyFont="1" applyFill="1" applyBorder="1" applyAlignment="1">
      <alignment vertical="center" wrapText="1"/>
    </xf>
    <xf numFmtId="0" fontId="18" fillId="9" borderId="38" xfId="0" applyFont="1" applyFill="1" applyBorder="1" applyAlignment="1">
      <alignment vertical="center"/>
    </xf>
    <xf numFmtId="0" fontId="18" fillId="9" borderId="38" xfId="0" applyNumberFormat="1" applyFont="1" applyFill="1" applyBorder="1" applyAlignment="1">
      <alignment vertical="center" wrapText="1"/>
    </xf>
    <xf numFmtId="0" fontId="18" fillId="9" borderId="39" xfId="0" applyFont="1" applyFill="1" applyBorder="1" applyAlignment="1">
      <alignment vertical="center" wrapText="1"/>
    </xf>
    <xf numFmtId="0" fontId="9" fillId="0" borderId="1" xfId="0" applyFont="1" applyBorder="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9" fillId="0" borderId="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0" borderId="4" xfId="0" applyFont="1" applyBorder="1" applyAlignment="1">
      <alignment horizontal="right"/>
    </xf>
    <xf numFmtId="0" fontId="9" fillId="0" borderId="5" xfId="0" applyFont="1" applyBorder="1" applyAlignment="1">
      <alignment horizontal="right"/>
    </xf>
    <xf numFmtId="0" fontId="3" fillId="3" borderId="17" xfId="0" applyFont="1" applyFill="1" applyBorder="1" applyAlignment="1">
      <alignment horizontal="right" vertical="center" textRotation="90"/>
    </xf>
    <xf numFmtId="0" fontId="3" fillId="3" borderId="10" xfId="0" applyFont="1" applyFill="1" applyBorder="1" applyAlignment="1">
      <alignment horizontal="center" vertical="center"/>
    </xf>
    <xf numFmtId="0" fontId="3" fillId="3" borderId="24" xfId="0" applyFont="1" applyFill="1" applyBorder="1" applyAlignment="1">
      <alignment horizontal="right" vertical="center" textRotation="90"/>
    </xf>
    <xf numFmtId="0" fontId="0" fillId="0" borderId="0" xfId="0" applyAlignment="1">
      <alignment horizontal="center" vertical="center" textRotation="90"/>
    </xf>
    <xf numFmtId="0" fontId="0" fillId="0" borderId="0" xfId="0" applyAlignment="1">
      <alignment horizontal="center"/>
    </xf>
  </cellXfs>
  <cellStyles count="16">
    <cellStyle name="Beløb" xfId="1"/>
    <cellStyle name="Beløb (negative)" xfId="2"/>
    <cellStyle name="Beløb 1000" xfId="3"/>
    <cellStyle name="Beløb 1000 (negative)" xfId="4"/>
    <cellStyle name="Decimal" xfId="5"/>
    <cellStyle name="Decimal (negative)" xfId="6"/>
    <cellStyle name="Font11" xfId="7"/>
    <cellStyle name="Font13" xfId="8"/>
    <cellStyle name="Font15" xfId="9"/>
    <cellStyle name="Normal" xfId="0" builtinId="0"/>
    <cellStyle name="Overskrift" xfId="10"/>
    <cellStyle name="Percent %" xfId="11"/>
    <cellStyle name="Total" xfId="12" builtinId="25" customBuiltin="1"/>
    <cellStyle name="Total (negative)" xfId="13"/>
    <cellStyle name="Total 1000" xfId="14"/>
    <cellStyle name="Total 1000 (negative)" xfId="15"/>
  </cellStyles>
  <dxfs count="129">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0"/>
        <color auto="1"/>
        <name val="Calibri"/>
        <scheme val="minor"/>
      </font>
      <numFmt numFmtId="1" formatCode="0"/>
      <fill>
        <patternFill patternType="solid">
          <fgColor indexed="64"/>
          <bgColor theme="9" tint="0.59999389629810485"/>
        </patternFill>
      </fill>
      <alignment horizontal="center" vertical="center" textRotation="0" wrapText="1" indent="0" justifyLastLine="0" shrinkToFit="0" readingOrder="0"/>
      <protection locked="0" hidden="0"/>
    </dxf>
    <dxf>
      <border outline="0">
        <top style="medium">
          <color indexed="64"/>
        </top>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172" formatCode="[$-406]mmmm\ yyyy;@"/>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0"/>
        <color auto="1"/>
        <name val="Calibri"/>
        <scheme val="minor"/>
      </font>
      <numFmt numFmtId="1" formatCode="0"/>
      <fill>
        <patternFill patternType="solid">
          <fgColor indexed="64"/>
          <bgColor theme="9" tint="0.59999389629810485"/>
        </patternFill>
      </fill>
      <alignment horizontal="center" vertical="center" textRotation="0" wrapText="1" indent="0" justifyLastLine="0" shrinkToFit="0" readingOrder="0"/>
      <protection locked="0" hidden="0"/>
    </dxf>
    <dxf>
      <border outline="0">
        <top style="medium">
          <color indexed="64"/>
        </top>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172" formatCode="[$-406]mmmm\ yyyy;@"/>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protection locked="1" hidden="0"/>
    </dxf>
    <dxf>
      <border outline="0">
        <top style="medium">
          <color indexed="64"/>
        </top>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172" formatCode="[$-406]mmmm\ yyyy;@"/>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protection locked="1" hidden="0"/>
    </dxf>
    <dxf>
      <border outline="0">
        <top style="medium">
          <color indexed="64"/>
        </top>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172" formatCode="[$-406]mmmm\ yyyy;@"/>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b/>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dxf>
    <dxf>
      <border diagonalUp="0" diagonalDown="0">
        <left/>
        <right/>
        <top style="medium">
          <color indexed="64"/>
        </top>
        <bottom/>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172" formatCode="[$-406]mmmm\ yyyy;@"/>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b/>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dxf>
    <dxf>
      <border diagonalUp="0" diagonalDown="0">
        <left/>
        <right/>
        <top style="medium">
          <color indexed="64"/>
        </top>
        <bottom/>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border outline="0">
        <top style="medium">
          <color indexed="64"/>
        </top>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171" formatCode="0\ &quot;måneder&quot;"/>
      <fill>
        <patternFill patternType="solid">
          <fgColor indexed="64"/>
          <bgColor theme="0" tint="-4.9989318521683403E-2"/>
        </patternFill>
      </fill>
      <alignment horizontal="left" vertical="center" textRotation="0" wrapText="0"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auto="1"/>
        <name val="Calibri"/>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dxf>
    <dxf>
      <font>
        <b/>
        <strike val="0"/>
        <outline val="0"/>
        <shadow val="0"/>
        <u val="none"/>
        <vertAlign val="baseline"/>
        <sz val="10"/>
        <color auto="1"/>
        <name val="Calibri"/>
        <scheme val="minor"/>
      </font>
      <numFmt numFmtId="1" formatCode="0"/>
      <fill>
        <patternFill patternType="solid">
          <fgColor indexed="64"/>
          <bgColor theme="0" tint="-4.9989318521683403E-2"/>
        </patternFill>
      </fill>
      <alignment horizontal="center" vertical="center" textRotation="0" wrapText="1" indent="0" justifyLastLine="0" shrinkToFit="0" readingOrder="0"/>
    </dxf>
    <dxf>
      <border diagonalUp="0" diagonalDown="0">
        <left/>
        <right/>
        <top style="medium">
          <color indexed="64"/>
        </top>
        <bottom/>
      </border>
    </dxf>
    <dxf>
      <font>
        <strike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solid">
          <fgColor indexed="64"/>
          <bgColor theme="0" tint="-0.249977111117893"/>
        </patternFill>
      </fill>
      <alignment horizontal="general"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numFmt numFmtId="1" formatCode="0"/>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1"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numFmt numFmtId="0" formatCode="General"/>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1"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numFmt numFmtId="1" formatCode="0"/>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1"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center"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font>
    </dxf>
    <dxf>
      <font>
        <color rgb="FF9C0006"/>
      </font>
      <fill>
        <patternFill>
          <bgColor rgb="FFFFC7CE"/>
        </patternFill>
      </fill>
    </dxf>
    <dxf>
      <font>
        <color rgb="FF9C5700"/>
      </font>
      <fill>
        <patternFill>
          <bgColor rgb="FFFFEB9C"/>
        </patternFill>
      </fill>
    </dxf>
    <dxf>
      <font>
        <color theme="6" tint="-0.24994659260841701"/>
      </font>
      <fill>
        <patternFill>
          <bgColor theme="6"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66"/>
      <rgbColor rgb="00FFFFFF"/>
      <rgbColor rgb="00CC3300"/>
      <rgbColor rgb="00336600"/>
      <rgbColor rgb="000000FF"/>
      <rgbColor rgb="00FFCC00"/>
      <rgbColor rgb="00FF00FF"/>
      <rgbColor rgb="0099CC00"/>
      <rgbColor rgb="00003399"/>
      <rgbColor rgb="0099CCFF"/>
      <rgbColor rgb="00FFFFFF"/>
      <rgbColor rgb="00B2B2B2"/>
      <rgbColor rgb="00800080"/>
      <rgbColor rgb="00008080"/>
      <rgbColor rgb="00EDE8CB"/>
      <rgbColor rgb="00808080"/>
      <rgbColor rgb="00CC3300"/>
      <rgbColor rgb="00003399"/>
      <rgbColor rgb="00FFCC00"/>
      <rgbColor rgb="00336600"/>
      <rgbColor rgb="00330066"/>
      <rgbColor rgb="00009999"/>
      <rgbColor rgb="00CCCCFF"/>
      <rgbColor rgb="00336699"/>
      <rgbColor rgb="00CC3300"/>
      <rgbColor rgb="00003399"/>
      <rgbColor rgb="00FFCC00"/>
      <rgbColor rgb="00336600"/>
      <rgbColor rgb="00330066"/>
      <rgbColor rgb="00009999"/>
      <rgbColor rgb="00CCCCFF"/>
      <rgbColor rgb="00336699"/>
      <rgbColor rgb="0000CCFF"/>
      <rgbColor rgb="00CCFFFF"/>
      <rgbColor rgb="00CCFFCC"/>
      <rgbColor rgb="00FFFF99"/>
      <rgbColor rgb="0099CCFF"/>
      <rgbColor rgb="00FF99CC"/>
      <rgbColor rgb="00CC99FF"/>
      <rgbColor rgb="00FFCC99"/>
      <rgbColor rgb="000066CC"/>
      <rgbColor rgb="0099CCFF"/>
      <rgbColor rgb="00CCFFFF"/>
      <rgbColor rgb="00CC99FF"/>
      <rgbColor rgb="006E6699"/>
      <rgbColor rgb="0099CCFF"/>
      <rgbColor rgb="00666699"/>
      <rgbColor rgb="00B2B2B2"/>
      <rgbColor rgb="00003366"/>
      <rgbColor rgb="00339966"/>
      <rgbColor rgb="00003300"/>
      <rgbColor rgb="00333300"/>
      <rgbColor rgb="00993300"/>
      <rgbColor rgb="00993366"/>
      <rgbColor rgb="00333399"/>
      <rgbColor rgb="00DDDDDD"/>
    </indexedColors>
    <mruColors>
      <color rgb="FFC4BD97"/>
      <color rgb="FFFF3300"/>
      <color rgb="FFFF5050"/>
      <color rgb="FF940027"/>
      <color rgb="FFFFFF66"/>
      <color rgb="FFFFFF99"/>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24993832020997375"/>
          <c:y val="0.13671114027413242"/>
          <c:w val="0.50598797025371833"/>
          <c:h val="0.77995552639253429"/>
        </c:manualLayout>
      </c:layout>
      <c:doughnutChart>
        <c:varyColors val="1"/>
        <c:ser>
          <c:idx val="0"/>
          <c:order val="0"/>
          <c:tx>
            <c:strRef>
              <c:f>Risikoanalyse!$W$14</c:f>
              <c:strCache>
                <c:ptCount val="1"/>
                <c:pt idx="0">
                  <c:v>Status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23-4A1D-887E-F644D0FC3D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23-4A1D-887E-F644D0FC3D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23-4A1D-887E-F644D0FC3D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graf'!$B$3:$B$5</c:f>
              <c:strCache>
                <c:ptCount val="3"/>
                <c:pt idx="0">
                  <c:v>Risiko</c:v>
                </c:pt>
                <c:pt idx="1">
                  <c:v>Indtraf ikke</c:v>
                </c:pt>
                <c:pt idx="2">
                  <c:v>Indtraf</c:v>
                </c:pt>
              </c:strCache>
            </c:strRef>
          </c:cat>
          <c:val>
            <c:numRef>
              <c:f>'Data graf'!$C$3:$C$5</c:f>
              <c:numCache>
                <c:formatCode>General</c:formatCode>
                <c:ptCount val="3"/>
                <c:pt idx="0">
                  <c:v>0</c:v>
                </c:pt>
                <c:pt idx="1">
                  <c:v>0</c:v>
                </c:pt>
                <c:pt idx="2">
                  <c:v>0</c:v>
                </c:pt>
              </c:numCache>
            </c:numRef>
          </c:val>
          <c:extLst>
            <c:ext xmlns:c16="http://schemas.microsoft.com/office/drawing/2014/chart" uri="{C3380CC4-5D6E-409C-BE32-E72D297353CC}">
              <c16:uniqueId val="{00000000-FD0D-4435-B2AB-9A980F9B9AB9}"/>
            </c:ext>
          </c:extLst>
        </c:ser>
        <c:dLbls>
          <c:showLegendKey val="0"/>
          <c:showVal val="1"/>
          <c:showCatName val="0"/>
          <c:showSerName val="0"/>
          <c:showPercent val="0"/>
          <c:showBubbleSize val="0"/>
          <c:showLeaderLines val="1"/>
        </c:dLbls>
        <c:firstSliceAng val="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185737</xdr:colOff>
      <xdr:row>5</xdr:row>
      <xdr:rowOff>9524</xdr:rowOff>
    </xdr:from>
    <xdr:to>
      <xdr:col>12</xdr:col>
      <xdr:colOff>1962150</xdr:colOff>
      <xdr:row>14</xdr:row>
      <xdr:rowOff>38100</xdr:rowOff>
    </xdr:to>
    <xdr:graphicFrame macro="">
      <xdr:nvGraphicFramePr>
        <xdr:cNvPr id="2" name="Chart 1">
          <a:extLst>
            <a:ext uri="{FF2B5EF4-FFF2-40B4-BE49-F238E27FC236}">
              <a16:creationId xmlns:a16="http://schemas.microsoft.com/office/drawing/2014/main" id="{84414BC0-58C2-411A-9D71-0D29A5595E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Risikolog" displayName="Risikolog" ref="B14:W114" totalsRowShown="0" headerRowDxfId="124" dataDxfId="122" headerRowBorderDxfId="123" tableBorderDxfId="121">
  <autoFilter ref="B14:W114"/>
  <tableColumns count="22">
    <tableColumn id="1" name="Risiko-id" dataDxfId="120"/>
    <tableColumn id="2" name="Dato" dataDxfId="119"/>
    <tableColumn id="3" name="Forfatter" dataDxfId="118"/>
    <tableColumn id="4" name="Risikotype" dataDxfId="117"/>
    <tableColumn id="5" name="Risikoårsag og risikohændelse" dataDxfId="116"/>
    <tableColumn id="6" name="Risikokonsekvens" dataDxfId="115"/>
    <tableColumn id="7" name="Sand-synlig-hed" dataDxfId="114"/>
    <tableColumn id="8" name="Konse-kvens" dataDxfId="113"/>
    <tableColumn id="9" name="Risiko-værdi" dataDxfId="112">
      <calculatedColumnFormula>IF(Risikolog[[#This Row],[Sand-synlig-hed]]*Risikolog[[#This Row],[Konse-kvens]]=0,"",Risikolog[[#This Row],[Sand-synlig-hed]]*Risikolog[[#This Row],[Konse-kvens]]+Risikolog[[#This Row],[Risiko-id]]/10^8)</calculatedColumnFormula>
    </tableColumn>
    <tableColumn id="10" name="Forventet tidspunkt for indtræffen " dataDxfId="111"/>
    <tableColumn id="22" name="Nærhed" dataDxfId="110">
      <calculatedColumnFormula>IFERROR((VLOOKUP(Risikolog[[#This Row],[Forventet tidspunkt for indtræffen ]],Lister!L$2:M$55,2)-TODAY())/30+Risikolog[[#This Row],[Risiko-id]]/10^8,"")</calculatedColumnFormula>
    </tableColumn>
    <tableColumn id="11" name="Risikoejer" dataDxfId="109"/>
    <tableColumn id="12" name="Mitigerende tiltag" dataDxfId="108"/>
    <tableColumn id="19" name="Ansvarlig for at udføre mitigerende tiltag" dataDxfId="107"/>
    <tableColumn id="13" name="Mitigerende tiltag lagt i projektplan" dataDxfId="106"/>
    <tableColumn id="14" name="Mitigerende tiltag lagt i budget" dataDxfId="105"/>
    <tableColumn id="15" name="Sand-synlighed efter tiltag" dataDxfId="104"/>
    <tableColumn id="16" name="Konse-kvens efter tiltag" dataDxfId="103"/>
    <tableColumn id="17" name="Risikoværdi efter tiltag" dataDxfId="102">
      <calculatedColumnFormula>IF(Risikolog[[#This Row],[Sand-synlighed efter tiltag]]*Risikolog[[#This Row],[Konse-kvens efter tiltag]]=0,"",Risikolog[[#This Row],[Sand-synlighed efter tiltag]]*Risikolog[[#This Row],[Konse-kvens efter tiltag]]+Risikolog[[#This Row],[Risiko-id]]/10^8)</calculatedColumnFormula>
    </tableColumn>
    <tableColumn id="18" name="Beredskabsplan hvis risiko indtræffer" dataDxfId="101"/>
    <tableColumn id="20" name="Beredskabsplan lagt i risikopulje" dataDxfId="100"/>
    <tableColumn id="21" name="Status" dataDxfId="99"/>
  </tableColumns>
  <tableStyleInfo name="TableStyleLight15" showFirstColumn="0" showLastColumn="0" showRowStripes="1" showColumnStripes="0"/>
</table>
</file>

<file path=xl/tables/table2.xml><?xml version="1.0" encoding="utf-8"?>
<table xmlns="http://schemas.openxmlformats.org/spreadsheetml/2006/main" id="11" name="Table2412" displayName="Table2412" ref="B6:L16" totalsRowShown="0" headerRowDxfId="98" dataDxfId="97" tableBorderDxfId="96">
  <autoFilter ref="B6:L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ref="B7:L11">
    <sortCondition ref="L6:L11"/>
  </sortState>
  <tableColumns count="11">
    <tableColumn id="1" name="Risiko-id" dataDxfId="95">
      <calculatedColumnFormula>IFERROR(INDEX(Risikolog[Risiko-id],MATCH(Table2412[[#This Row],[Nærhed (måneder)]],Risikolog[Nærhed],0)),"")</calculatedColumnFormula>
    </tableColumn>
    <tableColumn id="2" name="Risikoårsag og risikohændelse" dataDxfId="94">
      <calculatedColumnFormula>IFERROR(IF(VLOOKUP(Table2412[[#This Row],[Risiko-id]],Risikolog[[Risiko-id]:[Mitigerende tiltag]],5)=0,"",VLOOKUP(Table2412[[#This Row],[Risiko-id]],Risikolog[[Risiko-id]:[Mitigerende tiltag]],5)),"")</calculatedColumnFormula>
    </tableColumn>
    <tableColumn id="11" name="Risikokonsekvens" dataDxfId="93">
      <calculatedColumnFormula>IFERROR(IF(VLOOKUP(Table2412[[#This Row],[Risiko-id]],Risikolog[[Risiko-id]:[Mitigerende tiltag]],6)=0,"",VLOOKUP(Table2412[[#This Row],[Risiko-id]],Risikolog[[Risiko-id]:[Mitigerende tiltag]],6)),"")</calculatedColumnFormula>
    </tableColumn>
    <tableColumn id="3" name="Sandsynlighed" dataDxfId="92">
      <calculatedColumnFormula>IFERROR(VLOOKUP(Table2412[[#This Row],[Risiko-id]],Risikolog[[Risiko-id]:[Mitigerende tiltag]],7),"")</calculatedColumnFormula>
    </tableColumn>
    <tableColumn id="4" name="Konsekvens" dataDxfId="91">
      <calculatedColumnFormula>IFERROR(VLOOKUP(Table2412[[#This Row],[Risiko-id]],Risikolog[[Risiko-id]:[Mitigerende tiltag]],8),"")</calculatedColumnFormula>
    </tableColumn>
    <tableColumn id="5" name="Risikoværdi" dataDxfId="90">
      <calculatedColumnFormula>IFERROR(Table2412[[#This Row],[Sandsynlighed]]*Table2412[[#This Row],[Konsekvens]],"")</calculatedColumnFormula>
    </tableColumn>
    <tableColumn id="7" name="Mitigerende tiltag" dataDxfId="89">
      <calculatedColumnFormula>IFERROR(IF(VLOOKUP(Table2412[[#This Row],[Risiko-id]],Risikolog[[Risiko-id]:[Mitigerende tiltag]],13)=0,"",VLOOKUP(Table2412[[#This Row],[Risiko-id]],Risikolog[[Risiko-id]:[Mitigerende tiltag]],13)),"")</calculatedColumnFormula>
    </tableColumn>
    <tableColumn id="6" name="Ansvarlig for mitigerende tiltag" dataDxfId="88">
      <calculatedColumnFormula>IFERROR(IF(VLOOKUP(Table2412[[#This Row],[Risiko-id]],Risikolog[[Risiko-id]:[Status]],14)=0,"",VLOOKUP(Table2412[[#This Row],[Risiko-id]],Risikolog[[Risiko-id]:[Status]],14)),"")</calculatedColumnFormula>
    </tableColumn>
    <tableColumn id="8" name="Beredskabsplan, hvis risiko indtræffer (alligevel)" dataDxfId="87">
      <calculatedColumnFormula>IFERROR(IF(VLOOKUP(Table2412[[#This Row],[Risiko-id]],Risikolog[[Risiko-id]:[Beredskabsplan hvis risiko indtræffer]],20)=0,"",VLOOKUP(Table2412[[#This Row],[Risiko-id]],Risikolog[[Risiko-id]:[Beredskabsplan hvis risiko indtræffer]],20)),"")</calculatedColumnFormula>
    </tableColumn>
    <tableColumn id="9" name="Risikoejer" dataDxfId="86">
      <calculatedColumnFormula>IFERROR(IF(VLOOKUP(Table2412[[#This Row],[Risiko-id]],Risikolog[[Risiko-id]:[Mitigerende tiltag]],12)=0,"",VLOOKUP(Table2412[[#This Row],[Risiko-id]],Risikolog[[Risiko-id]:[Mitigerende tiltag]],12)),"")</calculatedColumnFormula>
    </tableColumn>
    <tableColumn id="10" name="Nærhed (måneder)" dataDxfId="85">
      <calculatedColumnFormula array="1">IFERROR(SMALL(IF(Risikolog[Status]="Risiko",Risikolog[Nærhed]),1),"")</calculatedColumnFormula>
    </tableColumn>
  </tableColumns>
  <tableStyleInfo name="TableStyleMedium10" showFirstColumn="0" showLastColumn="0" showRowStripes="0" showColumnStripes="0"/>
</table>
</file>

<file path=xl/tables/table3.xml><?xml version="1.0" encoding="utf-8"?>
<table xmlns="http://schemas.openxmlformats.org/spreadsheetml/2006/main" id="4" name="Table2465" displayName="Table2465" ref="K19:M24" totalsRowShown="0" headerRowDxfId="84" dataDxfId="83" tableBorderDxfId="82">
  <tableColumns count="3">
    <tableColumn id="2" name="Risikotype" dataDxfId="81"/>
    <tableColumn id="3" name="Antal risici" dataDxfId="80">
      <calculatedColumnFormula>COUNTIFS(Risikolog[Risikotype],Table2465[[#This Row],[Risikotype]],Risikolog[Status],"Risiko")</calculatedColumnFormula>
    </tableColumn>
    <tableColumn id="4" name="Heraf kritiske (større end eller lig med 10)" dataDxfId="79">
      <calculatedColumnFormula>IFERROR(COUNTIFS(Risikolog[Risiko-værdi],"&gt;10",Risikolog[Risikotype],Table2465[[#This Row],[Risikotype]],Risikolog[Status],"Risiko"),0)</calculatedColumnFormula>
    </tableColumn>
  </tableColumns>
  <tableStyleInfo name="TableStyleMedium10" showFirstColumn="0" showLastColumn="0" showRowStripes="0" showColumnStripes="0"/>
</table>
</file>

<file path=xl/tables/table4.xml><?xml version="1.0" encoding="utf-8"?>
<table xmlns="http://schemas.openxmlformats.org/spreadsheetml/2006/main" id="8" name="Table29" displayName="Table29" ref="B6:L16" totalsRowShown="0" headerRowDxfId="78" dataDxfId="77" tableBorderDxfId="76">
  <autoFilter ref="B6:L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ref="B7:L11">
    <sortCondition ref="B8:B13"/>
  </sortState>
  <tableColumns count="11">
    <tableColumn id="1" name="Risiko-id" dataDxfId="75">
      <calculatedColumnFormula>IFERROR(IF(INDEX(Risikolog[Risiko-id],MATCH(Table29[[#This Row],[Risikoværdi]],Risikolog[Risiko-værdi],0))=0,"",INDEX(Risikolog[Risiko-id],MATCH(Table29[[#This Row],[Risikoværdi]],Risikolog[Risiko-værdi],0))),"")</calculatedColumnFormula>
    </tableColumn>
    <tableColumn id="2" name="Risikoårsag og risikohændelse" dataDxfId="74">
      <calculatedColumnFormula>IFERROR(IF(VLOOKUP(Table29[[#This Row],[Risiko-id]],Risikolog[[Risiko-id]:[Mitigerende tiltag]],5)=0,"",VLOOKUP(Table29[[#This Row],[Risiko-id]],Risikolog[[Risiko-id]:[Mitigerende tiltag]],5)),"")</calculatedColumnFormula>
    </tableColumn>
    <tableColumn id="11" name="Risikokonsekvens" dataDxfId="73">
      <calculatedColumnFormula>IFERROR(IF(VLOOKUP(Table29[[#This Row],[Risiko-id]],Risikolog[[Risiko-id]:[Mitigerende tiltag]],6)=0,"",VLOOKUP(Table29[[#This Row],[Risiko-id]],Risikolog[[Risiko-id]:[Mitigerende tiltag]],6)),"")</calculatedColumnFormula>
    </tableColumn>
    <tableColumn id="3" name="Sand-synlighed" dataDxfId="72">
      <calculatedColumnFormula>IFERROR(VLOOKUP(Table29[[#This Row],[Risiko-id]],Risikolog[[Risiko-id]:[Mitigerende tiltag]],7),"")</calculatedColumnFormula>
    </tableColumn>
    <tableColumn id="4" name="Konsekvens" dataDxfId="71">
      <calculatedColumnFormula>IFERROR(VLOOKUP(Table29[[#This Row],[Risiko-id]],Risikolog[[Risiko-id]:[Mitigerende tiltag]],8),"")</calculatedColumnFormula>
    </tableColumn>
    <tableColumn id="5" name="Risikoværdi" dataDxfId="70">
      <calculatedColumnFormula array="1">LARGE(IF(Risikolog[Status]="Risiko",Risikolog[Risiko-værdi]),1)</calculatedColumnFormula>
    </tableColumn>
    <tableColumn id="6" name="Forventet indtræffen" dataDxfId="69">
      <calculatedColumnFormula>IFERROR(IF(VLOOKUP(Table29[[#This Row],[Risiko-id]],Risikolog[[Risiko-id]:[Mitigerende tiltag]],10)=0,"",VLOOKUP(Table29[[#This Row],[Risiko-id]],Risikolog[[Risiko-id]:[Mitigerende tiltag]],10)),"")</calculatedColumnFormula>
    </tableColumn>
    <tableColumn id="7" name="Mitigerende tiltag" dataDxfId="68">
      <calculatedColumnFormula>IFERROR(IF(VLOOKUP(Table29[[#This Row],[Risiko-id]],Risikolog[[Risiko-id]:[Mitigerende tiltag]],13)=0,"",VLOOKUP(Table29[[#This Row],[Risiko-id]],Risikolog[[Risiko-id]:[Mitigerende tiltag]],13)),"")</calculatedColumnFormula>
    </tableColumn>
    <tableColumn id="12" name="Ansvarlig for mitigerende tiltag" dataDxfId="67">
      <calculatedColumnFormula>IFERROR(IF(VLOOKUP(Table29[[#This Row],[Risiko-id]],Risikolog[[Risiko-id]:[Status]],14)=0,"",VLOOKUP(Table29[[#This Row],[Risiko-id]],Risikolog[[Risiko-id]:[Status]],14)),"")</calculatedColumnFormula>
    </tableColumn>
    <tableColumn id="8" name="Plan, hvis risiko indtræffer (alligevel)" dataDxfId="66">
      <calculatedColumnFormula>IFERROR(IF(VLOOKUP(Table29[[#This Row],[Risiko-id]],Risikolog[[Risiko-id]:[Beredskabsplan hvis risiko indtræffer]],20)=0,"",VLOOKUP(Table29[[#This Row],[Risiko-id]],Risikolog[[Risiko-id]:[Beredskabsplan hvis risiko indtræffer]],20)),"")</calculatedColumnFormula>
    </tableColumn>
    <tableColumn id="9" name="Risikoejer" dataDxfId="65">
      <calculatedColumnFormula>IFERROR(IF(VLOOKUP(Table29[[#This Row],[Risiko-id]],Risikolog[[Risiko-id]:[Mitigerende tiltag]],12)=0,"",VLOOKUP(Table29[[#This Row],[Risiko-id]],Risikolog[[Risiko-id]:[Mitigerende tiltag]],12)),"")</calculatedColumnFormula>
    </tableColumn>
  </tableColumns>
  <tableStyleInfo name="TableStyleMedium10" showFirstColumn="0" showLastColumn="0" showRowStripes="0" showColumnStripes="0"/>
</table>
</file>

<file path=xl/tables/table5.xml><?xml version="1.0" encoding="utf-8"?>
<table xmlns="http://schemas.openxmlformats.org/spreadsheetml/2006/main" id="2" name="Table293" displayName="Table293" ref="B22:L32" totalsRowShown="0" headerRowDxfId="64" dataDxfId="63" tableBorderDxfId="62">
  <autoFilter ref="B22:L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ref="B23:L27">
    <sortCondition ref="B8:B18"/>
  </sortState>
  <tableColumns count="11">
    <tableColumn id="1" name="Risiko-id" dataDxfId="61">
      <calculatedColumnFormula>IFERROR(IF(INDEX(Risikolog[Risiko-id],MATCH(Table293[[#This Row],[Risikoværdi efter tiltag]],Risikolog[Risikoværdi efter tiltag],0))=0,"",INDEX(Risikolog[Risiko-id],MATCH(Table293[[#This Row],[Risikoværdi efter tiltag]],Risikolog[Risikoværdi efter tiltag],0))),"")</calculatedColumnFormula>
    </tableColumn>
    <tableColumn id="2" name="Risikoårsag og risikohændelse" dataDxfId="60">
      <calculatedColumnFormula>IFERROR(IF(VLOOKUP(Table293[[#This Row],[Risiko-id]],Risikolog[[Risiko-id]:[Mitigerende tiltag]],5)=0,"",VLOOKUP(Table293[[#This Row],[Risiko-id]],Risikolog[[Risiko-id]:[Mitigerende tiltag]],5)),"")</calculatedColumnFormula>
    </tableColumn>
    <tableColumn id="11" name="Risikokonsekvens" dataDxfId="59">
      <calculatedColumnFormula>IFERROR(IF(VLOOKUP(Table293[[#This Row],[Risiko-id]],Risikolog[[Risiko-id]:[Mitigerende tiltag]],6)=0,"",VLOOKUP(Table293[[#This Row],[Risiko-id]],Risikolog[[Risiko-id]:[Mitigerende tiltag]],6)),"")</calculatedColumnFormula>
    </tableColumn>
    <tableColumn id="3" name="Sand-synlighed efter tiltag" dataDxfId="58">
      <calculatedColumnFormula>IFERROR(VLOOKUP(Table293[[#This Row],[Risiko-id]],Risikolog[[Risiko-id]:[Konse-kvens efter tiltag]],17),"")</calculatedColumnFormula>
    </tableColumn>
    <tableColumn id="4" name="Konsekvens efter tiltag" dataDxfId="57">
      <calculatedColumnFormula>IFERROR(VLOOKUP(Table293[[#This Row],[Risiko-id]],Risikolog[[Risiko-id]:[Konse-kvens efter tiltag]],18),"")</calculatedColumnFormula>
    </tableColumn>
    <tableColumn id="5" name="Risikoværdi efter tiltag" dataDxfId="56">
      <calculatedColumnFormula array="1">LARGE(IF(Risikolog[Status]="Risiko",Risikolog[Risiko-værdi]),1)</calculatedColumnFormula>
    </tableColumn>
    <tableColumn id="6" name="Forventet indtræffen" dataDxfId="55">
      <calculatedColumnFormula>IFERROR(IF(VLOOKUP(Table293[[#This Row],[Risiko-id]],Risikolog[[Risiko-id]:[Mitigerende tiltag]],10)=0,"",VLOOKUP(Table293[[#This Row],[Risiko-id]],Risikolog[[Risiko-id]:[Mitigerende tiltag]],10)),"")</calculatedColumnFormula>
    </tableColumn>
    <tableColumn id="7" name="Mitigerende tiltag" dataDxfId="54">
      <calculatedColumnFormula>IFERROR(IF(VLOOKUP(Table293[[#This Row],[Risiko-id]],Risikolog[[Risiko-id]:[Mitigerende tiltag]],13)=0,"",VLOOKUP(Table293[[#This Row],[Risiko-id]],Risikolog[[Risiko-id]:[Mitigerende tiltag]],13)),"")</calculatedColumnFormula>
    </tableColumn>
    <tableColumn id="12" name="Ansvarlig for mitigerende tiltag" dataDxfId="53">
      <calculatedColumnFormula>IFERROR(IF(VLOOKUP(Table293[[#This Row],[Risiko-id]],Risikolog[[Risiko-id]:[Status]],14)=0,"",VLOOKUP(Table293[[#This Row],[Risiko-id]],Risikolog[[Risiko-id]:[Status]],14)),"")</calculatedColumnFormula>
    </tableColumn>
    <tableColumn id="8" name="Plan, hvis risiko indtræffer (alligevel)" dataDxfId="52">
      <calculatedColumnFormula>IFERROR(IF(VLOOKUP(Table293[[#This Row],[Risiko-id]],Risikolog[[Risiko-id]:[Beredskabsplan hvis risiko indtræffer]],20)=0,"",VLOOKUP(Table293[[#This Row],[Risiko-id]],Risikolog[[Risiko-id]:[Beredskabsplan hvis risiko indtræffer]],20)),"")</calculatedColumnFormula>
    </tableColumn>
    <tableColumn id="9" name="Risikoejer" dataDxfId="51">
      <calculatedColumnFormula>IFERROR(IF(VLOOKUP(Table293[[#This Row],[Risiko-id]],Risikolog[[Risiko-id]:[Mitigerende tiltag]],12)=0,"",VLOOKUP(Table293[[#This Row],[Risiko-id]],Risikolog[[Risiko-id]:[Mitigerende tiltag]],12)),"")</calculatedColumnFormula>
    </tableColumn>
  </tableColumns>
  <tableStyleInfo name="TableStyleMedium10" showFirstColumn="0" showLastColumn="0" showRowStripes="0" showColumnStripes="0"/>
</table>
</file>

<file path=xl/tables/table6.xml><?xml version="1.0" encoding="utf-8"?>
<table xmlns="http://schemas.openxmlformats.org/spreadsheetml/2006/main" id="15" name="Table246816" displayName="Table246816" ref="B5:L17" totalsRowShown="0" headerRowDxfId="50" dataDxfId="49" tableBorderDxfId="48">
  <autoFilter ref="B5:L17"/>
  <tableColumns count="11">
    <tableColumn id="1" name="Risiko-id" dataDxfId="47">
      <calculatedColumnFormula>Styringsgrundlag!F4</calculatedColumnFormula>
    </tableColumn>
    <tableColumn id="2" name="Risikoårsag og risikohændelse" dataDxfId="46">
      <calculatedColumnFormula>IFERROR(IF(VLOOKUP(Table246816[[#This Row],[Risiko-id]],Risikolog[[Risiko-id]:[Mitigerende tiltag]],5)=0,"",VLOOKUP(Table246816[[#This Row],[Risiko-id]],Risikolog[[Risiko-id]:[Mitigerende tiltag]],5)),"")</calculatedColumnFormula>
    </tableColumn>
    <tableColumn id="11" name="Risikokonsekvens" dataDxfId="45">
      <calculatedColumnFormula>IFERROR(IF(VLOOKUP(Table246816[[#This Row],[Risiko-id]],Risikolog[[Risiko-id]:[Mitigerende tiltag]],6)=0,"",VLOOKUP(Table246816[[#This Row],[Risiko-id]],Risikolog[[Risiko-id]:[Mitigerende tiltag]],6)),"")</calculatedColumnFormula>
    </tableColumn>
    <tableColumn id="3" name="Sandsynlighed" dataDxfId="44">
      <calculatedColumnFormula>IFERROR(VLOOKUP(Table246816[[#This Row],[Risiko-id]],Risikolog[[Risiko-id]:[Mitigerende tiltag]],7),"")</calculatedColumnFormula>
    </tableColumn>
    <tableColumn id="4" name="Konsekvens" dataDxfId="43">
      <calculatedColumnFormula>IFERROR(VLOOKUP(Table246816[[#This Row],[Risiko-id]],Risikolog[[Risiko-id]:[Mitigerende tiltag]],8),"")</calculatedColumnFormula>
    </tableColumn>
    <tableColumn id="5" name="Risikoværdi" dataDxfId="42">
      <calculatedColumnFormula>IFERROR(Table246816[[#This Row],[Sandsynlighed]]*Table246816[[#This Row],[Konsekvens]],"")</calculatedColumnFormula>
    </tableColumn>
    <tableColumn id="6" name="Forventet tidspunkt for indtræffen" dataDxfId="41">
      <calculatedColumnFormula>IFERROR(IF(VLOOKUP(Table246816[[#This Row],[Risiko-id]],Risikolog[[Risiko-id]:[Mitigerende tiltag]],10)=0,"",VLOOKUP(Table246816[[#This Row],[Risiko-id]],Risikolog[[Risiko-id]:[Mitigerende tiltag]],10)),"")</calculatedColumnFormula>
    </tableColumn>
    <tableColumn id="7" name="Mitigerende tiltag" dataDxfId="40">
      <calculatedColumnFormula>IFERROR(IF(VLOOKUP(Table246816[[#This Row],[Risiko-id]],Risikolog[[Risiko-id]:[Mitigerende tiltag]],13)=0,"",VLOOKUP(Table246816[[#This Row],[Risiko-id]],Risikolog[[Risiko-id]:[Mitigerende tiltag]],13)),"")</calculatedColumnFormula>
    </tableColumn>
    <tableColumn id="12" name="Ansvarlig for mitigerende tiltag" dataDxfId="39">
      <calculatedColumnFormula>IFERROR(IF(VLOOKUP(Table246816[[#This Row],[Risiko-id]],Risikolog[[Risiko-id]:[Status]],14)=0,"",VLOOKUP(Table246816[[#This Row],[Risiko-id]],Risikolog[[Risiko-id]:[Status]],14)),"")</calculatedColumnFormula>
    </tableColumn>
    <tableColumn id="8" name="Plan, hvis risiko indtræffer (alligevel)" dataDxfId="38">
      <calculatedColumnFormula>IFERROR(IF(VLOOKUP(Table246816[[#This Row],[Risiko-id]],Risikolog[[Risiko-id]:[Beredskabsplan hvis risiko indtræffer]],20)=0,"",VLOOKUP(Table246816[[#This Row],[Risiko-id]],Risikolog[[Risiko-id]:[Beredskabsplan hvis risiko indtræffer]],20)),"")</calculatedColumnFormula>
    </tableColumn>
    <tableColumn id="9" name="Risikoejer" dataDxfId="37">
      <calculatedColumnFormula>IFERROR(IF(VLOOKUP(Table246816[[#This Row],[Risiko-id]],Risikolog[[Risiko-id]:[Mitigerende tiltag]],12)=0,"",VLOOKUP(Table246816[[#This Row],[Risiko-id]],Risikolog[[Risiko-id]:[Mitigerende tiltag]],12)),"")</calculatedColumnFormula>
    </tableColumn>
  </tableColumns>
  <tableStyleInfo name="TableStyleMedium10" showFirstColumn="0" showLastColumn="0" showRowStripes="0" showColumnStripes="0"/>
</table>
</file>

<file path=xl/tables/table7.xml><?xml version="1.0" encoding="utf-8"?>
<table xmlns="http://schemas.openxmlformats.org/spreadsheetml/2006/main" id="16" name="Table2468717" displayName="Table2468717" ref="B22:L35" totalsRowShown="0" headerRowDxfId="36" dataDxfId="35" tableBorderDxfId="34">
  <autoFilter ref="B22:L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isiko-id" dataDxfId="33">
      <calculatedColumnFormula>Styringsgrundlag!M4</calculatedColumnFormula>
    </tableColumn>
    <tableColumn id="2" name="Risikoårsag og risikohændelse" dataDxfId="32">
      <calculatedColumnFormula>IF(Table2468717[[#This Row],[Risiko-id]]="","",IF(VLOOKUP(Table2468717[[#This Row],[Risiko-id]],Risikolog[[Risiko-id]:[Mitigerende tiltag]],5)=0,"",VLOOKUP(Table2468717[[#This Row],[Risiko-id]],Risikolog[[Risiko-id]:[Mitigerende tiltag]],5)))</calculatedColumnFormula>
    </tableColumn>
    <tableColumn id="11" name="Risikokonsekvens" dataDxfId="31">
      <calculatedColumnFormula>IFERROR(IF(VLOOKUP(Table2468717[[#This Row],[Risiko-id]],Risikolog[[Risiko-id]:[Mitigerende tiltag]],6)=0,"",VLOOKUP(Table2468717[[#This Row],[Risiko-id]],Risikolog[[Risiko-id]:[Mitigerende tiltag]],6)),"")</calculatedColumnFormula>
    </tableColumn>
    <tableColumn id="3" name="Sandsynlighed" dataDxfId="30">
      <calculatedColumnFormula>IFERROR(VLOOKUP(Table2468717[[#This Row],[Risiko-id]],Risikolog[[Risiko-id]:[Mitigerende tiltag]],7),"")</calculatedColumnFormula>
    </tableColumn>
    <tableColumn id="4" name="Konsekvens" dataDxfId="29">
      <calculatedColumnFormula>IF(Table2468717[[#This Row],[Risiko-id]]="","",VLOOKUP(Table2468717[[#This Row],[Risiko-id]],Risikolog[[Risiko-id]:[Mitigerende tiltag]],8))</calculatedColumnFormula>
    </tableColumn>
    <tableColumn id="5" name="Risikoværdi" dataDxfId="28">
      <calculatedColumnFormula>IFERROR(Table2468717[[#This Row],[Sandsynlighed]]*Table2468717[[#This Row],[Konsekvens]],"")</calculatedColumnFormula>
    </tableColumn>
    <tableColumn id="6" name="Forventet tidspunkt for indtræffen" dataDxfId="27">
      <calculatedColumnFormula>IFERROR(IF(VLOOKUP(Table2468717[[#This Row],[Risiko-id]],Risikolog[[Risiko-id]:[Mitigerende tiltag]],10)=0,"",VLOOKUP(Table2468717[[#This Row],[Risiko-id]],Risikolog[[Risiko-id]:[Mitigerende tiltag]],10)),"")</calculatedColumnFormula>
    </tableColumn>
    <tableColumn id="7" name="Mitigerende tiltag" dataDxfId="26">
      <calculatedColumnFormula>IFERROR(IF(VLOOKUP(Table2468717[[#This Row],[Risiko-id]],Risikolog[[Risiko-id]:[Mitigerende tiltag]],13)=0,"",VLOOKUP(Table2468717[[#This Row],[Risiko-id]],Risikolog[[Risiko-id]:[Mitigerende tiltag]],13)),"")</calculatedColumnFormula>
    </tableColumn>
    <tableColumn id="12" name="Ansvarlig for mitigerende tiltag" dataDxfId="25">
      <calculatedColumnFormula>IFERROR(IF(VLOOKUP(Table2468717[[#This Row],[Risiko-id]],Risikolog[[Risiko-id]:[Status]],14)=0,"",VLOOKUP(Table2468717[[#This Row],[Risiko-id]],Risikolog[[Risiko-id]:[Status]],14)),"")</calculatedColumnFormula>
    </tableColumn>
    <tableColumn id="8" name="Plan, hvis risiko indtræffer (alligevel)" dataDxfId="24">
      <calculatedColumnFormula>IFERROR(IF(VLOOKUP(Table2468717[[#This Row],[Risiko-id]],Risikolog[[Risiko-id]:[Beredskabsplan hvis risiko indtræffer]],20)=0,"",VLOOKUP(Table2468717[[#This Row],[Risiko-id]],Risikolog[[Risiko-id]:[Beredskabsplan hvis risiko indtræffer]],20)),"")</calculatedColumnFormula>
    </tableColumn>
    <tableColumn id="9" name="Risikoejer" dataDxfId="23">
      <calculatedColumnFormula>IFERROR(IF(VLOOKUP(Table2468717[[#This Row],[Risiko-id]],Risikolog[[Risiko-id]:[Mitigerende tiltag]],12)=0,"",VLOOKUP(Table2468717[[#This Row],[Risiko-id]],Risikolog[[Risiko-id]:[Mitigerende tiltag]],12)),"")</calculatedColumnFormula>
    </tableColumn>
  </tableColumns>
  <tableStyleInfo name="TableStyleMedium10" showFirstColumn="0" showLastColumn="0" showRowStripes="0" showColumnStripes="0"/>
</table>
</file>

<file path=xl/tables/table8.xml><?xml version="1.0" encoding="utf-8"?>
<table xmlns="http://schemas.openxmlformats.org/spreadsheetml/2006/main" id="13" name="Table24614" displayName="Table24614" ref="B6:L16" totalsRowShown="0" headerRowDxfId="22" dataDxfId="21" tableBorderDxfId="20">
  <autoFilter ref="B6:L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ref="B7:L11">
    <sortCondition ref="B6:B11"/>
  </sortState>
  <tableColumns count="11">
    <tableColumn id="1" name="Risiko-id" dataDxfId="19"/>
    <tableColumn id="2" name="Risikoårsag og risikohændelse" dataDxfId="18">
      <calculatedColumnFormula>IF(VLOOKUP(Table24614[[#This Row],[Risiko-id]],Risikolog[[Risiko-id]:[Mitigerende tiltag]],5)=0,"",VLOOKUP(Table24614[[#This Row],[Risiko-id]],Risikolog[[Risiko-id]:[Mitigerende tiltag]],5))</calculatedColumnFormula>
    </tableColumn>
    <tableColumn id="11" name="Risikokonsekvens" dataDxfId="17">
      <calculatedColumnFormula>IF(VLOOKUP(Table24614[[#This Row],[Risiko-id]],Risikolog[[Risiko-id]:[Mitigerende tiltag]],5)=0,"",VLOOKUP(Table24614[[#This Row],[Risiko-id]],Risikolog[[Risiko-id]:[Mitigerende tiltag]],6))</calculatedColumnFormula>
    </tableColumn>
    <tableColumn id="3" name="Sandsynlighed" dataDxfId="16">
      <calculatedColumnFormula>VLOOKUP(Table24614[[#This Row],[Risiko-id]],Risikolog[[Risiko-id]:[Mitigerende tiltag]],7)</calculatedColumnFormula>
    </tableColumn>
    <tableColumn id="4" name="Konsekvens" dataDxfId="15">
      <calculatedColumnFormula>VLOOKUP(Table24614[[#This Row],[Risiko-id]],Risikolog[[Risiko-id]:[Mitigerende tiltag]],8)</calculatedColumnFormula>
    </tableColumn>
    <tableColumn id="5" name="Risikoværdi" dataDxfId="14">
      <calculatedColumnFormula>Table24614[[#This Row],[Sandsynlighed]]*Table24614[[#This Row],[Konsekvens]]</calculatedColumnFormula>
    </tableColumn>
    <tableColumn id="6" name="Forventet tidspunkt for indtræffen" dataDxfId="13">
      <calculatedColumnFormula>IF(VLOOKUP(Table24614[[#This Row],[Risiko-id]],Risikolog[[Risiko-id]:[Mitigerende tiltag]],10)=0,"",VLOOKUP(Table24614[[#This Row],[Risiko-id]],Risikolog[[Risiko-id]:[Mitigerende tiltag]],10))</calculatedColumnFormula>
    </tableColumn>
    <tableColumn id="7" name="Mitigerende tiltag" dataDxfId="12">
      <calculatedColumnFormula>IF(VLOOKUP(Table24614[[#This Row],[Risiko-id]],Risikolog[[Risiko-id]:[Mitigerende tiltag]],13)=0,"",VLOOKUP(Table24614[[#This Row],[Risiko-id]],Risikolog[[Risiko-id]:[Mitigerende tiltag]],13))</calculatedColumnFormula>
    </tableColumn>
    <tableColumn id="12" name="Ansvarlig for mitigerende tiltag" dataDxfId="11">
      <calculatedColumnFormula>IF(VLOOKUP(Table24614[[#This Row],[Risiko-id]],Risikolog[[Risiko-id]:[Status]],14)=0,"",VLOOKUP(Table24614[[#This Row],[Risiko-id]],Risikolog[[Risiko-id]:[Status]],14))</calculatedColumnFormula>
    </tableColumn>
    <tableColumn id="8" name="Plan, hvis risiko indtræffer (alligevel)" dataDxfId="10">
      <calculatedColumnFormula>IF(VLOOKUP(Table24614[[#This Row],[Risiko-id]],Risikolog[[Risiko-id]:[Beredskabsplan hvis risiko indtræffer]],20)=0,"",VLOOKUP(Table24614[[#This Row],[Risiko-id]],Risikolog[[Risiko-id]:[Beredskabsplan hvis risiko indtræffer]],20))</calculatedColumnFormula>
    </tableColumn>
    <tableColumn id="9" name="Risikoejer" dataDxfId="9">
      <calculatedColumnFormula>IF(VLOOKUP(Table24614[[#This Row],[Risiko-id]],Risikolog[[Risiko-id]:[Mitigerende tiltag]],12)=0,"",VLOOKUP(Table24614[[#This Row],[Risiko-id]],Risikolog[[Risiko-id]:[Mitigerende tiltag]],12))</calculatedColumnFormula>
    </tableColumn>
  </tableColumns>
  <tableStyleInfo name="TableStyleMedium10" showFirstColumn="0" showLastColumn="0" showRowStripes="0" showColumnStripes="0"/>
</table>
</file>

<file path=xl/tables/table9.xml><?xml version="1.0" encoding="utf-8"?>
<table xmlns="http://schemas.openxmlformats.org/spreadsheetml/2006/main" id="3" name="Table246144" displayName="Table246144" ref="B20:G25" totalsRowShown="0" headerRowDxfId="8" dataDxfId="7" tableBorderDxfId="6">
  <autoFilter ref="B20:G25"/>
  <sortState ref="B21:G25">
    <sortCondition ref="B6:B11"/>
  </sortState>
  <tableColumns count="6">
    <tableColumn id="1" name="Risiko-id" dataDxfId="5"/>
    <tableColumn id="2" name="Risikoårsag og risikohændelse" dataDxfId="4">
      <calculatedColumnFormula>IF(VLOOKUP(Table246144[[#This Row],[Risiko-id]],Risikolog[[Risiko-id]:[Mitigerende tiltag]],5)=0,"",VLOOKUP(Table246144[[#This Row],[Risiko-id]],Risikolog[[Risiko-id]:[Mitigerende tiltag]],5))</calculatedColumnFormula>
    </tableColumn>
    <tableColumn id="11" name="Risikokonsekvens/effekt" dataDxfId="3">
      <calculatedColumnFormula>IF(VLOOKUP(Table246144[[#This Row],[Risiko-id]],Risikolog[[Risiko-id]:[Mitigerende tiltag]],5)=0,"",VLOOKUP(Table246144[[#This Row],[Risiko-id]],Risikolog[[Risiko-id]:[Mitigerende tiltag]],6))</calculatedColumnFormula>
    </tableColumn>
    <tableColumn id="3" name="Risikotype" dataDxfId="2">
      <calculatedColumnFormula>VLOOKUP(Table246144[[#This Row],[Risiko-id]],Risikolog[[Risiko-id]:[Mitigerende tiltag]],4)</calculatedColumnFormula>
    </tableColumn>
    <tableColumn id="7" name="Handling_x000a_(mitigerende tiltag)" dataDxfId="1">
      <calculatedColumnFormula>IF(VLOOKUP(Table246144[[#This Row],[Risiko-id]],Risikolog[[Risiko-id]:[Mitigerende tiltag]],13)=0,"",VLOOKUP(Table246144[[#This Row],[Risiko-id]],Risikolog[[Risiko-id]:[Mitigerende tiltag]],13))</calculatedColumnFormula>
    </tableColumn>
    <tableColumn id="12" name="Ansvar_x000a_(for mitigerende tiltag)" dataDxfId="0">
      <calculatedColumnFormula>IF(VLOOKUP(Table246144[[#This Row],[Risiko-id]],Risikolog[[Risiko-id]:[Status]],14)=0,"",VLOOKUP(Table246144[[#This Row],[Risiko-id]],Risikolog[[Risiko-id]:[Status]],14))</calculatedColumnFormula>
    </tableColumn>
  </tableColumns>
  <tableStyleInfo name="TableStyleMedium10" showFirstColumn="0" showLastColumn="0" showRowStripes="0"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V58"/>
  <sheetViews>
    <sheetView showGridLines="0" tabSelected="1" zoomScaleNormal="100" workbookViewId="0">
      <selection activeCell="D112" sqref="D112"/>
    </sheetView>
  </sheetViews>
  <sheetFormatPr defaultRowHeight="15" x14ac:dyDescent="0.25"/>
  <cols>
    <col min="1" max="1" width="2.625" style="78" customWidth="1"/>
    <col min="2" max="2" width="24" style="83" bestFit="1" customWidth="1"/>
    <col min="3" max="3" width="22.5" style="84" customWidth="1"/>
    <col min="4" max="4" width="25.25" style="84" customWidth="1"/>
    <col min="5" max="5" width="28" style="79" customWidth="1"/>
    <col min="6" max="8" width="9" style="78"/>
    <col min="9" max="9" width="9" style="78" customWidth="1"/>
    <col min="10" max="16384" width="9" style="78"/>
  </cols>
  <sheetData>
    <row r="2" spans="2:22" s="82" customFormat="1" ht="39" x14ac:dyDescent="0.2">
      <c r="B2" s="85" t="s">
        <v>95</v>
      </c>
      <c r="C2" s="86"/>
      <c r="D2" s="86"/>
      <c r="E2" s="81"/>
      <c r="F2"/>
      <c r="G2"/>
      <c r="H2"/>
      <c r="I2"/>
      <c r="J2"/>
      <c r="K2"/>
      <c r="L2"/>
      <c r="M2"/>
      <c r="N2" s="80"/>
      <c r="O2" s="80"/>
      <c r="P2" s="80"/>
      <c r="Q2" s="80"/>
      <c r="R2" s="80"/>
      <c r="S2" s="80"/>
      <c r="T2" s="80"/>
      <c r="U2" s="80"/>
      <c r="V2" s="80"/>
    </row>
    <row r="3" spans="2:22" x14ac:dyDescent="0.25">
      <c r="F3"/>
      <c r="G3"/>
      <c r="H3"/>
      <c r="I3"/>
      <c r="J3"/>
      <c r="K3"/>
      <c r="L3"/>
      <c r="M3"/>
    </row>
    <row r="4" spans="2:22" x14ac:dyDescent="0.25">
      <c r="B4" s="87" t="s">
        <v>77</v>
      </c>
      <c r="C4" s="88" t="s">
        <v>78</v>
      </c>
      <c r="D4" s="88" t="s">
        <v>87</v>
      </c>
      <c r="E4" s="105" t="s">
        <v>134</v>
      </c>
      <c r="F4"/>
      <c r="G4"/>
      <c r="H4"/>
      <c r="I4"/>
      <c r="J4"/>
      <c r="K4"/>
      <c r="L4"/>
      <c r="M4"/>
    </row>
    <row r="5" spans="2:22" ht="60" x14ac:dyDescent="0.25">
      <c r="B5" s="89"/>
      <c r="C5" s="90" t="s">
        <v>79</v>
      </c>
      <c r="D5" s="90" t="s">
        <v>131</v>
      </c>
      <c r="E5" s="91"/>
      <c r="F5"/>
      <c r="G5"/>
      <c r="H5"/>
      <c r="I5"/>
      <c r="J5"/>
      <c r="K5"/>
      <c r="L5"/>
      <c r="M5"/>
    </row>
    <row r="6" spans="2:22" x14ac:dyDescent="0.25">
      <c r="B6" s="92" t="s">
        <v>93</v>
      </c>
      <c r="C6" s="93"/>
      <c r="D6" s="94"/>
      <c r="E6" s="95"/>
      <c r="F6"/>
      <c r="G6"/>
      <c r="H6"/>
      <c r="I6"/>
      <c r="J6"/>
      <c r="K6"/>
      <c r="L6"/>
      <c r="M6"/>
    </row>
    <row r="7" spans="2:22" ht="30" x14ac:dyDescent="0.25">
      <c r="B7" s="89"/>
      <c r="C7" s="90" t="s">
        <v>40</v>
      </c>
      <c r="D7" s="90" t="s">
        <v>80</v>
      </c>
      <c r="E7" s="91"/>
      <c r="F7"/>
      <c r="G7"/>
      <c r="H7"/>
      <c r="I7"/>
      <c r="J7"/>
      <c r="K7"/>
      <c r="L7"/>
      <c r="M7"/>
    </row>
    <row r="8" spans="2:22" ht="30" x14ac:dyDescent="0.25">
      <c r="B8" s="89"/>
      <c r="C8" s="90" t="s">
        <v>0</v>
      </c>
      <c r="D8" s="90" t="s">
        <v>81</v>
      </c>
      <c r="E8" s="91"/>
      <c r="F8"/>
      <c r="G8"/>
      <c r="H8"/>
      <c r="I8"/>
      <c r="J8"/>
      <c r="K8"/>
      <c r="L8"/>
      <c r="M8"/>
    </row>
    <row r="9" spans="2:22" x14ac:dyDescent="0.25">
      <c r="B9" s="89"/>
      <c r="C9" s="90"/>
      <c r="D9" s="90"/>
      <c r="E9" s="91"/>
    </row>
    <row r="10" spans="2:22" ht="45" x14ac:dyDescent="0.25">
      <c r="B10" s="89"/>
      <c r="C10" s="90" t="s">
        <v>23</v>
      </c>
      <c r="D10" s="90" t="s">
        <v>82</v>
      </c>
      <c r="E10" s="91"/>
    </row>
    <row r="11" spans="2:22" x14ac:dyDescent="0.25">
      <c r="B11" s="89"/>
      <c r="C11" s="90"/>
      <c r="D11" s="90"/>
      <c r="E11" s="91"/>
    </row>
    <row r="12" spans="2:22" ht="180" x14ac:dyDescent="0.25">
      <c r="B12" s="89"/>
      <c r="C12" s="90" t="s">
        <v>88</v>
      </c>
      <c r="D12" s="90" t="s">
        <v>223</v>
      </c>
      <c r="E12" s="91" t="s">
        <v>221</v>
      </c>
    </row>
    <row r="13" spans="2:22" x14ac:dyDescent="0.25">
      <c r="B13" s="89"/>
      <c r="C13" s="90"/>
      <c r="D13" s="90"/>
      <c r="E13" s="91"/>
    </row>
    <row r="14" spans="2:22" ht="75" x14ac:dyDescent="0.25">
      <c r="B14" s="89"/>
      <c r="C14" s="90" t="s">
        <v>96</v>
      </c>
      <c r="D14" s="90" t="s">
        <v>139</v>
      </c>
      <c r="E14" s="91" t="s">
        <v>224</v>
      </c>
    </row>
    <row r="15" spans="2:22" x14ac:dyDescent="0.25">
      <c r="B15" s="89"/>
      <c r="C15" s="90"/>
      <c r="D15" s="90"/>
      <c r="E15" s="91"/>
    </row>
    <row r="16" spans="2:22" ht="30" x14ac:dyDescent="0.25">
      <c r="B16" s="89"/>
      <c r="C16" s="90" t="s">
        <v>6</v>
      </c>
      <c r="D16" s="90" t="s">
        <v>83</v>
      </c>
      <c r="E16" s="91"/>
    </row>
    <row r="17" spans="2:5" ht="90" x14ac:dyDescent="0.25">
      <c r="B17" s="89"/>
      <c r="C17" s="90"/>
      <c r="D17" s="96" t="s">
        <v>119</v>
      </c>
      <c r="E17" s="97" t="s">
        <v>133</v>
      </c>
    </row>
    <row r="18" spans="2:5" ht="60" x14ac:dyDescent="0.25">
      <c r="B18" s="89"/>
      <c r="C18" s="90"/>
      <c r="D18" s="96" t="s">
        <v>120</v>
      </c>
      <c r="E18" s="97" t="s">
        <v>124</v>
      </c>
    </row>
    <row r="19" spans="2:5" ht="60" x14ac:dyDescent="0.25">
      <c r="B19" s="89"/>
      <c r="C19" s="90"/>
      <c r="D19" s="96" t="s">
        <v>121</v>
      </c>
      <c r="E19" s="97" t="s">
        <v>125</v>
      </c>
    </row>
    <row r="20" spans="2:5" ht="45" x14ac:dyDescent="0.25">
      <c r="B20" s="89"/>
      <c r="C20" s="90"/>
      <c r="D20" s="90" t="s">
        <v>122</v>
      </c>
      <c r="E20" s="97" t="s">
        <v>126</v>
      </c>
    </row>
    <row r="21" spans="2:5" ht="60" x14ac:dyDescent="0.25">
      <c r="B21" s="89"/>
      <c r="C21" s="90"/>
      <c r="D21" s="90" t="s">
        <v>123</v>
      </c>
      <c r="E21" s="98" t="s">
        <v>135</v>
      </c>
    </row>
    <row r="22" spans="2:5" x14ac:dyDescent="0.25">
      <c r="B22" s="92" t="s">
        <v>130</v>
      </c>
      <c r="C22" s="93"/>
      <c r="D22" s="94"/>
      <c r="E22" s="99"/>
    </row>
    <row r="23" spans="2:5" ht="120" x14ac:dyDescent="0.25">
      <c r="B23" s="89"/>
      <c r="C23" s="90" t="s">
        <v>72</v>
      </c>
      <c r="D23" s="90" t="s">
        <v>84</v>
      </c>
      <c r="E23" s="91" t="s">
        <v>220</v>
      </c>
    </row>
    <row r="24" spans="2:5" x14ac:dyDescent="0.25">
      <c r="B24" s="89"/>
      <c r="C24" s="90"/>
      <c r="D24" s="90" t="s">
        <v>98</v>
      </c>
      <c r="E24" s="91"/>
    </row>
    <row r="25" spans="2:5" x14ac:dyDescent="0.25">
      <c r="B25" s="89"/>
      <c r="C25" s="90"/>
      <c r="D25" s="90" t="s">
        <v>99</v>
      </c>
      <c r="E25" s="91"/>
    </row>
    <row r="26" spans="2:5" x14ac:dyDescent="0.25">
      <c r="B26" s="89"/>
      <c r="C26" s="90"/>
      <c r="D26" s="90" t="s">
        <v>102</v>
      </c>
      <c r="E26" s="91"/>
    </row>
    <row r="27" spans="2:5" x14ac:dyDescent="0.25">
      <c r="B27" s="89"/>
      <c r="C27" s="90"/>
      <c r="D27" s="90" t="s">
        <v>100</v>
      </c>
      <c r="E27" s="91"/>
    </row>
    <row r="28" spans="2:5" x14ac:dyDescent="0.25">
      <c r="B28" s="89"/>
      <c r="C28" s="90"/>
      <c r="D28" s="90" t="s">
        <v>101</v>
      </c>
      <c r="E28" s="91"/>
    </row>
    <row r="29" spans="2:5" x14ac:dyDescent="0.25">
      <c r="B29" s="89"/>
      <c r="C29" s="90"/>
      <c r="D29" s="90"/>
      <c r="E29" s="91"/>
    </row>
    <row r="30" spans="2:5" ht="90" x14ac:dyDescent="0.25">
      <c r="B30" s="89"/>
      <c r="C30" s="90" t="s">
        <v>140</v>
      </c>
      <c r="D30" s="90" t="s">
        <v>141</v>
      </c>
      <c r="E30" s="91"/>
    </row>
    <row r="31" spans="2:5" x14ac:dyDescent="0.25">
      <c r="B31" s="89"/>
      <c r="C31" s="90"/>
      <c r="D31" s="90" t="s">
        <v>114</v>
      </c>
      <c r="E31" s="91"/>
    </row>
    <row r="32" spans="2:5" x14ac:dyDescent="0.25">
      <c r="B32" s="89"/>
      <c r="C32" s="90"/>
      <c r="D32" s="90" t="s">
        <v>115</v>
      </c>
      <c r="E32" s="91"/>
    </row>
    <row r="33" spans="2:5" x14ac:dyDescent="0.25">
      <c r="B33" s="89"/>
      <c r="C33" s="90"/>
      <c r="D33" s="90" t="s">
        <v>116</v>
      </c>
      <c r="E33" s="91"/>
    </row>
    <row r="34" spans="2:5" x14ac:dyDescent="0.25">
      <c r="B34" s="89"/>
      <c r="C34" s="90"/>
      <c r="D34" s="90" t="s">
        <v>117</v>
      </c>
      <c r="E34" s="91"/>
    </row>
    <row r="35" spans="2:5" x14ac:dyDescent="0.25">
      <c r="B35" s="89"/>
      <c r="C35" s="90"/>
      <c r="D35" s="90" t="s">
        <v>118</v>
      </c>
      <c r="E35" s="91"/>
    </row>
    <row r="36" spans="2:5" x14ac:dyDescent="0.25">
      <c r="B36" s="89"/>
      <c r="C36" s="90"/>
      <c r="D36" s="90"/>
      <c r="E36" s="91"/>
    </row>
    <row r="37" spans="2:5" ht="30" x14ac:dyDescent="0.25">
      <c r="B37" s="89"/>
      <c r="C37" s="90" t="s">
        <v>64</v>
      </c>
      <c r="D37" s="90" t="s">
        <v>85</v>
      </c>
      <c r="E37" s="91"/>
    </row>
    <row r="38" spans="2:5" x14ac:dyDescent="0.25">
      <c r="B38" s="89"/>
      <c r="C38" s="90"/>
      <c r="D38" s="90"/>
      <c r="E38" s="91"/>
    </row>
    <row r="39" spans="2:5" ht="45" x14ac:dyDescent="0.25">
      <c r="B39" s="89"/>
      <c r="C39" s="90" t="s">
        <v>65</v>
      </c>
      <c r="D39" s="90" t="s">
        <v>167</v>
      </c>
      <c r="E39" s="91"/>
    </row>
    <row r="40" spans="2:5" x14ac:dyDescent="0.25">
      <c r="B40" s="89"/>
      <c r="C40" s="90"/>
      <c r="D40" s="90"/>
      <c r="E40" s="91"/>
    </row>
    <row r="41" spans="2:5" ht="105" x14ac:dyDescent="0.25">
      <c r="B41" s="89"/>
      <c r="C41" s="90" t="s">
        <v>59</v>
      </c>
      <c r="D41" s="90" t="s">
        <v>162</v>
      </c>
      <c r="E41" s="91"/>
    </row>
    <row r="42" spans="2:5" x14ac:dyDescent="0.25">
      <c r="B42" s="92" t="s">
        <v>94</v>
      </c>
      <c r="C42" s="93"/>
      <c r="D42" s="94"/>
      <c r="E42" s="99"/>
    </row>
    <row r="43" spans="2:5" ht="90" x14ac:dyDescent="0.25">
      <c r="B43" s="89"/>
      <c r="C43" s="90" t="s">
        <v>69</v>
      </c>
      <c r="D43" s="90" t="s">
        <v>132</v>
      </c>
      <c r="E43" s="91" t="s">
        <v>222</v>
      </c>
    </row>
    <row r="44" spans="2:5" x14ac:dyDescent="0.25">
      <c r="B44" s="89"/>
      <c r="C44" s="90"/>
      <c r="D44" s="90"/>
      <c r="E44" s="91"/>
    </row>
    <row r="45" spans="2:5" ht="30" x14ac:dyDescent="0.25">
      <c r="B45" s="89"/>
      <c r="C45" s="90" t="s">
        <v>60</v>
      </c>
      <c r="D45" s="90" t="s">
        <v>127</v>
      </c>
      <c r="E45" s="91"/>
    </row>
    <row r="46" spans="2:5" ht="10.5" customHeight="1" x14ac:dyDescent="0.25">
      <c r="B46" s="89"/>
      <c r="C46" s="90"/>
      <c r="D46" s="100"/>
      <c r="E46" s="91"/>
    </row>
    <row r="47" spans="2:5" ht="90" x14ac:dyDescent="0.25">
      <c r="B47" s="89"/>
      <c r="C47" s="90" t="s">
        <v>67</v>
      </c>
      <c r="D47" s="90" t="s">
        <v>137</v>
      </c>
      <c r="E47" s="91"/>
    </row>
    <row r="48" spans="2:5" x14ac:dyDescent="0.25">
      <c r="B48" s="92" t="s">
        <v>90</v>
      </c>
      <c r="C48" s="101"/>
      <c r="D48" s="101"/>
      <c r="E48" s="99"/>
    </row>
    <row r="49" spans="2:6" ht="75" x14ac:dyDescent="0.25">
      <c r="B49" s="89"/>
      <c r="C49" s="90" t="s">
        <v>61</v>
      </c>
      <c r="D49" s="90" t="s">
        <v>227</v>
      </c>
      <c r="E49" s="176"/>
      <c r="F49" s="177"/>
    </row>
    <row r="50" spans="2:6" x14ac:dyDescent="0.25">
      <c r="B50" s="89"/>
      <c r="C50" s="90"/>
      <c r="D50" s="90"/>
      <c r="E50" s="91"/>
    </row>
    <row r="51" spans="2:6" ht="90" x14ac:dyDescent="0.25">
      <c r="B51" s="89"/>
      <c r="C51" s="90" t="s">
        <v>62</v>
      </c>
      <c r="D51" s="90" t="s">
        <v>228</v>
      </c>
      <c r="E51" s="91"/>
    </row>
    <row r="52" spans="2:6" x14ac:dyDescent="0.25">
      <c r="B52" s="89"/>
      <c r="C52" s="90"/>
      <c r="D52" s="90"/>
      <c r="E52" s="91"/>
    </row>
    <row r="53" spans="2:6" ht="30" x14ac:dyDescent="0.25">
      <c r="B53" s="89"/>
      <c r="C53" s="90" t="s">
        <v>63</v>
      </c>
      <c r="D53" s="90" t="s">
        <v>128</v>
      </c>
      <c r="E53" s="91"/>
    </row>
    <row r="54" spans="2:6" x14ac:dyDescent="0.25">
      <c r="B54" s="89"/>
      <c r="C54" s="90"/>
      <c r="D54" s="90"/>
      <c r="E54" s="91"/>
    </row>
    <row r="55" spans="2:6" x14ac:dyDescent="0.25">
      <c r="B55" s="92" t="s">
        <v>86</v>
      </c>
      <c r="C55" s="93"/>
      <c r="D55" s="94"/>
      <c r="E55" s="99"/>
    </row>
    <row r="56" spans="2:6" ht="90" x14ac:dyDescent="0.25">
      <c r="B56" s="89"/>
      <c r="C56" s="90" t="s">
        <v>92</v>
      </c>
      <c r="D56" s="90" t="s">
        <v>129</v>
      </c>
      <c r="E56" s="106" t="s">
        <v>225</v>
      </c>
    </row>
    <row r="57" spans="2:6" x14ac:dyDescent="0.25">
      <c r="B57" s="89"/>
      <c r="C57" s="90"/>
      <c r="D57" s="90"/>
      <c r="E57" s="91"/>
    </row>
    <row r="58" spans="2:6" ht="90" x14ac:dyDescent="0.25">
      <c r="B58" s="102"/>
      <c r="C58" s="103" t="s">
        <v>89</v>
      </c>
      <c r="D58" s="103" t="s">
        <v>138</v>
      </c>
      <c r="E58" s="104"/>
    </row>
  </sheetData>
  <sheetProtection sheet="1" objects="1" scenarios="1"/>
  <pageMargins left="0.7" right="0.7" top="0.75" bottom="0.75" header="0.3" footer="0.3"/>
  <pageSetup paperSize="9" orientation="portrait" r:id="rId1"/>
  <customProperties>
    <customPr name="Smart"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92D050"/>
    <pageSetUpPr fitToPage="1"/>
  </sheetPr>
  <dimension ref="A1:X148"/>
  <sheetViews>
    <sheetView zoomScale="78" zoomScaleNormal="133" zoomScaleSheetLayoutView="100" workbookViewId="0">
      <selection activeCell="M27" sqref="M27"/>
    </sheetView>
  </sheetViews>
  <sheetFormatPr defaultColWidth="9" defaultRowHeight="14.25" zeroHeight="1" x14ac:dyDescent="0.2"/>
  <cols>
    <col min="1" max="1" width="1.5" style="4" customWidth="1"/>
    <col min="2" max="2" width="8.875" style="2" customWidth="1"/>
    <col min="3" max="3" width="9.875" style="2" customWidth="1"/>
    <col min="4" max="4" width="13" style="2" bestFit="1" customWidth="1"/>
    <col min="5" max="5" width="30" style="1" bestFit="1" customWidth="1"/>
    <col min="6" max="6" width="32.125" style="2" customWidth="1"/>
    <col min="7" max="7" width="25.375" style="1" bestFit="1" customWidth="1"/>
    <col min="8" max="8" width="7.875" style="2" customWidth="1" collapsed="1"/>
    <col min="9" max="9" width="7.25" style="2" customWidth="1"/>
    <col min="10" max="10" width="7.875" style="2" customWidth="1"/>
    <col min="11" max="11" width="12.125" style="1" bestFit="1" customWidth="1"/>
    <col min="12" max="12" width="12.625" style="140" hidden="1" customWidth="1"/>
    <col min="13" max="13" width="16.625" style="1" customWidth="1"/>
    <col min="14" max="14" width="29" style="2" customWidth="1"/>
    <col min="15" max="15" width="11.5" style="2" customWidth="1"/>
    <col min="16" max="16" width="13.25" style="2" bestFit="1" customWidth="1"/>
    <col min="17" max="17" width="12.25" style="2" customWidth="1"/>
    <col min="18" max="18" width="10.125" style="2" customWidth="1"/>
    <col min="19" max="19" width="9.75" style="2" customWidth="1"/>
    <col min="20" max="20" width="10.375" style="2" customWidth="1"/>
    <col min="21" max="21" width="12.875" style="2" customWidth="1"/>
    <col min="22" max="22" width="14.375" style="2" customWidth="1"/>
    <col min="23" max="23" width="11.125" style="10" customWidth="1"/>
    <col min="24" max="24" width="9" style="10"/>
    <col min="25" max="16384" width="9" style="4"/>
  </cols>
  <sheetData>
    <row r="1" spans="1:24" ht="12.75" x14ac:dyDescent="0.2">
      <c r="B1" s="3"/>
      <c r="C1" s="3"/>
      <c r="D1" s="3"/>
      <c r="E1" s="12"/>
      <c r="F1" s="3"/>
      <c r="G1" s="4"/>
      <c r="H1" s="3"/>
      <c r="I1" s="3"/>
      <c r="J1" s="11"/>
      <c r="K1" s="12"/>
      <c r="L1" s="133"/>
      <c r="M1" s="12"/>
      <c r="N1" s="3"/>
      <c r="O1" s="3"/>
      <c r="P1" s="3"/>
      <c r="Q1" s="3"/>
      <c r="R1" s="3"/>
      <c r="S1" s="3"/>
      <c r="T1" s="3"/>
      <c r="U1" s="3"/>
      <c r="V1" s="3"/>
      <c r="W1" s="4"/>
      <c r="X1" s="4"/>
    </row>
    <row r="2" spans="1:24" ht="39" x14ac:dyDescent="0.6">
      <c r="B2" s="17" t="s">
        <v>152</v>
      </c>
      <c r="C2" s="3"/>
      <c r="D2" s="3"/>
      <c r="E2" s="29" t="s">
        <v>236</v>
      </c>
      <c r="F2" s="3"/>
      <c r="G2" s="4"/>
      <c r="H2" s="3"/>
      <c r="I2" s="3"/>
      <c r="J2" s="11"/>
      <c r="K2" s="12"/>
      <c r="L2" s="133"/>
      <c r="M2" s="12"/>
      <c r="N2" s="3"/>
      <c r="O2" s="3"/>
      <c r="P2" s="3"/>
      <c r="Q2" s="3"/>
      <c r="R2" s="3"/>
      <c r="S2" s="3"/>
      <c r="T2" s="3"/>
      <c r="U2" s="3"/>
      <c r="V2" s="3"/>
      <c r="W2" s="4"/>
      <c r="X2" s="4"/>
    </row>
    <row r="3" spans="1:24" ht="12.75" x14ac:dyDescent="0.2">
      <c r="B3" s="132" t="s">
        <v>151</v>
      </c>
      <c r="C3" s="129"/>
      <c r="D3" s="129"/>
      <c r="E3" s="130"/>
      <c r="F3" s="129"/>
      <c r="G3" s="129"/>
      <c r="H3" s="129"/>
      <c r="I3" s="129"/>
      <c r="J3" s="131"/>
      <c r="K3" s="12"/>
      <c r="L3" s="133"/>
      <c r="M3" s="12"/>
      <c r="N3" s="3"/>
      <c r="O3" s="3"/>
      <c r="P3" s="3"/>
      <c r="Q3" s="3"/>
      <c r="R3" s="3"/>
      <c r="S3" s="3"/>
      <c r="T3" s="3"/>
      <c r="U3" s="3"/>
      <c r="V3" s="3"/>
      <c r="W3" s="4"/>
      <c r="X3" s="4"/>
    </row>
    <row r="4" spans="1:24" ht="13.5" thickBot="1" x14ac:dyDescent="0.25">
      <c r="B4" s="29"/>
      <c r="C4" s="3"/>
      <c r="D4" s="3"/>
      <c r="E4" s="12"/>
      <c r="F4" s="3"/>
      <c r="G4" s="26"/>
      <c r="H4" s="3"/>
      <c r="I4" s="3"/>
      <c r="J4" s="11"/>
      <c r="K4" s="12"/>
      <c r="L4" s="133"/>
      <c r="M4" s="12"/>
      <c r="N4" s="3"/>
      <c r="O4" s="3"/>
      <c r="P4" s="3"/>
      <c r="Q4" s="3"/>
      <c r="R4" s="3"/>
      <c r="S4" s="3"/>
      <c r="T4" s="3"/>
      <c r="U4" s="3"/>
      <c r="V4" s="3"/>
      <c r="W4" s="4"/>
      <c r="X4" s="4"/>
    </row>
    <row r="5" spans="1:24" ht="15" thickBot="1" x14ac:dyDescent="0.25">
      <c r="B5" s="69" t="s">
        <v>7</v>
      </c>
      <c r="C5" s="67"/>
      <c r="D5" s="67"/>
      <c r="E5" s="68"/>
      <c r="F5" s="26"/>
      <c r="H5" s="3"/>
      <c r="I5" s="11"/>
      <c r="J5" s="13"/>
      <c r="K5" s="134"/>
      <c r="L5" s="13"/>
      <c r="M5" s="3"/>
      <c r="N5" s="3"/>
      <c r="O5" s="3"/>
      <c r="P5" s="3"/>
      <c r="Q5" s="3"/>
      <c r="R5" s="3"/>
      <c r="S5" s="3"/>
      <c r="T5" s="3"/>
      <c r="U5" s="3"/>
      <c r="V5" s="10"/>
      <c r="X5" s="4"/>
    </row>
    <row r="6" spans="1:24" x14ac:dyDescent="0.2">
      <c r="B6" s="203" t="s">
        <v>51</v>
      </c>
      <c r="C6" s="204"/>
      <c r="D6" s="204"/>
      <c r="E6" s="37"/>
      <c r="F6" s="26"/>
      <c r="G6" s="3"/>
      <c r="H6" s="3"/>
      <c r="I6" s="11"/>
      <c r="J6" s="29"/>
      <c r="K6" s="135"/>
      <c r="L6" s="14"/>
      <c r="M6" s="3"/>
      <c r="N6" s="3"/>
      <c r="O6" s="3"/>
      <c r="P6" s="3"/>
      <c r="Q6" s="3"/>
      <c r="R6" s="3"/>
      <c r="S6" s="3"/>
      <c r="T6" s="3"/>
      <c r="U6" s="3"/>
      <c r="V6" s="10"/>
      <c r="X6" s="4"/>
    </row>
    <row r="7" spans="1:24" x14ac:dyDescent="0.2">
      <c r="B7" s="205" t="s">
        <v>8</v>
      </c>
      <c r="C7" s="206"/>
      <c r="D7" s="206"/>
      <c r="E7" s="38"/>
      <c r="F7" s="26"/>
      <c r="G7" s="3"/>
      <c r="H7" s="29"/>
      <c r="I7" s="11"/>
      <c r="J7" s="15"/>
      <c r="K7" s="136"/>
      <c r="L7" s="15"/>
      <c r="M7" s="3"/>
      <c r="N7" s="3"/>
      <c r="O7" s="3"/>
      <c r="P7" s="3"/>
      <c r="Q7" s="3"/>
      <c r="R7" s="3"/>
      <c r="S7" s="3"/>
      <c r="T7" s="3"/>
      <c r="U7" s="3"/>
      <c r="V7" s="10"/>
      <c r="X7" s="4"/>
    </row>
    <row r="8" spans="1:24" x14ac:dyDescent="0.2">
      <c r="B8" s="205" t="s">
        <v>9</v>
      </c>
      <c r="C8" s="206"/>
      <c r="D8" s="206"/>
      <c r="E8" s="39"/>
      <c r="F8" s="26"/>
      <c r="G8" s="3"/>
      <c r="H8" s="3"/>
      <c r="I8" s="11"/>
      <c r="J8" s="15"/>
      <c r="K8" s="136"/>
      <c r="L8" s="15"/>
      <c r="M8" s="3"/>
      <c r="N8" s="3"/>
      <c r="O8" s="3"/>
      <c r="P8" s="3"/>
      <c r="Q8" s="3"/>
      <c r="R8" s="3"/>
      <c r="S8" s="3"/>
      <c r="T8" s="3"/>
      <c r="U8" s="3"/>
      <c r="V8" s="10"/>
      <c r="X8" s="4"/>
    </row>
    <row r="9" spans="1:24" x14ac:dyDescent="0.2">
      <c r="B9" s="207" t="s">
        <v>52</v>
      </c>
      <c r="C9" s="208"/>
      <c r="D9" s="208"/>
      <c r="E9" s="40" t="s">
        <v>53</v>
      </c>
      <c r="F9" s="26"/>
      <c r="G9" s="3"/>
      <c r="H9" s="3"/>
      <c r="I9" s="11"/>
      <c r="J9" s="14"/>
      <c r="K9" s="137"/>
      <c r="L9" s="14"/>
      <c r="M9" s="3"/>
      <c r="N9" s="3"/>
      <c r="O9" s="3"/>
      <c r="P9" s="3"/>
      <c r="Q9" s="3"/>
      <c r="R9" s="3"/>
      <c r="S9" s="3"/>
      <c r="T9" s="3"/>
      <c r="U9" s="3"/>
      <c r="V9" s="10"/>
      <c r="X9" s="4"/>
    </row>
    <row r="10" spans="1:24" x14ac:dyDescent="0.2">
      <c r="B10" s="207" t="s">
        <v>147</v>
      </c>
      <c r="C10" s="208"/>
      <c r="D10" s="208"/>
      <c r="E10" s="40" t="s">
        <v>216</v>
      </c>
      <c r="F10" s="29"/>
      <c r="G10" s="29"/>
      <c r="H10" s="29"/>
      <c r="I10" s="31"/>
      <c r="J10" s="14"/>
      <c r="K10" s="137"/>
      <c r="L10" s="14"/>
      <c r="M10" s="29"/>
      <c r="N10" s="29"/>
      <c r="O10" s="29"/>
      <c r="P10" s="29"/>
      <c r="Q10" s="29"/>
      <c r="R10" s="29"/>
      <c r="S10" s="29"/>
      <c r="T10" s="29"/>
      <c r="U10" s="29"/>
      <c r="V10" s="71"/>
      <c r="W10" s="71"/>
      <c r="X10" s="4"/>
    </row>
    <row r="11" spans="1:24" ht="15" thickBot="1" x14ac:dyDescent="0.25">
      <c r="B11" s="209" t="s">
        <v>56</v>
      </c>
      <c r="C11" s="210"/>
      <c r="D11" s="210"/>
      <c r="E11" s="41" t="s">
        <v>149</v>
      </c>
      <c r="F11" s="26"/>
      <c r="H11" s="3"/>
      <c r="I11" s="11"/>
      <c r="J11" s="14"/>
      <c r="K11" s="137"/>
      <c r="L11" s="14"/>
      <c r="M11" s="3"/>
      <c r="N11" s="3"/>
      <c r="O11" s="3"/>
      <c r="P11" s="29"/>
      <c r="Q11" s="29"/>
      <c r="R11" s="3"/>
      <c r="S11" s="3"/>
      <c r="T11" s="3"/>
      <c r="U11" s="3"/>
      <c r="V11" s="10"/>
      <c r="X11" s="4"/>
    </row>
    <row r="12" spans="1:24" x14ac:dyDescent="0.2">
      <c r="A12" s="32"/>
      <c r="C12" s="20"/>
      <c r="D12" s="20"/>
      <c r="E12" s="26"/>
      <c r="F12" s="20"/>
      <c r="G12" s="20"/>
      <c r="H12" s="11"/>
      <c r="I12" s="11"/>
      <c r="J12" s="11"/>
      <c r="K12" s="16"/>
      <c r="L12" s="138"/>
      <c r="M12" s="16"/>
      <c r="N12" s="11"/>
      <c r="O12" s="11"/>
      <c r="P12" s="31"/>
      <c r="Q12" s="29"/>
      <c r="R12" s="29"/>
      <c r="S12" s="29"/>
      <c r="T12" s="29"/>
      <c r="U12" s="29"/>
      <c r="V12" s="29"/>
      <c r="W12" s="29"/>
    </row>
    <row r="13" spans="1:24" s="12" customFormat="1" ht="15" thickBot="1" x14ac:dyDescent="0.25">
      <c r="A13" s="32"/>
      <c r="B13" s="107" t="s">
        <v>45</v>
      </c>
      <c r="C13" s="70"/>
      <c r="D13" s="70"/>
      <c r="F13" s="70"/>
      <c r="G13" s="70"/>
      <c r="H13" s="77" t="s">
        <v>171</v>
      </c>
      <c r="I13" s="77"/>
      <c r="J13" s="77"/>
      <c r="K13" s="70"/>
      <c r="L13" s="139"/>
      <c r="M13" s="77" t="s">
        <v>110</v>
      </c>
      <c r="N13" s="77"/>
      <c r="O13" s="70"/>
      <c r="P13" s="70"/>
      <c r="R13" s="77" t="s">
        <v>111</v>
      </c>
      <c r="S13" s="31"/>
      <c r="T13" s="31"/>
      <c r="U13" s="31"/>
      <c r="V13" s="31"/>
      <c r="W13" s="31"/>
      <c r="X13" s="73"/>
    </row>
    <row r="14" spans="1:24" s="5" customFormat="1" ht="60.75" thickBot="1" x14ac:dyDescent="0.25">
      <c r="B14" s="198" t="s">
        <v>40</v>
      </c>
      <c r="C14" s="199" t="s">
        <v>0</v>
      </c>
      <c r="D14" s="199" t="s">
        <v>23</v>
      </c>
      <c r="E14" s="200" t="s">
        <v>6</v>
      </c>
      <c r="F14" s="199" t="s">
        <v>71</v>
      </c>
      <c r="G14" s="199" t="s">
        <v>96</v>
      </c>
      <c r="H14" s="199" t="s">
        <v>150</v>
      </c>
      <c r="I14" s="199" t="s">
        <v>229</v>
      </c>
      <c r="J14" s="199" t="s">
        <v>74</v>
      </c>
      <c r="K14" s="199" t="s">
        <v>146</v>
      </c>
      <c r="L14" s="201" t="s">
        <v>68</v>
      </c>
      <c r="M14" s="200" t="s">
        <v>59</v>
      </c>
      <c r="N14" s="200" t="s">
        <v>69</v>
      </c>
      <c r="O14" s="199" t="s">
        <v>136</v>
      </c>
      <c r="P14" s="199" t="s">
        <v>113</v>
      </c>
      <c r="Q14" s="199" t="s">
        <v>112</v>
      </c>
      <c r="R14" s="199" t="s">
        <v>154</v>
      </c>
      <c r="S14" s="199" t="s">
        <v>155</v>
      </c>
      <c r="T14" s="199" t="s">
        <v>63</v>
      </c>
      <c r="U14" s="199" t="s">
        <v>156</v>
      </c>
      <c r="V14" s="199" t="s">
        <v>89</v>
      </c>
      <c r="W14" s="202" t="s">
        <v>1</v>
      </c>
      <c r="X14" s="30"/>
    </row>
    <row r="15" spans="1:24" s="142" customFormat="1" ht="15" x14ac:dyDescent="0.2">
      <c r="B15" s="146">
        <v>1</v>
      </c>
      <c r="C15" s="147"/>
      <c r="D15" s="148"/>
      <c r="E15" s="148"/>
      <c r="F15" s="148"/>
      <c r="G15" s="148"/>
      <c r="H15" s="148"/>
      <c r="I15" s="148"/>
      <c r="J15" s="197" t="str">
        <f>IF(Risikolog[[#This Row],[Sand-synlig-hed]]*Risikolog[[#This Row],[Konse-kvens]]=0,"",Risikolog[[#This Row],[Sand-synlig-hed]]*Risikolog[[#This Row],[Konse-kvens]]+Risikolog[[#This Row],[Risiko-id]]/10^8)</f>
        <v/>
      </c>
      <c r="K15" s="149"/>
      <c r="L15" s="155" t="str">
        <f ca="1">IFERROR((VLOOKUP(Risikolog[[#This Row],[Forventet tidspunkt for indtræffen ]],Lister!L$2:M$55,2)-TODAY())/30+Risikolog[[#This Row],[Risiko-id]]/10^8,"")</f>
        <v/>
      </c>
      <c r="M15" s="148"/>
      <c r="N15" s="148"/>
      <c r="O15" s="148"/>
      <c r="P15" s="148"/>
      <c r="Q15" s="148"/>
      <c r="R15" s="148"/>
      <c r="S15" s="148"/>
      <c r="T15" s="193" t="str">
        <f>IF(Risikolog[[#This Row],[Sand-synlighed efter tiltag]]*Risikolog[[#This Row],[Konse-kvens efter tiltag]]=0,"",Risikolog[[#This Row],[Sand-synlighed efter tiltag]]*Risikolog[[#This Row],[Konse-kvens efter tiltag]]+Risikolog[[#This Row],[Risiko-id]]/10^8)</f>
        <v/>
      </c>
      <c r="U15" s="150"/>
      <c r="V15" s="150"/>
      <c r="W15" s="151"/>
      <c r="X15" s="71"/>
    </row>
    <row r="16" spans="1:24" s="142" customFormat="1" ht="15" x14ac:dyDescent="0.2">
      <c r="B16" s="146">
        <v>2</v>
      </c>
      <c r="C16" s="153"/>
      <c r="D16" s="154"/>
      <c r="E16" s="148"/>
      <c r="F16" s="154"/>
      <c r="G16" s="154"/>
      <c r="H16" s="154"/>
      <c r="I16" s="154"/>
      <c r="J16" s="193" t="str">
        <f>IF(Risikolog[[#This Row],[Sand-synlig-hed]]*Risikolog[[#This Row],[Konse-kvens]]=0,"",Risikolog[[#This Row],[Sand-synlig-hed]]*Risikolog[[#This Row],[Konse-kvens]]+Risikolog[[#This Row],[Risiko-id]]/10^8)</f>
        <v/>
      </c>
      <c r="K16" s="149"/>
      <c r="L16" s="155" t="str">
        <f ca="1">IFERROR((VLOOKUP(Risikolog[[#This Row],[Forventet tidspunkt for indtræffen ]],Lister!L$2:M$55,2)-TODAY())/30+Risikolog[[#This Row],[Risiko-id]]/10^8,"")</f>
        <v/>
      </c>
      <c r="M16" s="154"/>
      <c r="N16" s="154"/>
      <c r="O16" s="154"/>
      <c r="P16" s="154"/>
      <c r="Q16" s="154"/>
      <c r="R16" s="154"/>
      <c r="S16" s="154"/>
      <c r="T16" s="193" t="str">
        <f>IF(Risikolog[[#This Row],[Sand-synlighed efter tiltag]]*Risikolog[[#This Row],[Konse-kvens efter tiltag]]=0,"",Risikolog[[#This Row],[Sand-synlighed efter tiltag]]*Risikolog[[#This Row],[Konse-kvens efter tiltag]]+Risikolog[[#This Row],[Risiko-id]]/10^8)</f>
        <v/>
      </c>
      <c r="U16" s="156"/>
      <c r="V16" s="156"/>
      <c r="W16" s="151"/>
      <c r="X16" s="71"/>
    </row>
    <row r="17" spans="2:24" s="142" customFormat="1" ht="15" x14ac:dyDescent="0.2">
      <c r="B17" s="146">
        <v>3</v>
      </c>
      <c r="C17" s="153"/>
      <c r="D17" s="154"/>
      <c r="E17" s="148"/>
      <c r="F17" s="154"/>
      <c r="G17" s="154"/>
      <c r="H17" s="154"/>
      <c r="I17" s="154"/>
      <c r="J17" s="193" t="str">
        <f>IF(Risikolog[[#This Row],[Sand-synlig-hed]]*Risikolog[[#This Row],[Konse-kvens]]=0,"",Risikolog[[#This Row],[Sand-synlig-hed]]*Risikolog[[#This Row],[Konse-kvens]]+Risikolog[[#This Row],[Risiko-id]]/10^8)</f>
        <v/>
      </c>
      <c r="K17" s="149"/>
      <c r="L17" s="155" t="str">
        <f ca="1">IFERROR((VLOOKUP(Risikolog[[#This Row],[Forventet tidspunkt for indtræffen ]],Lister!L$2:M$55,2)-TODAY())/30+Risikolog[[#This Row],[Risiko-id]]/10^8,"")</f>
        <v/>
      </c>
      <c r="M17" s="154"/>
      <c r="N17" s="154"/>
      <c r="O17" s="154"/>
      <c r="P17" s="154"/>
      <c r="Q17" s="154"/>
      <c r="R17" s="154"/>
      <c r="S17" s="154"/>
      <c r="T17" s="193" t="str">
        <f>IF(Risikolog[[#This Row],[Sand-synlighed efter tiltag]]*Risikolog[[#This Row],[Konse-kvens efter tiltag]]=0,"",Risikolog[[#This Row],[Sand-synlighed efter tiltag]]*Risikolog[[#This Row],[Konse-kvens efter tiltag]]+Risikolog[[#This Row],[Risiko-id]]/10^8)</f>
        <v/>
      </c>
      <c r="U17" s="156"/>
      <c r="V17" s="156"/>
      <c r="W17" s="151"/>
      <c r="X17" s="71"/>
    </row>
    <row r="18" spans="2:24" s="142" customFormat="1" ht="15" x14ac:dyDescent="0.2">
      <c r="B18" s="146">
        <v>4</v>
      </c>
      <c r="C18" s="153"/>
      <c r="D18" s="154"/>
      <c r="E18" s="154"/>
      <c r="F18" s="154"/>
      <c r="G18" s="154"/>
      <c r="H18" s="154"/>
      <c r="I18" s="154"/>
      <c r="J18" s="193" t="str">
        <f>IF(Risikolog[[#This Row],[Sand-synlig-hed]]*Risikolog[[#This Row],[Konse-kvens]]=0,"",Risikolog[[#This Row],[Sand-synlig-hed]]*Risikolog[[#This Row],[Konse-kvens]]+Risikolog[[#This Row],[Risiko-id]]/10^8)</f>
        <v/>
      </c>
      <c r="K18" s="149"/>
      <c r="L18" s="155" t="str">
        <f ca="1">IFERROR((VLOOKUP(Risikolog[[#This Row],[Forventet tidspunkt for indtræffen ]],Lister!L$2:M$55,2)-TODAY())/30+Risikolog[[#This Row],[Risiko-id]]/10^8,"")</f>
        <v/>
      </c>
      <c r="M18" s="154"/>
      <c r="N18" s="154"/>
      <c r="O18" s="154"/>
      <c r="P18" s="154"/>
      <c r="Q18" s="154"/>
      <c r="R18" s="154"/>
      <c r="S18" s="154"/>
      <c r="T18" s="193" t="str">
        <f>IF(Risikolog[[#This Row],[Sand-synlighed efter tiltag]]*Risikolog[[#This Row],[Konse-kvens efter tiltag]]=0,"",Risikolog[[#This Row],[Sand-synlighed efter tiltag]]*Risikolog[[#This Row],[Konse-kvens efter tiltag]]+Risikolog[[#This Row],[Risiko-id]]/10^8)</f>
        <v/>
      </c>
      <c r="U18" s="156"/>
      <c r="V18" s="156"/>
      <c r="W18" s="151"/>
      <c r="X18" s="71"/>
    </row>
    <row r="19" spans="2:24" s="142" customFormat="1" ht="15" x14ac:dyDescent="0.2">
      <c r="B19" s="146">
        <v>5</v>
      </c>
      <c r="C19" s="153"/>
      <c r="D19" s="154"/>
      <c r="E19" s="154"/>
      <c r="F19" s="154"/>
      <c r="G19" s="154"/>
      <c r="H19" s="154"/>
      <c r="I19" s="154"/>
      <c r="J19" s="193" t="str">
        <f>IF(Risikolog[[#This Row],[Sand-synlig-hed]]*Risikolog[[#This Row],[Konse-kvens]]=0,"",Risikolog[[#This Row],[Sand-synlig-hed]]*Risikolog[[#This Row],[Konse-kvens]]+Risikolog[[#This Row],[Risiko-id]]/10^8)</f>
        <v/>
      </c>
      <c r="K19" s="149"/>
      <c r="L19" s="155" t="str">
        <f ca="1">IFERROR((VLOOKUP(Risikolog[[#This Row],[Forventet tidspunkt for indtræffen ]],Lister!L$2:M$55,2)-TODAY())/30+Risikolog[[#This Row],[Risiko-id]]/10^8,"")</f>
        <v/>
      </c>
      <c r="M19" s="154"/>
      <c r="N19" s="154"/>
      <c r="O19" s="154"/>
      <c r="P19" s="154"/>
      <c r="Q19" s="154"/>
      <c r="R19" s="154"/>
      <c r="S19" s="154"/>
      <c r="T19" s="193" t="str">
        <f>IF(Risikolog[[#This Row],[Sand-synlighed efter tiltag]]*Risikolog[[#This Row],[Konse-kvens efter tiltag]]=0,"",Risikolog[[#This Row],[Sand-synlighed efter tiltag]]*Risikolog[[#This Row],[Konse-kvens efter tiltag]]+Risikolog[[#This Row],[Risiko-id]]/10^8)</f>
        <v/>
      </c>
      <c r="U19" s="156"/>
      <c r="V19" s="156"/>
      <c r="W19" s="151"/>
      <c r="X19" s="71"/>
    </row>
    <row r="20" spans="2:24" s="142" customFormat="1" ht="15" x14ac:dyDescent="0.2">
      <c r="B20" s="146">
        <v>6</v>
      </c>
      <c r="C20" s="153"/>
      <c r="D20" s="154"/>
      <c r="E20" s="154"/>
      <c r="F20" s="154"/>
      <c r="G20" s="154"/>
      <c r="H20" s="154"/>
      <c r="I20" s="154"/>
      <c r="J20" s="193" t="str">
        <f>IF(Risikolog[[#This Row],[Sand-synlig-hed]]*Risikolog[[#This Row],[Konse-kvens]]=0,"",Risikolog[[#This Row],[Sand-synlig-hed]]*Risikolog[[#This Row],[Konse-kvens]]+Risikolog[[#This Row],[Risiko-id]]/10^8)</f>
        <v/>
      </c>
      <c r="K20" s="149"/>
      <c r="L20" s="155" t="str">
        <f ca="1">IFERROR((VLOOKUP(Risikolog[[#This Row],[Forventet tidspunkt for indtræffen ]],Lister!L$2:M$55,2)-TODAY())/30+Risikolog[[#This Row],[Risiko-id]]/10^8,"")</f>
        <v/>
      </c>
      <c r="M20" s="154"/>
      <c r="N20" s="154"/>
      <c r="O20" s="154"/>
      <c r="P20" s="154"/>
      <c r="Q20" s="154"/>
      <c r="R20" s="154"/>
      <c r="S20" s="154"/>
      <c r="T20" s="193" t="str">
        <f>IF(Risikolog[[#This Row],[Sand-synlighed efter tiltag]]*Risikolog[[#This Row],[Konse-kvens efter tiltag]]=0,"",Risikolog[[#This Row],[Sand-synlighed efter tiltag]]*Risikolog[[#This Row],[Konse-kvens efter tiltag]]+Risikolog[[#This Row],[Risiko-id]]/10^8)</f>
        <v/>
      </c>
      <c r="U20" s="156"/>
      <c r="V20" s="156"/>
      <c r="W20" s="151"/>
      <c r="X20" s="71"/>
    </row>
    <row r="21" spans="2:24" s="142" customFormat="1" ht="15" x14ac:dyDescent="0.2">
      <c r="B21" s="152">
        <v>7</v>
      </c>
      <c r="C21" s="153"/>
      <c r="D21" s="154"/>
      <c r="E21" s="154"/>
      <c r="F21" s="154"/>
      <c r="G21" s="154"/>
      <c r="H21" s="154"/>
      <c r="I21" s="154"/>
      <c r="J21" s="193" t="str">
        <f>IF(Risikolog[[#This Row],[Sand-synlig-hed]]*Risikolog[[#This Row],[Konse-kvens]]=0,"",Risikolog[[#This Row],[Sand-synlig-hed]]*Risikolog[[#This Row],[Konse-kvens]]+Risikolog[[#This Row],[Risiko-id]]/10^8)</f>
        <v/>
      </c>
      <c r="K21" s="149"/>
      <c r="L21" s="155" t="str">
        <f ca="1">IFERROR((VLOOKUP(Risikolog[[#This Row],[Forventet tidspunkt for indtræffen ]],Lister!L$2:M$55,2)-TODAY())/30+Risikolog[[#This Row],[Risiko-id]]/10^8,"")</f>
        <v/>
      </c>
      <c r="M21" s="154"/>
      <c r="N21" s="154"/>
      <c r="O21" s="154"/>
      <c r="P21" s="154"/>
      <c r="Q21" s="154"/>
      <c r="R21" s="154"/>
      <c r="S21" s="154"/>
      <c r="T21" s="193" t="str">
        <f>IF(Risikolog[[#This Row],[Sand-synlighed efter tiltag]]*Risikolog[[#This Row],[Konse-kvens efter tiltag]]=0,"",Risikolog[[#This Row],[Sand-synlighed efter tiltag]]*Risikolog[[#This Row],[Konse-kvens efter tiltag]]+Risikolog[[#This Row],[Risiko-id]]/10^8)</f>
        <v/>
      </c>
      <c r="U21" s="156"/>
      <c r="V21" s="156"/>
      <c r="W21" s="151"/>
      <c r="X21" s="71"/>
    </row>
    <row r="22" spans="2:24" s="142" customFormat="1" ht="15" x14ac:dyDescent="0.2">
      <c r="B22" s="152">
        <v>8</v>
      </c>
      <c r="C22" s="153"/>
      <c r="D22" s="154"/>
      <c r="E22" s="154"/>
      <c r="F22" s="154"/>
      <c r="G22" s="154"/>
      <c r="H22" s="154"/>
      <c r="I22" s="154"/>
      <c r="J22" s="193" t="str">
        <f>IF(Risikolog[[#This Row],[Sand-synlig-hed]]*Risikolog[[#This Row],[Konse-kvens]]=0,"",Risikolog[[#This Row],[Sand-synlig-hed]]*Risikolog[[#This Row],[Konse-kvens]]+Risikolog[[#This Row],[Risiko-id]]/10^8)</f>
        <v/>
      </c>
      <c r="K22" s="149"/>
      <c r="L22" s="155" t="str">
        <f ca="1">IFERROR((VLOOKUP(Risikolog[[#This Row],[Forventet tidspunkt for indtræffen ]],Lister!L$2:M$55,2)-TODAY())/30+Risikolog[[#This Row],[Risiko-id]]/10^8,"")</f>
        <v/>
      </c>
      <c r="M22" s="154"/>
      <c r="N22" s="154"/>
      <c r="O22" s="154"/>
      <c r="P22" s="154"/>
      <c r="Q22" s="154"/>
      <c r="R22" s="154"/>
      <c r="S22" s="154"/>
      <c r="T22" s="193" t="str">
        <f>IF(Risikolog[[#This Row],[Sand-synlighed efter tiltag]]*Risikolog[[#This Row],[Konse-kvens efter tiltag]]=0,"",Risikolog[[#This Row],[Sand-synlighed efter tiltag]]*Risikolog[[#This Row],[Konse-kvens efter tiltag]]+Risikolog[[#This Row],[Risiko-id]]/10^8)</f>
        <v/>
      </c>
      <c r="U22" s="156"/>
      <c r="V22" s="156"/>
      <c r="W22" s="151"/>
      <c r="X22" s="71"/>
    </row>
    <row r="23" spans="2:24" s="142" customFormat="1" ht="15" x14ac:dyDescent="0.2">
      <c r="B23" s="152">
        <v>9</v>
      </c>
      <c r="C23" s="153"/>
      <c r="D23" s="154"/>
      <c r="E23" s="154"/>
      <c r="F23" s="154"/>
      <c r="G23" s="154"/>
      <c r="H23" s="154"/>
      <c r="I23" s="154"/>
      <c r="J23" s="193" t="str">
        <f>IF(Risikolog[[#This Row],[Sand-synlig-hed]]*Risikolog[[#This Row],[Konse-kvens]]=0,"",Risikolog[[#This Row],[Sand-synlig-hed]]*Risikolog[[#This Row],[Konse-kvens]]+Risikolog[[#This Row],[Risiko-id]]/10^8)</f>
        <v/>
      </c>
      <c r="K23" s="149"/>
      <c r="L23" s="155" t="str">
        <f ca="1">IFERROR((VLOOKUP(Risikolog[[#This Row],[Forventet tidspunkt for indtræffen ]],Lister!L$2:M$55,2)-TODAY())/30+Risikolog[[#This Row],[Risiko-id]]/10^8,"")</f>
        <v/>
      </c>
      <c r="M23" s="154"/>
      <c r="N23" s="154"/>
      <c r="O23" s="154"/>
      <c r="P23" s="154"/>
      <c r="Q23" s="154"/>
      <c r="R23" s="154"/>
      <c r="S23" s="154"/>
      <c r="T23" s="193" t="str">
        <f>IF(Risikolog[[#This Row],[Sand-synlighed efter tiltag]]*Risikolog[[#This Row],[Konse-kvens efter tiltag]]=0,"",Risikolog[[#This Row],[Sand-synlighed efter tiltag]]*Risikolog[[#This Row],[Konse-kvens efter tiltag]]+Risikolog[[#This Row],[Risiko-id]]/10^8)</f>
        <v/>
      </c>
      <c r="U23" s="156"/>
      <c r="V23" s="156"/>
      <c r="W23" s="151"/>
      <c r="X23" s="71"/>
    </row>
    <row r="24" spans="2:24" s="142" customFormat="1" ht="15" x14ac:dyDescent="0.2">
      <c r="B24" s="152">
        <v>10</v>
      </c>
      <c r="C24" s="153"/>
      <c r="D24" s="154"/>
      <c r="E24" s="154"/>
      <c r="F24" s="154"/>
      <c r="G24" s="154"/>
      <c r="H24" s="154"/>
      <c r="I24" s="154"/>
      <c r="J24" s="193" t="str">
        <f>IF(Risikolog[[#This Row],[Sand-synlig-hed]]*Risikolog[[#This Row],[Konse-kvens]]=0,"",Risikolog[[#This Row],[Sand-synlig-hed]]*Risikolog[[#This Row],[Konse-kvens]]+Risikolog[[#This Row],[Risiko-id]]/10^8)</f>
        <v/>
      </c>
      <c r="K24" s="149"/>
      <c r="L24" s="155" t="str">
        <f ca="1">IFERROR((VLOOKUP(Risikolog[[#This Row],[Forventet tidspunkt for indtræffen ]],Lister!L$2:M$55,2)-TODAY())/30+Risikolog[[#This Row],[Risiko-id]]/10^8,"")</f>
        <v/>
      </c>
      <c r="M24" s="154"/>
      <c r="N24" s="154"/>
      <c r="O24" s="154"/>
      <c r="P24" s="154"/>
      <c r="Q24" s="154"/>
      <c r="R24" s="154"/>
      <c r="S24" s="154"/>
      <c r="T24" s="193" t="str">
        <f>IF(Risikolog[[#This Row],[Sand-synlighed efter tiltag]]*Risikolog[[#This Row],[Konse-kvens efter tiltag]]=0,"",Risikolog[[#This Row],[Sand-synlighed efter tiltag]]*Risikolog[[#This Row],[Konse-kvens efter tiltag]]+Risikolog[[#This Row],[Risiko-id]]/10^8)</f>
        <v/>
      </c>
      <c r="U24" s="156"/>
      <c r="V24" s="156"/>
      <c r="W24" s="151"/>
      <c r="X24" s="71"/>
    </row>
    <row r="25" spans="2:24" s="142" customFormat="1" ht="15" x14ac:dyDescent="0.2">
      <c r="B25" s="152">
        <v>11</v>
      </c>
      <c r="C25" s="153"/>
      <c r="D25" s="154"/>
      <c r="E25" s="154"/>
      <c r="F25" s="154"/>
      <c r="G25" s="154"/>
      <c r="H25" s="154"/>
      <c r="I25" s="154"/>
      <c r="J25" s="193" t="str">
        <f>IF(Risikolog[[#This Row],[Sand-synlig-hed]]*Risikolog[[#This Row],[Konse-kvens]]=0,"",Risikolog[[#This Row],[Sand-synlig-hed]]*Risikolog[[#This Row],[Konse-kvens]]+Risikolog[[#This Row],[Risiko-id]]/10^8)</f>
        <v/>
      </c>
      <c r="K25" s="149"/>
      <c r="L25" s="155" t="str">
        <f ca="1">IFERROR((VLOOKUP(Risikolog[[#This Row],[Forventet tidspunkt for indtræffen ]],Lister!L$2:M$55,2)-TODAY())/30+Risikolog[[#This Row],[Risiko-id]]/10^8,"")</f>
        <v/>
      </c>
      <c r="M25" s="154"/>
      <c r="N25" s="154"/>
      <c r="O25" s="154"/>
      <c r="P25" s="154"/>
      <c r="Q25" s="154"/>
      <c r="R25" s="154"/>
      <c r="S25" s="154"/>
      <c r="T25" s="193" t="str">
        <f>IF(Risikolog[[#This Row],[Sand-synlighed efter tiltag]]*Risikolog[[#This Row],[Konse-kvens efter tiltag]]=0,"",Risikolog[[#This Row],[Sand-synlighed efter tiltag]]*Risikolog[[#This Row],[Konse-kvens efter tiltag]]+Risikolog[[#This Row],[Risiko-id]]/10^8)</f>
        <v/>
      </c>
      <c r="U25" s="156"/>
      <c r="V25" s="156"/>
      <c r="W25" s="151"/>
      <c r="X25" s="71"/>
    </row>
    <row r="26" spans="2:24" s="142" customFormat="1" ht="15" x14ac:dyDescent="0.2">
      <c r="B26" s="152">
        <v>12</v>
      </c>
      <c r="C26" s="153"/>
      <c r="D26" s="154"/>
      <c r="E26" s="154"/>
      <c r="F26" s="154"/>
      <c r="G26" s="154"/>
      <c r="H26" s="154"/>
      <c r="I26" s="154"/>
      <c r="J26" s="193" t="str">
        <f>IF(Risikolog[[#This Row],[Sand-synlig-hed]]*Risikolog[[#This Row],[Konse-kvens]]=0,"",Risikolog[[#This Row],[Sand-synlig-hed]]*Risikolog[[#This Row],[Konse-kvens]]+Risikolog[[#This Row],[Risiko-id]]/10^8)</f>
        <v/>
      </c>
      <c r="K26" s="149"/>
      <c r="L26" s="155" t="str">
        <f ca="1">IFERROR((VLOOKUP(Risikolog[[#This Row],[Forventet tidspunkt for indtræffen ]],Lister!L$2:M$55,2)-TODAY())/30+Risikolog[[#This Row],[Risiko-id]]/10^8,"")</f>
        <v/>
      </c>
      <c r="M26" s="154"/>
      <c r="N26" s="154"/>
      <c r="O26" s="154"/>
      <c r="P26" s="154"/>
      <c r="Q26" s="154"/>
      <c r="R26" s="154"/>
      <c r="S26" s="154"/>
      <c r="T26" s="193" t="str">
        <f>IF(Risikolog[[#This Row],[Sand-synlighed efter tiltag]]*Risikolog[[#This Row],[Konse-kvens efter tiltag]]=0,"",Risikolog[[#This Row],[Sand-synlighed efter tiltag]]*Risikolog[[#This Row],[Konse-kvens efter tiltag]]+Risikolog[[#This Row],[Risiko-id]]/10^8)</f>
        <v/>
      </c>
      <c r="U26" s="156"/>
      <c r="V26" s="156"/>
      <c r="W26" s="151"/>
      <c r="X26" s="71"/>
    </row>
    <row r="27" spans="2:24" s="142" customFormat="1" ht="15" x14ac:dyDescent="0.2">
      <c r="B27" s="152">
        <v>13</v>
      </c>
      <c r="C27" s="153"/>
      <c r="D27" s="154"/>
      <c r="E27" s="154"/>
      <c r="F27" s="154"/>
      <c r="G27" s="154"/>
      <c r="H27" s="154"/>
      <c r="I27" s="154"/>
      <c r="J27" s="193" t="str">
        <f>IF(Risikolog[[#This Row],[Sand-synlig-hed]]*Risikolog[[#This Row],[Konse-kvens]]=0,"",Risikolog[[#This Row],[Sand-synlig-hed]]*Risikolog[[#This Row],[Konse-kvens]]+Risikolog[[#This Row],[Risiko-id]]/10^8)</f>
        <v/>
      </c>
      <c r="K27" s="149"/>
      <c r="L27" s="155" t="str">
        <f ca="1">IFERROR((VLOOKUP(Risikolog[[#This Row],[Forventet tidspunkt for indtræffen ]],Lister!L$2:M$55,2)-TODAY())/30+Risikolog[[#This Row],[Risiko-id]]/10^8,"")</f>
        <v/>
      </c>
      <c r="M27" s="154"/>
      <c r="N27" s="154"/>
      <c r="O27" s="154"/>
      <c r="P27" s="154"/>
      <c r="Q27" s="154"/>
      <c r="R27" s="154"/>
      <c r="S27" s="154"/>
      <c r="T27" s="193" t="str">
        <f>IF(Risikolog[[#This Row],[Sand-synlighed efter tiltag]]*Risikolog[[#This Row],[Konse-kvens efter tiltag]]=0,"",Risikolog[[#This Row],[Sand-synlighed efter tiltag]]*Risikolog[[#This Row],[Konse-kvens efter tiltag]]+Risikolog[[#This Row],[Risiko-id]]/10^8)</f>
        <v/>
      </c>
      <c r="U27" s="156"/>
      <c r="V27" s="156"/>
      <c r="W27" s="151"/>
      <c r="X27" s="71"/>
    </row>
    <row r="28" spans="2:24" s="142" customFormat="1" ht="15" x14ac:dyDescent="0.2">
      <c r="B28" s="152">
        <v>14</v>
      </c>
      <c r="C28" s="153"/>
      <c r="D28" s="154"/>
      <c r="E28" s="154"/>
      <c r="F28" s="154"/>
      <c r="G28" s="154"/>
      <c r="H28" s="154"/>
      <c r="I28" s="154"/>
      <c r="J28" s="193" t="str">
        <f>IF(Risikolog[[#This Row],[Sand-synlig-hed]]*Risikolog[[#This Row],[Konse-kvens]]=0,"",Risikolog[[#This Row],[Sand-synlig-hed]]*Risikolog[[#This Row],[Konse-kvens]]+Risikolog[[#This Row],[Risiko-id]]/10^8)</f>
        <v/>
      </c>
      <c r="K28" s="149"/>
      <c r="L28" s="155" t="str">
        <f ca="1">IFERROR((VLOOKUP(Risikolog[[#This Row],[Forventet tidspunkt for indtræffen ]],Lister!L$2:M$55,2)-TODAY())/30+Risikolog[[#This Row],[Risiko-id]]/10^8,"")</f>
        <v/>
      </c>
      <c r="M28" s="154"/>
      <c r="N28" s="154"/>
      <c r="O28" s="154"/>
      <c r="P28" s="154"/>
      <c r="Q28" s="154"/>
      <c r="R28" s="154"/>
      <c r="S28" s="154"/>
      <c r="T28" s="193" t="str">
        <f>IF(Risikolog[[#This Row],[Sand-synlighed efter tiltag]]*Risikolog[[#This Row],[Konse-kvens efter tiltag]]=0,"",Risikolog[[#This Row],[Sand-synlighed efter tiltag]]*Risikolog[[#This Row],[Konse-kvens efter tiltag]]+Risikolog[[#This Row],[Risiko-id]]/10^8)</f>
        <v/>
      </c>
      <c r="U28" s="156"/>
      <c r="V28" s="156"/>
      <c r="W28" s="151"/>
      <c r="X28" s="71"/>
    </row>
    <row r="29" spans="2:24" s="142" customFormat="1" ht="15" x14ac:dyDescent="0.2">
      <c r="B29" s="152">
        <v>15</v>
      </c>
      <c r="C29" s="153"/>
      <c r="D29" s="154"/>
      <c r="E29" s="154"/>
      <c r="F29" s="154"/>
      <c r="G29" s="154"/>
      <c r="H29" s="154"/>
      <c r="I29" s="154"/>
      <c r="J29" s="193" t="str">
        <f>IF(Risikolog[[#This Row],[Sand-synlig-hed]]*Risikolog[[#This Row],[Konse-kvens]]=0,"",Risikolog[[#This Row],[Sand-synlig-hed]]*Risikolog[[#This Row],[Konse-kvens]]+Risikolog[[#This Row],[Risiko-id]]/10^8)</f>
        <v/>
      </c>
      <c r="K29" s="149"/>
      <c r="L29" s="155" t="str">
        <f ca="1">IFERROR((VLOOKUP(Risikolog[[#This Row],[Forventet tidspunkt for indtræffen ]],Lister!L$2:M$55,2)-TODAY())/30+Risikolog[[#This Row],[Risiko-id]]/10^8,"")</f>
        <v/>
      </c>
      <c r="M29" s="154"/>
      <c r="N29" s="154"/>
      <c r="O29" s="154"/>
      <c r="P29" s="154"/>
      <c r="Q29" s="154"/>
      <c r="R29" s="154"/>
      <c r="S29" s="154"/>
      <c r="T29" s="193" t="str">
        <f>IF(Risikolog[[#This Row],[Sand-synlighed efter tiltag]]*Risikolog[[#This Row],[Konse-kvens efter tiltag]]=0,"",Risikolog[[#This Row],[Sand-synlighed efter tiltag]]*Risikolog[[#This Row],[Konse-kvens efter tiltag]]+Risikolog[[#This Row],[Risiko-id]]/10^8)</f>
        <v/>
      </c>
      <c r="U29" s="156"/>
      <c r="V29" s="156"/>
      <c r="W29" s="151"/>
      <c r="X29" s="71"/>
    </row>
    <row r="30" spans="2:24" s="142" customFormat="1" ht="15" x14ac:dyDescent="0.2">
      <c r="B30" s="152">
        <v>16</v>
      </c>
      <c r="C30" s="153"/>
      <c r="D30" s="154"/>
      <c r="E30" s="154"/>
      <c r="F30" s="154"/>
      <c r="G30" s="154"/>
      <c r="H30" s="154"/>
      <c r="I30" s="154"/>
      <c r="J30" s="193" t="str">
        <f>IF(Risikolog[[#This Row],[Sand-synlig-hed]]*Risikolog[[#This Row],[Konse-kvens]]=0,"",Risikolog[[#This Row],[Sand-synlig-hed]]*Risikolog[[#This Row],[Konse-kvens]]+Risikolog[[#This Row],[Risiko-id]]/10^8)</f>
        <v/>
      </c>
      <c r="K30" s="149"/>
      <c r="L30" s="155" t="str">
        <f ca="1">IFERROR((VLOOKUP(Risikolog[[#This Row],[Forventet tidspunkt for indtræffen ]],Lister!L$2:M$55,2)-TODAY())/30+Risikolog[[#This Row],[Risiko-id]]/10^8,"")</f>
        <v/>
      </c>
      <c r="M30" s="154"/>
      <c r="N30" s="154"/>
      <c r="O30" s="154"/>
      <c r="P30" s="154"/>
      <c r="Q30" s="154"/>
      <c r="R30" s="154"/>
      <c r="S30" s="154"/>
      <c r="T30" s="193" t="str">
        <f>IF(Risikolog[[#This Row],[Sand-synlighed efter tiltag]]*Risikolog[[#This Row],[Konse-kvens efter tiltag]]=0,"",Risikolog[[#This Row],[Sand-synlighed efter tiltag]]*Risikolog[[#This Row],[Konse-kvens efter tiltag]]+Risikolog[[#This Row],[Risiko-id]]/10^8)</f>
        <v/>
      </c>
      <c r="U30" s="156"/>
      <c r="V30" s="156"/>
      <c r="W30" s="151"/>
      <c r="X30" s="71"/>
    </row>
    <row r="31" spans="2:24" s="142" customFormat="1" ht="15" x14ac:dyDescent="0.2">
      <c r="B31" s="152">
        <v>17</v>
      </c>
      <c r="C31" s="153"/>
      <c r="D31" s="154"/>
      <c r="E31" s="154"/>
      <c r="F31" s="154"/>
      <c r="G31" s="154"/>
      <c r="H31" s="154"/>
      <c r="I31" s="154"/>
      <c r="J31" s="193" t="str">
        <f>IF(Risikolog[[#This Row],[Sand-synlig-hed]]*Risikolog[[#This Row],[Konse-kvens]]=0,"",Risikolog[[#This Row],[Sand-synlig-hed]]*Risikolog[[#This Row],[Konse-kvens]]+Risikolog[[#This Row],[Risiko-id]]/10^8)</f>
        <v/>
      </c>
      <c r="K31" s="149"/>
      <c r="L31" s="155" t="str">
        <f ca="1">IFERROR((VLOOKUP(Risikolog[[#This Row],[Forventet tidspunkt for indtræffen ]],Lister!L$2:M$55,2)-TODAY())/30+Risikolog[[#This Row],[Risiko-id]]/10^8,"")</f>
        <v/>
      </c>
      <c r="M31" s="154"/>
      <c r="N31" s="154"/>
      <c r="O31" s="154"/>
      <c r="P31" s="154"/>
      <c r="Q31" s="154"/>
      <c r="R31" s="154"/>
      <c r="S31" s="154"/>
      <c r="T31" s="193" t="str">
        <f>IF(Risikolog[[#This Row],[Sand-synlighed efter tiltag]]*Risikolog[[#This Row],[Konse-kvens efter tiltag]]=0,"",Risikolog[[#This Row],[Sand-synlighed efter tiltag]]*Risikolog[[#This Row],[Konse-kvens efter tiltag]]+Risikolog[[#This Row],[Risiko-id]]/10^8)</f>
        <v/>
      </c>
      <c r="U31" s="156"/>
      <c r="V31" s="156"/>
      <c r="W31" s="151"/>
      <c r="X31" s="71"/>
    </row>
    <row r="32" spans="2:24" s="142" customFormat="1" ht="15" x14ac:dyDescent="0.2">
      <c r="B32" s="152">
        <v>18</v>
      </c>
      <c r="C32" s="153"/>
      <c r="D32" s="154"/>
      <c r="E32" s="154"/>
      <c r="F32" s="154"/>
      <c r="G32" s="154"/>
      <c r="H32" s="154"/>
      <c r="I32" s="154"/>
      <c r="J32" s="193" t="str">
        <f>IF(Risikolog[[#This Row],[Sand-synlig-hed]]*Risikolog[[#This Row],[Konse-kvens]]=0,"",Risikolog[[#This Row],[Sand-synlig-hed]]*Risikolog[[#This Row],[Konse-kvens]]+Risikolog[[#This Row],[Risiko-id]]/10^8)</f>
        <v/>
      </c>
      <c r="K32" s="149"/>
      <c r="L32" s="155" t="str">
        <f ca="1">IFERROR((VLOOKUP(Risikolog[[#This Row],[Forventet tidspunkt for indtræffen ]],Lister!L$2:M$55,2)-TODAY())/30+Risikolog[[#This Row],[Risiko-id]]/10^8,"")</f>
        <v/>
      </c>
      <c r="M32" s="154"/>
      <c r="N32" s="154"/>
      <c r="O32" s="154"/>
      <c r="P32" s="154"/>
      <c r="Q32" s="154"/>
      <c r="R32" s="154"/>
      <c r="S32" s="154"/>
      <c r="T32" s="193" t="str">
        <f>IF(Risikolog[[#This Row],[Sand-synlighed efter tiltag]]*Risikolog[[#This Row],[Konse-kvens efter tiltag]]=0,"",Risikolog[[#This Row],[Sand-synlighed efter tiltag]]*Risikolog[[#This Row],[Konse-kvens efter tiltag]]+Risikolog[[#This Row],[Risiko-id]]/10^8)</f>
        <v/>
      </c>
      <c r="U32" s="156"/>
      <c r="V32" s="156"/>
      <c r="W32" s="151"/>
      <c r="X32" s="71"/>
    </row>
    <row r="33" spans="2:24" s="142" customFormat="1" ht="15" x14ac:dyDescent="0.2">
      <c r="B33" s="152">
        <v>19</v>
      </c>
      <c r="C33" s="153"/>
      <c r="D33" s="154"/>
      <c r="E33" s="154"/>
      <c r="F33" s="154"/>
      <c r="G33" s="154"/>
      <c r="H33" s="154"/>
      <c r="I33" s="154"/>
      <c r="J33" s="193" t="str">
        <f>IF(Risikolog[[#This Row],[Sand-synlig-hed]]*Risikolog[[#This Row],[Konse-kvens]]=0,"",Risikolog[[#This Row],[Sand-synlig-hed]]*Risikolog[[#This Row],[Konse-kvens]]+Risikolog[[#This Row],[Risiko-id]]/10^8)</f>
        <v/>
      </c>
      <c r="K33" s="149"/>
      <c r="L33" s="155" t="str">
        <f ca="1">IFERROR((VLOOKUP(Risikolog[[#This Row],[Forventet tidspunkt for indtræffen ]],Lister!L$2:M$55,2)-TODAY())/30+Risikolog[[#This Row],[Risiko-id]]/10^8,"")</f>
        <v/>
      </c>
      <c r="M33" s="154"/>
      <c r="N33" s="154"/>
      <c r="O33" s="154"/>
      <c r="P33" s="154"/>
      <c r="Q33" s="154"/>
      <c r="R33" s="154"/>
      <c r="S33" s="154"/>
      <c r="T33" s="193" t="str">
        <f>IF(Risikolog[[#This Row],[Sand-synlighed efter tiltag]]*Risikolog[[#This Row],[Konse-kvens efter tiltag]]=0,"",Risikolog[[#This Row],[Sand-synlighed efter tiltag]]*Risikolog[[#This Row],[Konse-kvens efter tiltag]]+Risikolog[[#This Row],[Risiko-id]]/10^8)</f>
        <v/>
      </c>
      <c r="U33" s="156"/>
      <c r="V33" s="156"/>
      <c r="W33" s="151"/>
      <c r="X33" s="71"/>
    </row>
    <row r="34" spans="2:24" s="142" customFormat="1" ht="15" x14ac:dyDescent="0.2">
      <c r="B34" s="152">
        <v>20</v>
      </c>
      <c r="C34" s="153"/>
      <c r="D34" s="154"/>
      <c r="E34" s="154"/>
      <c r="F34" s="154"/>
      <c r="G34" s="154"/>
      <c r="H34" s="154"/>
      <c r="I34" s="154"/>
      <c r="J34" s="193" t="str">
        <f>IF(Risikolog[[#This Row],[Sand-synlig-hed]]*Risikolog[[#This Row],[Konse-kvens]]=0,"",Risikolog[[#This Row],[Sand-synlig-hed]]*Risikolog[[#This Row],[Konse-kvens]]+Risikolog[[#This Row],[Risiko-id]]/10^8)</f>
        <v/>
      </c>
      <c r="K34" s="149"/>
      <c r="L34" s="155" t="str">
        <f ca="1">IFERROR((VLOOKUP(Risikolog[[#This Row],[Forventet tidspunkt for indtræffen ]],Lister!L$2:M$55,2)-TODAY())/30+Risikolog[[#This Row],[Risiko-id]]/10^8,"")</f>
        <v/>
      </c>
      <c r="M34" s="154"/>
      <c r="N34" s="154"/>
      <c r="O34" s="154"/>
      <c r="P34" s="154"/>
      <c r="Q34" s="154"/>
      <c r="R34" s="154"/>
      <c r="S34" s="154"/>
      <c r="T34" s="193" t="str">
        <f>IF(Risikolog[[#This Row],[Sand-synlighed efter tiltag]]*Risikolog[[#This Row],[Konse-kvens efter tiltag]]=0,"",Risikolog[[#This Row],[Sand-synlighed efter tiltag]]*Risikolog[[#This Row],[Konse-kvens efter tiltag]]+Risikolog[[#This Row],[Risiko-id]]/10^8)</f>
        <v/>
      </c>
      <c r="U34" s="156"/>
      <c r="V34" s="156"/>
      <c r="W34" s="151"/>
      <c r="X34" s="71"/>
    </row>
    <row r="35" spans="2:24" s="142" customFormat="1" ht="15" x14ac:dyDescent="0.2">
      <c r="B35" s="152">
        <v>21</v>
      </c>
      <c r="C35" s="153"/>
      <c r="D35" s="154"/>
      <c r="E35" s="154"/>
      <c r="F35" s="154"/>
      <c r="G35" s="154"/>
      <c r="H35" s="154"/>
      <c r="I35" s="154"/>
      <c r="J35" s="193" t="str">
        <f>IF(Risikolog[[#This Row],[Sand-synlig-hed]]*Risikolog[[#This Row],[Konse-kvens]]=0,"",Risikolog[[#This Row],[Sand-synlig-hed]]*Risikolog[[#This Row],[Konse-kvens]]+Risikolog[[#This Row],[Risiko-id]]/10^8)</f>
        <v/>
      </c>
      <c r="K35" s="149"/>
      <c r="L35" s="155" t="str">
        <f ca="1">IFERROR((VLOOKUP(Risikolog[[#This Row],[Forventet tidspunkt for indtræffen ]],Lister!L$2:M$55,2)-TODAY())/30+Risikolog[[#This Row],[Risiko-id]]/10^8,"")</f>
        <v/>
      </c>
      <c r="M35" s="154"/>
      <c r="N35" s="154"/>
      <c r="O35" s="154"/>
      <c r="P35" s="154"/>
      <c r="Q35" s="154"/>
      <c r="R35" s="154"/>
      <c r="S35" s="154"/>
      <c r="T35" s="193" t="str">
        <f>IF(Risikolog[[#This Row],[Sand-synlighed efter tiltag]]*Risikolog[[#This Row],[Konse-kvens efter tiltag]]=0,"",Risikolog[[#This Row],[Sand-synlighed efter tiltag]]*Risikolog[[#This Row],[Konse-kvens efter tiltag]]+Risikolog[[#This Row],[Risiko-id]]/10^8)</f>
        <v/>
      </c>
      <c r="U35" s="156"/>
      <c r="V35" s="156"/>
      <c r="W35" s="151"/>
      <c r="X35" s="71"/>
    </row>
    <row r="36" spans="2:24" s="142" customFormat="1" ht="15" x14ac:dyDescent="0.2">
      <c r="B36" s="152">
        <v>22</v>
      </c>
      <c r="C36" s="153"/>
      <c r="D36" s="154"/>
      <c r="E36" s="154"/>
      <c r="F36" s="154"/>
      <c r="G36" s="154"/>
      <c r="H36" s="154"/>
      <c r="I36" s="154"/>
      <c r="J36" s="193" t="str">
        <f>IF(Risikolog[[#This Row],[Sand-synlig-hed]]*Risikolog[[#This Row],[Konse-kvens]]=0,"",Risikolog[[#This Row],[Sand-synlig-hed]]*Risikolog[[#This Row],[Konse-kvens]]+Risikolog[[#This Row],[Risiko-id]]/10^8)</f>
        <v/>
      </c>
      <c r="K36" s="149"/>
      <c r="L36" s="155" t="str">
        <f ca="1">IFERROR((VLOOKUP(Risikolog[[#This Row],[Forventet tidspunkt for indtræffen ]],Lister!L$2:M$55,2)-TODAY())/30+Risikolog[[#This Row],[Risiko-id]]/10^8,"")</f>
        <v/>
      </c>
      <c r="M36" s="154"/>
      <c r="N36" s="154"/>
      <c r="O36" s="154"/>
      <c r="P36" s="154"/>
      <c r="Q36" s="154"/>
      <c r="R36" s="154"/>
      <c r="S36" s="154"/>
      <c r="T36" s="193" t="str">
        <f>IF(Risikolog[[#This Row],[Sand-synlighed efter tiltag]]*Risikolog[[#This Row],[Konse-kvens efter tiltag]]=0,"",Risikolog[[#This Row],[Sand-synlighed efter tiltag]]*Risikolog[[#This Row],[Konse-kvens efter tiltag]]+Risikolog[[#This Row],[Risiko-id]]/10^8)</f>
        <v/>
      </c>
      <c r="U36" s="156"/>
      <c r="V36" s="156"/>
      <c r="W36" s="151"/>
      <c r="X36" s="71"/>
    </row>
    <row r="37" spans="2:24" s="142" customFormat="1" ht="15" x14ac:dyDescent="0.2">
      <c r="B37" s="152">
        <v>23</v>
      </c>
      <c r="C37" s="153"/>
      <c r="D37" s="154"/>
      <c r="E37" s="154"/>
      <c r="F37" s="154"/>
      <c r="G37" s="154"/>
      <c r="H37" s="154"/>
      <c r="I37" s="154"/>
      <c r="J37" s="193" t="str">
        <f>IF(Risikolog[[#This Row],[Sand-synlig-hed]]*Risikolog[[#This Row],[Konse-kvens]]=0,"",Risikolog[[#This Row],[Sand-synlig-hed]]*Risikolog[[#This Row],[Konse-kvens]]+Risikolog[[#This Row],[Risiko-id]]/10^8)</f>
        <v/>
      </c>
      <c r="K37" s="149"/>
      <c r="L37" s="155" t="str">
        <f ca="1">IFERROR((VLOOKUP(Risikolog[[#This Row],[Forventet tidspunkt for indtræffen ]],Lister!L$2:M$55,2)-TODAY())/30+Risikolog[[#This Row],[Risiko-id]]/10^8,"")</f>
        <v/>
      </c>
      <c r="M37" s="154"/>
      <c r="N37" s="154"/>
      <c r="O37" s="154"/>
      <c r="P37" s="154"/>
      <c r="Q37" s="154"/>
      <c r="R37" s="154"/>
      <c r="S37" s="154"/>
      <c r="T37" s="193" t="str">
        <f>IF(Risikolog[[#This Row],[Sand-synlighed efter tiltag]]*Risikolog[[#This Row],[Konse-kvens efter tiltag]]=0,"",Risikolog[[#This Row],[Sand-synlighed efter tiltag]]*Risikolog[[#This Row],[Konse-kvens efter tiltag]]+Risikolog[[#This Row],[Risiko-id]]/10^8)</f>
        <v/>
      </c>
      <c r="U37" s="156"/>
      <c r="V37" s="156"/>
      <c r="W37" s="151"/>
      <c r="X37" s="71"/>
    </row>
    <row r="38" spans="2:24" s="142" customFormat="1" ht="15" x14ac:dyDescent="0.25">
      <c r="B38" s="157">
        <v>24</v>
      </c>
      <c r="C38" s="158"/>
      <c r="D38" s="159"/>
      <c r="E38" s="154"/>
      <c r="F38" s="159"/>
      <c r="G38" s="159"/>
      <c r="H38" s="154"/>
      <c r="I38" s="154"/>
      <c r="J38" s="194" t="str">
        <f>IF(Risikolog[[#This Row],[Sand-synlig-hed]]*Risikolog[[#This Row],[Konse-kvens]]=0,"",Risikolog[[#This Row],[Sand-synlig-hed]]*Risikolog[[#This Row],[Konse-kvens]]+Risikolog[[#This Row],[Risiko-id]]/10^8)</f>
        <v/>
      </c>
      <c r="K38" s="149"/>
      <c r="L38" s="160" t="str">
        <f ca="1">IFERROR((VLOOKUP(Risikolog[[#This Row],[Forventet tidspunkt for indtræffen ]],Lister!L$2:M$55,2)-TODAY())/30+Risikolog[[#This Row],[Risiko-id]]/10^8,"")</f>
        <v/>
      </c>
      <c r="M38" s="159"/>
      <c r="N38" s="159"/>
      <c r="O38" s="159"/>
      <c r="P38" s="154"/>
      <c r="Q38" s="154"/>
      <c r="R38" s="154"/>
      <c r="S38" s="154"/>
      <c r="T38" s="194" t="str">
        <f>IF(Risikolog[[#This Row],[Sand-synlighed efter tiltag]]*Risikolog[[#This Row],[Konse-kvens efter tiltag]]=0,"",Risikolog[[#This Row],[Sand-synlighed efter tiltag]]*Risikolog[[#This Row],[Konse-kvens efter tiltag]]+Risikolog[[#This Row],[Risiko-id]]/10^8)</f>
        <v/>
      </c>
      <c r="U38" s="159"/>
      <c r="V38" s="156"/>
      <c r="W38" s="151"/>
      <c r="X38" s="71"/>
    </row>
    <row r="39" spans="2:24" s="142" customFormat="1" ht="15" x14ac:dyDescent="0.25">
      <c r="B39" s="157">
        <v>25</v>
      </c>
      <c r="C39" s="158"/>
      <c r="D39" s="159"/>
      <c r="E39" s="154"/>
      <c r="F39" s="159"/>
      <c r="G39" s="159"/>
      <c r="H39" s="154"/>
      <c r="I39" s="154"/>
      <c r="J39" s="194" t="str">
        <f>IF(Risikolog[[#This Row],[Sand-synlig-hed]]*Risikolog[[#This Row],[Konse-kvens]]=0,"",Risikolog[[#This Row],[Sand-synlig-hed]]*Risikolog[[#This Row],[Konse-kvens]]+Risikolog[[#This Row],[Risiko-id]]/10^8)</f>
        <v/>
      </c>
      <c r="K39" s="149"/>
      <c r="L39" s="160" t="str">
        <f ca="1">IFERROR((VLOOKUP(Risikolog[[#This Row],[Forventet tidspunkt for indtræffen ]],Lister!L$2:M$55,2)-TODAY())/30+Risikolog[[#This Row],[Risiko-id]]/10^8,"")</f>
        <v/>
      </c>
      <c r="M39" s="159"/>
      <c r="N39" s="159"/>
      <c r="O39" s="159"/>
      <c r="P39" s="154"/>
      <c r="Q39" s="154"/>
      <c r="R39" s="154"/>
      <c r="S39" s="154"/>
      <c r="T39" s="194" t="str">
        <f>IF(Risikolog[[#This Row],[Sand-synlighed efter tiltag]]*Risikolog[[#This Row],[Konse-kvens efter tiltag]]=0,"",Risikolog[[#This Row],[Sand-synlighed efter tiltag]]*Risikolog[[#This Row],[Konse-kvens efter tiltag]]+Risikolog[[#This Row],[Risiko-id]]/10^8)</f>
        <v/>
      </c>
      <c r="U39" s="159"/>
      <c r="V39" s="156"/>
      <c r="W39" s="151"/>
      <c r="X39" s="71"/>
    </row>
    <row r="40" spans="2:24" s="142" customFormat="1" ht="15" x14ac:dyDescent="0.25">
      <c r="B40" s="157">
        <v>26</v>
      </c>
      <c r="C40" s="158"/>
      <c r="D40" s="159"/>
      <c r="E40" s="154"/>
      <c r="F40" s="159"/>
      <c r="G40" s="159"/>
      <c r="H40" s="154"/>
      <c r="I40" s="154"/>
      <c r="J40" s="194" t="str">
        <f>IF(Risikolog[[#This Row],[Sand-synlig-hed]]*Risikolog[[#This Row],[Konse-kvens]]=0,"",Risikolog[[#This Row],[Sand-synlig-hed]]*Risikolog[[#This Row],[Konse-kvens]]+Risikolog[[#This Row],[Risiko-id]]/10^8)</f>
        <v/>
      </c>
      <c r="K40" s="149"/>
      <c r="L40" s="160" t="str">
        <f ca="1">IFERROR((VLOOKUP(Risikolog[[#This Row],[Forventet tidspunkt for indtræffen ]],Lister!L$2:M$55,2)-TODAY())/30+Risikolog[[#This Row],[Risiko-id]]/10^8,"")</f>
        <v/>
      </c>
      <c r="M40" s="159"/>
      <c r="N40" s="159"/>
      <c r="O40" s="159"/>
      <c r="P40" s="154"/>
      <c r="Q40" s="154"/>
      <c r="R40" s="154"/>
      <c r="S40" s="154"/>
      <c r="T40" s="194" t="str">
        <f>IF(Risikolog[[#This Row],[Sand-synlighed efter tiltag]]*Risikolog[[#This Row],[Konse-kvens efter tiltag]]=0,"",Risikolog[[#This Row],[Sand-synlighed efter tiltag]]*Risikolog[[#This Row],[Konse-kvens efter tiltag]]+Risikolog[[#This Row],[Risiko-id]]/10^8)</f>
        <v/>
      </c>
      <c r="U40" s="159"/>
      <c r="V40" s="156"/>
      <c r="W40" s="151"/>
      <c r="X40" s="71"/>
    </row>
    <row r="41" spans="2:24" s="142" customFormat="1" ht="15" x14ac:dyDescent="0.25">
      <c r="B41" s="157">
        <v>27</v>
      </c>
      <c r="C41" s="158"/>
      <c r="D41" s="159"/>
      <c r="E41" s="154"/>
      <c r="F41" s="159"/>
      <c r="G41" s="159"/>
      <c r="H41" s="154"/>
      <c r="I41" s="154"/>
      <c r="J41" s="194" t="str">
        <f>IF(Risikolog[[#This Row],[Sand-synlig-hed]]*Risikolog[[#This Row],[Konse-kvens]]=0,"",Risikolog[[#This Row],[Sand-synlig-hed]]*Risikolog[[#This Row],[Konse-kvens]]+Risikolog[[#This Row],[Risiko-id]]/10^8)</f>
        <v/>
      </c>
      <c r="K41" s="149"/>
      <c r="L41" s="160" t="str">
        <f ca="1">IFERROR((VLOOKUP(Risikolog[[#This Row],[Forventet tidspunkt for indtræffen ]],Lister!L$2:M$55,2)-TODAY())/30+Risikolog[[#This Row],[Risiko-id]]/10^8,"")</f>
        <v/>
      </c>
      <c r="M41" s="159"/>
      <c r="N41" s="159"/>
      <c r="O41" s="159"/>
      <c r="P41" s="154"/>
      <c r="Q41" s="154"/>
      <c r="R41" s="154"/>
      <c r="S41" s="154"/>
      <c r="T41" s="194" t="str">
        <f>IF(Risikolog[[#This Row],[Sand-synlighed efter tiltag]]*Risikolog[[#This Row],[Konse-kvens efter tiltag]]=0,"",Risikolog[[#This Row],[Sand-synlighed efter tiltag]]*Risikolog[[#This Row],[Konse-kvens efter tiltag]]+Risikolog[[#This Row],[Risiko-id]]/10^8)</f>
        <v/>
      </c>
      <c r="U41" s="159"/>
      <c r="V41" s="156"/>
      <c r="W41" s="151"/>
      <c r="X41" s="71"/>
    </row>
    <row r="42" spans="2:24" s="142" customFormat="1" ht="15" x14ac:dyDescent="0.25">
      <c r="B42" s="157">
        <v>28</v>
      </c>
      <c r="C42" s="158"/>
      <c r="D42" s="159"/>
      <c r="E42" s="154"/>
      <c r="F42" s="159"/>
      <c r="G42" s="159"/>
      <c r="H42" s="154"/>
      <c r="I42" s="154"/>
      <c r="J42" s="194" t="str">
        <f>IF(Risikolog[[#This Row],[Sand-synlig-hed]]*Risikolog[[#This Row],[Konse-kvens]]=0,"",Risikolog[[#This Row],[Sand-synlig-hed]]*Risikolog[[#This Row],[Konse-kvens]]+Risikolog[[#This Row],[Risiko-id]]/10^8)</f>
        <v/>
      </c>
      <c r="K42" s="149"/>
      <c r="L42" s="160" t="str">
        <f ca="1">IFERROR((VLOOKUP(Risikolog[[#This Row],[Forventet tidspunkt for indtræffen ]],Lister!L$2:M$55,2)-TODAY())/30+Risikolog[[#This Row],[Risiko-id]]/10^8,"")</f>
        <v/>
      </c>
      <c r="M42" s="159"/>
      <c r="N42" s="159"/>
      <c r="O42" s="159"/>
      <c r="P42" s="154"/>
      <c r="Q42" s="154"/>
      <c r="R42" s="154"/>
      <c r="S42" s="154"/>
      <c r="T42" s="194" t="str">
        <f>IF(Risikolog[[#This Row],[Sand-synlighed efter tiltag]]*Risikolog[[#This Row],[Konse-kvens efter tiltag]]=0,"",Risikolog[[#This Row],[Sand-synlighed efter tiltag]]*Risikolog[[#This Row],[Konse-kvens efter tiltag]]+Risikolog[[#This Row],[Risiko-id]]/10^8)</f>
        <v/>
      </c>
      <c r="U42" s="159"/>
      <c r="V42" s="156"/>
      <c r="W42" s="151"/>
      <c r="X42" s="71"/>
    </row>
    <row r="43" spans="2:24" s="142" customFormat="1" ht="15" x14ac:dyDescent="0.25">
      <c r="B43" s="157">
        <v>29</v>
      </c>
      <c r="C43" s="158"/>
      <c r="D43" s="159"/>
      <c r="E43" s="154"/>
      <c r="F43" s="159"/>
      <c r="G43" s="159"/>
      <c r="H43" s="154"/>
      <c r="I43" s="154"/>
      <c r="J43" s="194" t="str">
        <f>IF(Risikolog[[#This Row],[Sand-synlig-hed]]*Risikolog[[#This Row],[Konse-kvens]]=0,"",Risikolog[[#This Row],[Sand-synlig-hed]]*Risikolog[[#This Row],[Konse-kvens]]+Risikolog[[#This Row],[Risiko-id]]/10^8)</f>
        <v/>
      </c>
      <c r="K43" s="149"/>
      <c r="L43" s="160" t="str">
        <f ca="1">IFERROR((VLOOKUP(Risikolog[[#This Row],[Forventet tidspunkt for indtræffen ]],Lister!L$2:M$55,2)-TODAY())/30+Risikolog[[#This Row],[Risiko-id]]/10^8,"")</f>
        <v/>
      </c>
      <c r="M43" s="159"/>
      <c r="N43" s="159"/>
      <c r="O43" s="159"/>
      <c r="P43" s="154"/>
      <c r="Q43" s="154"/>
      <c r="R43" s="154"/>
      <c r="S43" s="154"/>
      <c r="T43" s="194" t="str">
        <f>IF(Risikolog[[#This Row],[Sand-synlighed efter tiltag]]*Risikolog[[#This Row],[Konse-kvens efter tiltag]]=0,"",Risikolog[[#This Row],[Sand-synlighed efter tiltag]]*Risikolog[[#This Row],[Konse-kvens efter tiltag]]+Risikolog[[#This Row],[Risiko-id]]/10^8)</f>
        <v/>
      </c>
      <c r="U43" s="159"/>
      <c r="V43" s="156"/>
      <c r="W43" s="151"/>
      <c r="X43" s="71"/>
    </row>
    <row r="44" spans="2:24" s="142" customFormat="1" ht="15" x14ac:dyDescent="0.25">
      <c r="B44" s="157">
        <v>30</v>
      </c>
      <c r="C44" s="158"/>
      <c r="D44" s="159"/>
      <c r="E44" s="154"/>
      <c r="F44" s="159"/>
      <c r="G44" s="159"/>
      <c r="H44" s="154"/>
      <c r="I44" s="154"/>
      <c r="J44" s="194" t="str">
        <f>IF(Risikolog[[#This Row],[Sand-synlig-hed]]*Risikolog[[#This Row],[Konse-kvens]]=0,"",Risikolog[[#This Row],[Sand-synlig-hed]]*Risikolog[[#This Row],[Konse-kvens]]+Risikolog[[#This Row],[Risiko-id]]/10^8)</f>
        <v/>
      </c>
      <c r="K44" s="149"/>
      <c r="L44" s="160" t="str">
        <f ca="1">IFERROR((VLOOKUP(Risikolog[[#This Row],[Forventet tidspunkt for indtræffen ]],Lister!L$2:M$55,2)-TODAY())/30+Risikolog[[#This Row],[Risiko-id]]/10^8,"")</f>
        <v/>
      </c>
      <c r="M44" s="159"/>
      <c r="N44" s="159"/>
      <c r="O44" s="159"/>
      <c r="P44" s="154"/>
      <c r="Q44" s="154"/>
      <c r="R44" s="154"/>
      <c r="S44" s="154"/>
      <c r="T44" s="194" t="str">
        <f>IF(Risikolog[[#This Row],[Sand-synlighed efter tiltag]]*Risikolog[[#This Row],[Konse-kvens efter tiltag]]=0,"",Risikolog[[#This Row],[Sand-synlighed efter tiltag]]*Risikolog[[#This Row],[Konse-kvens efter tiltag]]+Risikolog[[#This Row],[Risiko-id]]/10^8)</f>
        <v/>
      </c>
      <c r="U44" s="159"/>
      <c r="V44" s="156"/>
      <c r="W44" s="151"/>
      <c r="X44" s="71"/>
    </row>
    <row r="45" spans="2:24" s="142" customFormat="1" ht="15" x14ac:dyDescent="0.25">
      <c r="B45" s="157">
        <v>31</v>
      </c>
      <c r="C45" s="158"/>
      <c r="D45" s="159"/>
      <c r="E45" s="154"/>
      <c r="F45" s="159"/>
      <c r="G45" s="159"/>
      <c r="H45" s="154"/>
      <c r="I45" s="154"/>
      <c r="J45" s="194" t="str">
        <f>IF(Risikolog[[#This Row],[Sand-synlig-hed]]*Risikolog[[#This Row],[Konse-kvens]]=0,"",Risikolog[[#This Row],[Sand-synlig-hed]]*Risikolog[[#This Row],[Konse-kvens]]+Risikolog[[#This Row],[Risiko-id]]/10^8)</f>
        <v/>
      </c>
      <c r="K45" s="149"/>
      <c r="L45" s="160" t="str">
        <f ca="1">IFERROR((VLOOKUP(Risikolog[[#This Row],[Forventet tidspunkt for indtræffen ]],Lister!L$2:M$55,2)-TODAY())/30+Risikolog[[#This Row],[Risiko-id]]/10^8,"")</f>
        <v/>
      </c>
      <c r="M45" s="159"/>
      <c r="N45" s="159"/>
      <c r="O45" s="159"/>
      <c r="P45" s="154"/>
      <c r="Q45" s="154"/>
      <c r="R45" s="154"/>
      <c r="S45" s="154"/>
      <c r="T45" s="194" t="str">
        <f>IF(Risikolog[[#This Row],[Sand-synlighed efter tiltag]]*Risikolog[[#This Row],[Konse-kvens efter tiltag]]=0,"",Risikolog[[#This Row],[Sand-synlighed efter tiltag]]*Risikolog[[#This Row],[Konse-kvens efter tiltag]]+Risikolog[[#This Row],[Risiko-id]]/10^8)</f>
        <v/>
      </c>
      <c r="U45" s="159"/>
      <c r="V45" s="156"/>
      <c r="W45" s="151"/>
      <c r="X45" s="71"/>
    </row>
    <row r="46" spans="2:24" s="142" customFormat="1" ht="15" x14ac:dyDescent="0.25">
      <c r="B46" s="157">
        <v>32</v>
      </c>
      <c r="C46" s="158"/>
      <c r="D46" s="159"/>
      <c r="E46" s="154"/>
      <c r="F46" s="159"/>
      <c r="G46" s="159"/>
      <c r="H46" s="154"/>
      <c r="I46" s="154"/>
      <c r="J46" s="194" t="str">
        <f>IF(Risikolog[[#This Row],[Sand-synlig-hed]]*Risikolog[[#This Row],[Konse-kvens]]=0,"",Risikolog[[#This Row],[Sand-synlig-hed]]*Risikolog[[#This Row],[Konse-kvens]]+Risikolog[[#This Row],[Risiko-id]]/10^8)</f>
        <v/>
      </c>
      <c r="K46" s="149"/>
      <c r="L46" s="160" t="str">
        <f ca="1">IFERROR((VLOOKUP(Risikolog[[#This Row],[Forventet tidspunkt for indtræffen ]],Lister!L$2:M$55,2)-TODAY())/30+Risikolog[[#This Row],[Risiko-id]]/10^8,"")</f>
        <v/>
      </c>
      <c r="M46" s="159"/>
      <c r="N46" s="159"/>
      <c r="O46" s="159"/>
      <c r="P46" s="154"/>
      <c r="Q46" s="154"/>
      <c r="R46" s="154"/>
      <c r="S46" s="154"/>
      <c r="T46" s="194" t="str">
        <f>IF(Risikolog[[#This Row],[Sand-synlighed efter tiltag]]*Risikolog[[#This Row],[Konse-kvens efter tiltag]]=0,"",Risikolog[[#This Row],[Sand-synlighed efter tiltag]]*Risikolog[[#This Row],[Konse-kvens efter tiltag]]+Risikolog[[#This Row],[Risiko-id]]/10^8)</f>
        <v/>
      </c>
      <c r="U46" s="159"/>
      <c r="V46" s="156"/>
      <c r="W46" s="151"/>
      <c r="X46" s="71"/>
    </row>
    <row r="47" spans="2:24" s="142" customFormat="1" ht="15" x14ac:dyDescent="0.25">
      <c r="B47" s="157">
        <v>33</v>
      </c>
      <c r="C47" s="158"/>
      <c r="D47" s="159"/>
      <c r="E47" s="154"/>
      <c r="F47" s="159"/>
      <c r="G47" s="159"/>
      <c r="H47" s="154"/>
      <c r="I47" s="154"/>
      <c r="J47" s="194" t="str">
        <f>IF(Risikolog[[#This Row],[Sand-synlig-hed]]*Risikolog[[#This Row],[Konse-kvens]]=0,"",Risikolog[[#This Row],[Sand-synlig-hed]]*Risikolog[[#This Row],[Konse-kvens]]+Risikolog[[#This Row],[Risiko-id]]/10^8)</f>
        <v/>
      </c>
      <c r="K47" s="149"/>
      <c r="L47" s="160" t="str">
        <f ca="1">IFERROR((VLOOKUP(Risikolog[[#This Row],[Forventet tidspunkt for indtræffen ]],Lister!L$2:M$55,2)-TODAY())/30+Risikolog[[#This Row],[Risiko-id]]/10^8,"")</f>
        <v/>
      </c>
      <c r="M47" s="159"/>
      <c r="N47" s="159"/>
      <c r="O47" s="159"/>
      <c r="P47" s="154"/>
      <c r="Q47" s="154"/>
      <c r="R47" s="154"/>
      <c r="S47" s="154"/>
      <c r="T47" s="194" t="str">
        <f>IF(Risikolog[[#This Row],[Sand-synlighed efter tiltag]]*Risikolog[[#This Row],[Konse-kvens efter tiltag]]=0,"",Risikolog[[#This Row],[Sand-synlighed efter tiltag]]*Risikolog[[#This Row],[Konse-kvens efter tiltag]]+Risikolog[[#This Row],[Risiko-id]]/10^8)</f>
        <v/>
      </c>
      <c r="U47" s="159"/>
      <c r="V47" s="156"/>
      <c r="W47" s="151"/>
      <c r="X47" s="71"/>
    </row>
    <row r="48" spans="2:24" s="142" customFormat="1" ht="15" x14ac:dyDescent="0.25">
      <c r="B48" s="157">
        <v>34</v>
      </c>
      <c r="C48" s="158"/>
      <c r="D48" s="159"/>
      <c r="E48" s="154"/>
      <c r="F48" s="159"/>
      <c r="G48" s="159"/>
      <c r="H48" s="154"/>
      <c r="I48" s="154"/>
      <c r="J48" s="194" t="str">
        <f>IF(Risikolog[[#This Row],[Sand-synlig-hed]]*Risikolog[[#This Row],[Konse-kvens]]=0,"",Risikolog[[#This Row],[Sand-synlig-hed]]*Risikolog[[#This Row],[Konse-kvens]]+Risikolog[[#This Row],[Risiko-id]]/10^8)</f>
        <v/>
      </c>
      <c r="K48" s="149"/>
      <c r="L48" s="160" t="str">
        <f ca="1">IFERROR((VLOOKUP(Risikolog[[#This Row],[Forventet tidspunkt for indtræffen ]],Lister!L$2:M$55,2)-TODAY())/30+Risikolog[[#This Row],[Risiko-id]]/10^8,"")</f>
        <v/>
      </c>
      <c r="M48" s="159"/>
      <c r="N48" s="159"/>
      <c r="O48" s="159"/>
      <c r="P48" s="154"/>
      <c r="Q48" s="154"/>
      <c r="R48" s="154"/>
      <c r="S48" s="154"/>
      <c r="T48" s="194" t="str">
        <f>IF(Risikolog[[#This Row],[Sand-synlighed efter tiltag]]*Risikolog[[#This Row],[Konse-kvens efter tiltag]]=0,"",Risikolog[[#This Row],[Sand-synlighed efter tiltag]]*Risikolog[[#This Row],[Konse-kvens efter tiltag]]+Risikolog[[#This Row],[Risiko-id]]/10^8)</f>
        <v/>
      </c>
      <c r="U48" s="159"/>
      <c r="V48" s="156"/>
      <c r="W48" s="151"/>
      <c r="X48" s="71"/>
    </row>
    <row r="49" spans="2:24" s="142" customFormat="1" ht="15" x14ac:dyDescent="0.25">
      <c r="B49" s="157">
        <v>35</v>
      </c>
      <c r="C49" s="158"/>
      <c r="D49" s="159"/>
      <c r="E49" s="154"/>
      <c r="F49" s="159"/>
      <c r="G49" s="159"/>
      <c r="H49" s="154"/>
      <c r="I49" s="154"/>
      <c r="J49" s="194" t="str">
        <f>IF(Risikolog[[#This Row],[Sand-synlig-hed]]*Risikolog[[#This Row],[Konse-kvens]]=0,"",Risikolog[[#This Row],[Sand-synlig-hed]]*Risikolog[[#This Row],[Konse-kvens]]+Risikolog[[#This Row],[Risiko-id]]/10^8)</f>
        <v/>
      </c>
      <c r="K49" s="149"/>
      <c r="L49" s="160" t="str">
        <f ca="1">IFERROR((VLOOKUP(Risikolog[[#This Row],[Forventet tidspunkt for indtræffen ]],Lister!L$2:M$55,2)-TODAY())/30+Risikolog[[#This Row],[Risiko-id]]/10^8,"")</f>
        <v/>
      </c>
      <c r="M49" s="159"/>
      <c r="N49" s="159"/>
      <c r="O49" s="159"/>
      <c r="P49" s="154"/>
      <c r="Q49" s="154"/>
      <c r="R49" s="154"/>
      <c r="S49" s="154"/>
      <c r="T49" s="194" t="str">
        <f>IF(Risikolog[[#This Row],[Sand-synlighed efter tiltag]]*Risikolog[[#This Row],[Konse-kvens efter tiltag]]=0,"",Risikolog[[#This Row],[Sand-synlighed efter tiltag]]*Risikolog[[#This Row],[Konse-kvens efter tiltag]]+Risikolog[[#This Row],[Risiko-id]]/10^8)</f>
        <v/>
      </c>
      <c r="U49" s="159"/>
      <c r="V49" s="156"/>
      <c r="W49" s="151"/>
      <c r="X49" s="71"/>
    </row>
    <row r="50" spans="2:24" s="142" customFormat="1" ht="15" x14ac:dyDescent="0.25">
      <c r="B50" s="157">
        <v>36</v>
      </c>
      <c r="C50" s="158"/>
      <c r="D50" s="159"/>
      <c r="E50" s="154"/>
      <c r="F50" s="159"/>
      <c r="G50" s="159"/>
      <c r="H50" s="154"/>
      <c r="I50" s="154"/>
      <c r="J50" s="194" t="str">
        <f>IF(Risikolog[[#This Row],[Sand-synlig-hed]]*Risikolog[[#This Row],[Konse-kvens]]=0,"",Risikolog[[#This Row],[Sand-synlig-hed]]*Risikolog[[#This Row],[Konse-kvens]]+Risikolog[[#This Row],[Risiko-id]]/10^8)</f>
        <v/>
      </c>
      <c r="K50" s="149"/>
      <c r="L50" s="160" t="str">
        <f ca="1">IFERROR((VLOOKUP(Risikolog[[#This Row],[Forventet tidspunkt for indtræffen ]],Lister!L$2:M$55,2)-TODAY())/30+Risikolog[[#This Row],[Risiko-id]]/10^8,"")</f>
        <v/>
      </c>
      <c r="M50" s="159"/>
      <c r="N50" s="159"/>
      <c r="O50" s="159"/>
      <c r="P50" s="154"/>
      <c r="Q50" s="154"/>
      <c r="R50" s="154"/>
      <c r="S50" s="154"/>
      <c r="T50" s="194" t="str">
        <f>IF(Risikolog[[#This Row],[Sand-synlighed efter tiltag]]*Risikolog[[#This Row],[Konse-kvens efter tiltag]]=0,"",Risikolog[[#This Row],[Sand-synlighed efter tiltag]]*Risikolog[[#This Row],[Konse-kvens efter tiltag]]+Risikolog[[#This Row],[Risiko-id]]/10^8)</f>
        <v/>
      </c>
      <c r="U50" s="159"/>
      <c r="V50" s="156"/>
      <c r="W50" s="151"/>
      <c r="X50" s="71"/>
    </row>
    <row r="51" spans="2:24" s="142" customFormat="1" ht="15" x14ac:dyDescent="0.25">
      <c r="B51" s="157">
        <v>37</v>
      </c>
      <c r="C51" s="158"/>
      <c r="D51" s="159"/>
      <c r="E51" s="154"/>
      <c r="F51" s="159"/>
      <c r="G51" s="159"/>
      <c r="H51" s="154"/>
      <c r="I51" s="154"/>
      <c r="J51" s="194" t="str">
        <f>IF(Risikolog[[#This Row],[Sand-synlig-hed]]*Risikolog[[#This Row],[Konse-kvens]]=0,"",Risikolog[[#This Row],[Sand-synlig-hed]]*Risikolog[[#This Row],[Konse-kvens]]+Risikolog[[#This Row],[Risiko-id]]/10^8)</f>
        <v/>
      </c>
      <c r="K51" s="149"/>
      <c r="L51" s="160" t="str">
        <f ca="1">IFERROR((VLOOKUP(Risikolog[[#This Row],[Forventet tidspunkt for indtræffen ]],Lister!L$2:M$55,2)-TODAY())/30+Risikolog[[#This Row],[Risiko-id]]/10^8,"")</f>
        <v/>
      </c>
      <c r="M51" s="159"/>
      <c r="N51" s="159"/>
      <c r="O51" s="159"/>
      <c r="P51" s="154"/>
      <c r="Q51" s="154"/>
      <c r="R51" s="154"/>
      <c r="S51" s="154"/>
      <c r="T51" s="194" t="str">
        <f>IF(Risikolog[[#This Row],[Sand-synlighed efter tiltag]]*Risikolog[[#This Row],[Konse-kvens efter tiltag]]=0,"",Risikolog[[#This Row],[Sand-synlighed efter tiltag]]*Risikolog[[#This Row],[Konse-kvens efter tiltag]]+Risikolog[[#This Row],[Risiko-id]]/10^8)</f>
        <v/>
      </c>
      <c r="U51" s="159"/>
      <c r="V51" s="156"/>
      <c r="W51" s="151"/>
      <c r="X51" s="71"/>
    </row>
    <row r="52" spans="2:24" s="142" customFormat="1" ht="15" x14ac:dyDescent="0.25">
      <c r="B52" s="157">
        <v>38</v>
      </c>
      <c r="C52" s="158"/>
      <c r="D52" s="159"/>
      <c r="E52" s="154"/>
      <c r="F52" s="159"/>
      <c r="G52" s="159"/>
      <c r="H52" s="154"/>
      <c r="I52" s="154"/>
      <c r="J52" s="194" t="str">
        <f>IF(Risikolog[[#This Row],[Sand-synlig-hed]]*Risikolog[[#This Row],[Konse-kvens]]=0,"",Risikolog[[#This Row],[Sand-synlig-hed]]*Risikolog[[#This Row],[Konse-kvens]]+Risikolog[[#This Row],[Risiko-id]]/10^8)</f>
        <v/>
      </c>
      <c r="K52" s="149"/>
      <c r="L52" s="160" t="str">
        <f ca="1">IFERROR((VLOOKUP(Risikolog[[#This Row],[Forventet tidspunkt for indtræffen ]],Lister!L$2:M$55,2)-TODAY())/30+Risikolog[[#This Row],[Risiko-id]]/10^8,"")</f>
        <v/>
      </c>
      <c r="M52" s="159"/>
      <c r="N52" s="159"/>
      <c r="O52" s="159"/>
      <c r="P52" s="154"/>
      <c r="Q52" s="154"/>
      <c r="R52" s="154"/>
      <c r="S52" s="154"/>
      <c r="T52" s="194" t="str">
        <f>IF(Risikolog[[#This Row],[Sand-synlighed efter tiltag]]*Risikolog[[#This Row],[Konse-kvens efter tiltag]]=0,"",Risikolog[[#This Row],[Sand-synlighed efter tiltag]]*Risikolog[[#This Row],[Konse-kvens efter tiltag]]+Risikolog[[#This Row],[Risiko-id]]/10^8)</f>
        <v/>
      </c>
      <c r="U52" s="159"/>
      <c r="V52" s="156"/>
      <c r="W52" s="151"/>
      <c r="X52" s="71"/>
    </row>
    <row r="53" spans="2:24" s="142" customFormat="1" ht="15" x14ac:dyDescent="0.25">
      <c r="B53" s="157">
        <v>39</v>
      </c>
      <c r="C53" s="158"/>
      <c r="D53" s="159"/>
      <c r="E53" s="154"/>
      <c r="F53" s="159"/>
      <c r="G53" s="159"/>
      <c r="H53" s="154"/>
      <c r="I53" s="154"/>
      <c r="J53" s="194" t="str">
        <f>IF(Risikolog[[#This Row],[Sand-synlig-hed]]*Risikolog[[#This Row],[Konse-kvens]]=0,"",Risikolog[[#This Row],[Sand-synlig-hed]]*Risikolog[[#This Row],[Konse-kvens]]+Risikolog[[#This Row],[Risiko-id]]/10^8)</f>
        <v/>
      </c>
      <c r="K53" s="149"/>
      <c r="L53" s="160" t="str">
        <f ca="1">IFERROR((VLOOKUP(Risikolog[[#This Row],[Forventet tidspunkt for indtræffen ]],Lister!L$2:M$55,2)-TODAY())/30+Risikolog[[#This Row],[Risiko-id]]/10^8,"")</f>
        <v/>
      </c>
      <c r="M53" s="159"/>
      <c r="N53" s="159"/>
      <c r="O53" s="159"/>
      <c r="P53" s="154"/>
      <c r="Q53" s="154"/>
      <c r="R53" s="154"/>
      <c r="S53" s="154"/>
      <c r="T53" s="194" t="str">
        <f>IF(Risikolog[[#This Row],[Sand-synlighed efter tiltag]]*Risikolog[[#This Row],[Konse-kvens efter tiltag]]=0,"",Risikolog[[#This Row],[Sand-synlighed efter tiltag]]*Risikolog[[#This Row],[Konse-kvens efter tiltag]]+Risikolog[[#This Row],[Risiko-id]]/10^8)</f>
        <v/>
      </c>
      <c r="U53" s="159"/>
      <c r="V53" s="156"/>
      <c r="W53" s="151"/>
      <c r="X53" s="71"/>
    </row>
    <row r="54" spans="2:24" s="142" customFormat="1" ht="15" x14ac:dyDescent="0.25">
      <c r="B54" s="161">
        <v>40</v>
      </c>
      <c r="C54" s="162"/>
      <c r="D54" s="163"/>
      <c r="E54" s="164"/>
      <c r="F54" s="163"/>
      <c r="G54" s="163"/>
      <c r="H54" s="164"/>
      <c r="I54" s="164"/>
      <c r="J54" s="195" t="str">
        <f>IF(Risikolog[[#This Row],[Sand-synlig-hed]]*Risikolog[[#This Row],[Konse-kvens]]=0,"",Risikolog[[#This Row],[Sand-synlig-hed]]*Risikolog[[#This Row],[Konse-kvens]]+Risikolog[[#This Row],[Risiko-id]]/10^8)</f>
        <v/>
      </c>
      <c r="K54" s="149"/>
      <c r="L54" s="165" t="str">
        <f ca="1">IFERROR((VLOOKUP(Risikolog[[#This Row],[Forventet tidspunkt for indtræffen ]],Lister!L$2:M$55,2)-TODAY())/30+Risikolog[[#This Row],[Risiko-id]]/10^8,"")</f>
        <v/>
      </c>
      <c r="M54" s="163"/>
      <c r="N54" s="163"/>
      <c r="O54" s="163"/>
      <c r="P54" s="164"/>
      <c r="Q54" s="164"/>
      <c r="R54" s="164"/>
      <c r="S54" s="164"/>
      <c r="T54" s="195" t="str">
        <f>IF(Risikolog[[#This Row],[Sand-synlighed efter tiltag]]*Risikolog[[#This Row],[Konse-kvens efter tiltag]]=0,"",Risikolog[[#This Row],[Sand-synlighed efter tiltag]]*Risikolog[[#This Row],[Konse-kvens efter tiltag]]+Risikolog[[#This Row],[Risiko-id]]/10^8)</f>
        <v/>
      </c>
      <c r="U54" s="163"/>
      <c r="V54" s="166"/>
      <c r="W54" s="151"/>
      <c r="X54" s="71"/>
    </row>
    <row r="55" spans="2:24" ht="15" x14ac:dyDescent="0.25">
      <c r="B55" s="157">
        <v>41</v>
      </c>
      <c r="C55" s="174"/>
      <c r="D55" s="174"/>
      <c r="E55" s="159"/>
      <c r="F55" s="174"/>
      <c r="G55" s="159"/>
      <c r="H55" s="174"/>
      <c r="I55" s="174"/>
      <c r="J55" s="196" t="str">
        <f>IF(Risikolog[[#This Row],[Sand-synlig-hed]]*Risikolog[[#This Row],[Konse-kvens]]=0,"",Risikolog[[#This Row],[Sand-synlig-hed]]*Risikolog[[#This Row],[Konse-kvens]]+Risikolog[[#This Row],[Risiko-id]]/10^8)</f>
        <v/>
      </c>
      <c r="K55" s="149"/>
      <c r="L55" s="175" t="str">
        <f ca="1">IFERROR((VLOOKUP(Risikolog[[#This Row],[Forventet tidspunkt for indtræffen ]],Lister!L$2:M$55,2)-TODAY())/30+Risikolog[[#This Row],[Risiko-id]]/10^8,"")</f>
        <v/>
      </c>
      <c r="M55" s="159"/>
      <c r="N55" s="174"/>
      <c r="O55" s="174"/>
      <c r="P55" s="174"/>
      <c r="Q55" s="174"/>
      <c r="R55" s="174"/>
      <c r="S55" s="174"/>
      <c r="T55" s="196" t="str">
        <f>IF(Risikolog[[#This Row],[Sand-synlighed efter tiltag]]*Risikolog[[#This Row],[Konse-kvens efter tiltag]]=0,"",Risikolog[[#This Row],[Sand-synlighed efter tiltag]]*Risikolog[[#This Row],[Konse-kvens efter tiltag]]+Risikolog[[#This Row],[Risiko-id]]/10^8)</f>
        <v/>
      </c>
      <c r="U55" s="174"/>
      <c r="V55" s="174"/>
      <c r="W55" s="151"/>
      <c r="X55" s="71"/>
    </row>
    <row r="56" spans="2:24" ht="15" x14ac:dyDescent="0.25">
      <c r="B56" s="157">
        <v>42</v>
      </c>
      <c r="C56" s="174"/>
      <c r="D56" s="174"/>
      <c r="E56" s="159"/>
      <c r="F56" s="174"/>
      <c r="G56" s="159"/>
      <c r="H56" s="174"/>
      <c r="I56" s="174"/>
      <c r="J56" s="196" t="str">
        <f>IF(Risikolog[[#This Row],[Sand-synlig-hed]]*Risikolog[[#This Row],[Konse-kvens]]=0,"",Risikolog[[#This Row],[Sand-synlig-hed]]*Risikolog[[#This Row],[Konse-kvens]]+Risikolog[[#This Row],[Risiko-id]]/10^8)</f>
        <v/>
      </c>
      <c r="K56" s="149"/>
      <c r="L56" s="175" t="str">
        <f ca="1">IFERROR((VLOOKUP(Risikolog[[#This Row],[Forventet tidspunkt for indtræffen ]],Lister!L$2:M$55,2)-TODAY())/30+Risikolog[[#This Row],[Risiko-id]]/10^8,"")</f>
        <v/>
      </c>
      <c r="M56" s="159"/>
      <c r="N56" s="174"/>
      <c r="O56" s="174"/>
      <c r="P56" s="174"/>
      <c r="Q56" s="174"/>
      <c r="R56" s="174"/>
      <c r="S56" s="174"/>
      <c r="T56" s="196" t="str">
        <f>IF(Risikolog[[#This Row],[Sand-synlighed efter tiltag]]*Risikolog[[#This Row],[Konse-kvens efter tiltag]]=0,"",Risikolog[[#This Row],[Sand-synlighed efter tiltag]]*Risikolog[[#This Row],[Konse-kvens efter tiltag]]+Risikolog[[#This Row],[Risiko-id]]/10^8)</f>
        <v/>
      </c>
      <c r="U56" s="174"/>
      <c r="V56" s="174"/>
      <c r="W56" s="151"/>
      <c r="X56" s="71"/>
    </row>
    <row r="57" spans="2:24" ht="15" x14ac:dyDescent="0.25">
      <c r="B57" s="157">
        <v>43</v>
      </c>
      <c r="C57" s="174"/>
      <c r="D57" s="174"/>
      <c r="E57" s="159"/>
      <c r="F57" s="174"/>
      <c r="G57" s="159"/>
      <c r="H57" s="174"/>
      <c r="I57" s="174"/>
      <c r="J57" s="196" t="str">
        <f>IF(Risikolog[[#This Row],[Sand-synlig-hed]]*Risikolog[[#This Row],[Konse-kvens]]=0,"",Risikolog[[#This Row],[Sand-synlig-hed]]*Risikolog[[#This Row],[Konse-kvens]]+Risikolog[[#This Row],[Risiko-id]]/10^8)</f>
        <v/>
      </c>
      <c r="K57" s="149"/>
      <c r="L57" s="175" t="str">
        <f ca="1">IFERROR((VLOOKUP(Risikolog[[#This Row],[Forventet tidspunkt for indtræffen ]],Lister!L$2:M$55,2)-TODAY())/30+Risikolog[[#This Row],[Risiko-id]]/10^8,"")</f>
        <v/>
      </c>
      <c r="M57" s="159"/>
      <c r="N57" s="174"/>
      <c r="O57" s="174"/>
      <c r="P57" s="174"/>
      <c r="Q57" s="174"/>
      <c r="R57" s="174"/>
      <c r="S57" s="174"/>
      <c r="T57" s="196" t="str">
        <f>IF(Risikolog[[#This Row],[Sand-synlighed efter tiltag]]*Risikolog[[#This Row],[Konse-kvens efter tiltag]]=0,"",Risikolog[[#This Row],[Sand-synlighed efter tiltag]]*Risikolog[[#This Row],[Konse-kvens efter tiltag]]+Risikolog[[#This Row],[Risiko-id]]/10^8)</f>
        <v/>
      </c>
      <c r="U57" s="174"/>
      <c r="V57" s="174"/>
      <c r="W57" s="151"/>
      <c r="X57" s="71"/>
    </row>
    <row r="58" spans="2:24" ht="15" x14ac:dyDescent="0.25">
      <c r="B58" s="161">
        <v>44</v>
      </c>
      <c r="C58" s="174"/>
      <c r="D58" s="174"/>
      <c r="E58" s="159"/>
      <c r="F58" s="174"/>
      <c r="G58" s="159"/>
      <c r="H58" s="174"/>
      <c r="I58" s="174"/>
      <c r="J58" s="196" t="str">
        <f>IF(Risikolog[[#This Row],[Sand-synlig-hed]]*Risikolog[[#This Row],[Konse-kvens]]=0,"",Risikolog[[#This Row],[Sand-synlig-hed]]*Risikolog[[#This Row],[Konse-kvens]]+Risikolog[[#This Row],[Risiko-id]]/10^8)</f>
        <v/>
      </c>
      <c r="K58" s="149"/>
      <c r="L58" s="175" t="str">
        <f ca="1">IFERROR((VLOOKUP(Risikolog[[#This Row],[Forventet tidspunkt for indtræffen ]],Lister!L$2:M$55,2)-TODAY())/30+Risikolog[[#This Row],[Risiko-id]]/10^8,"")</f>
        <v/>
      </c>
      <c r="M58" s="159"/>
      <c r="N58" s="174"/>
      <c r="O58" s="174"/>
      <c r="P58" s="174"/>
      <c r="Q58" s="174"/>
      <c r="R58" s="174"/>
      <c r="S58" s="174"/>
      <c r="T58" s="196" t="str">
        <f>IF(Risikolog[[#This Row],[Sand-synlighed efter tiltag]]*Risikolog[[#This Row],[Konse-kvens efter tiltag]]=0,"",Risikolog[[#This Row],[Sand-synlighed efter tiltag]]*Risikolog[[#This Row],[Konse-kvens efter tiltag]]+Risikolog[[#This Row],[Risiko-id]]/10^8)</f>
        <v/>
      </c>
      <c r="U58" s="174"/>
      <c r="V58" s="174"/>
      <c r="W58" s="151"/>
      <c r="X58" s="71"/>
    </row>
    <row r="59" spans="2:24" ht="15" x14ac:dyDescent="0.25">
      <c r="B59" s="157">
        <v>45</v>
      </c>
      <c r="C59" s="174"/>
      <c r="D59" s="174"/>
      <c r="E59" s="159"/>
      <c r="F59" s="174"/>
      <c r="G59" s="159"/>
      <c r="H59" s="174"/>
      <c r="I59" s="174"/>
      <c r="J59" s="196" t="str">
        <f>IF(Risikolog[[#This Row],[Sand-synlig-hed]]*Risikolog[[#This Row],[Konse-kvens]]=0,"",Risikolog[[#This Row],[Sand-synlig-hed]]*Risikolog[[#This Row],[Konse-kvens]]+Risikolog[[#This Row],[Risiko-id]]/10^8)</f>
        <v/>
      </c>
      <c r="K59" s="149"/>
      <c r="L59" s="175" t="str">
        <f ca="1">IFERROR((VLOOKUP(Risikolog[[#This Row],[Forventet tidspunkt for indtræffen ]],Lister!L$2:M$55,2)-TODAY())/30+Risikolog[[#This Row],[Risiko-id]]/10^8,"")</f>
        <v/>
      </c>
      <c r="M59" s="159"/>
      <c r="N59" s="174"/>
      <c r="O59" s="174"/>
      <c r="P59" s="174"/>
      <c r="Q59" s="174"/>
      <c r="R59" s="174"/>
      <c r="S59" s="174"/>
      <c r="T59" s="196" t="str">
        <f>IF(Risikolog[[#This Row],[Sand-synlighed efter tiltag]]*Risikolog[[#This Row],[Konse-kvens efter tiltag]]=0,"",Risikolog[[#This Row],[Sand-synlighed efter tiltag]]*Risikolog[[#This Row],[Konse-kvens efter tiltag]]+Risikolog[[#This Row],[Risiko-id]]/10^8)</f>
        <v/>
      </c>
      <c r="U59" s="174"/>
      <c r="V59" s="174"/>
      <c r="W59" s="151"/>
      <c r="X59" s="71"/>
    </row>
    <row r="60" spans="2:24" ht="15" x14ac:dyDescent="0.25">
      <c r="B60" s="157">
        <v>46</v>
      </c>
      <c r="C60" s="174"/>
      <c r="D60" s="174"/>
      <c r="E60" s="159"/>
      <c r="F60" s="174"/>
      <c r="G60" s="159"/>
      <c r="H60" s="174"/>
      <c r="I60" s="174"/>
      <c r="J60" s="196" t="str">
        <f>IF(Risikolog[[#This Row],[Sand-synlig-hed]]*Risikolog[[#This Row],[Konse-kvens]]=0,"",Risikolog[[#This Row],[Sand-synlig-hed]]*Risikolog[[#This Row],[Konse-kvens]]+Risikolog[[#This Row],[Risiko-id]]/10^8)</f>
        <v/>
      </c>
      <c r="K60" s="149"/>
      <c r="L60" s="175" t="str">
        <f ca="1">IFERROR((VLOOKUP(Risikolog[[#This Row],[Forventet tidspunkt for indtræffen ]],Lister!L$2:M$55,2)-TODAY())/30+Risikolog[[#This Row],[Risiko-id]]/10^8,"")</f>
        <v/>
      </c>
      <c r="M60" s="159"/>
      <c r="N60" s="174"/>
      <c r="O60" s="174"/>
      <c r="P60" s="174"/>
      <c r="Q60" s="174"/>
      <c r="R60" s="174"/>
      <c r="S60" s="174"/>
      <c r="T60" s="196" t="str">
        <f>IF(Risikolog[[#This Row],[Sand-synlighed efter tiltag]]*Risikolog[[#This Row],[Konse-kvens efter tiltag]]=0,"",Risikolog[[#This Row],[Sand-synlighed efter tiltag]]*Risikolog[[#This Row],[Konse-kvens efter tiltag]]+Risikolog[[#This Row],[Risiko-id]]/10^8)</f>
        <v/>
      </c>
      <c r="U60" s="174"/>
      <c r="V60" s="174"/>
      <c r="W60" s="151"/>
      <c r="X60" s="71"/>
    </row>
    <row r="61" spans="2:24" ht="15" x14ac:dyDescent="0.25">
      <c r="B61" s="157">
        <v>47</v>
      </c>
      <c r="C61" s="174"/>
      <c r="D61" s="174"/>
      <c r="E61" s="159"/>
      <c r="F61" s="174"/>
      <c r="G61" s="159"/>
      <c r="H61" s="174"/>
      <c r="I61" s="174"/>
      <c r="J61" s="196" t="str">
        <f>IF(Risikolog[[#This Row],[Sand-synlig-hed]]*Risikolog[[#This Row],[Konse-kvens]]=0,"",Risikolog[[#This Row],[Sand-synlig-hed]]*Risikolog[[#This Row],[Konse-kvens]]+Risikolog[[#This Row],[Risiko-id]]/10^8)</f>
        <v/>
      </c>
      <c r="K61" s="149"/>
      <c r="L61" s="175" t="str">
        <f ca="1">IFERROR((VLOOKUP(Risikolog[[#This Row],[Forventet tidspunkt for indtræffen ]],Lister!L$2:M$55,2)-TODAY())/30+Risikolog[[#This Row],[Risiko-id]]/10^8,"")</f>
        <v/>
      </c>
      <c r="M61" s="159"/>
      <c r="N61" s="174"/>
      <c r="O61" s="174"/>
      <c r="P61" s="174"/>
      <c r="Q61" s="174"/>
      <c r="R61" s="174"/>
      <c r="S61" s="174"/>
      <c r="T61" s="196" t="str">
        <f>IF(Risikolog[[#This Row],[Sand-synlighed efter tiltag]]*Risikolog[[#This Row],[Konse-kvens efter tiltag]]=0,"",Risikolog[[#This Row],[Sand-synlighed efter tiltag]]*Risikolog[[#This Row],[Konse-kvens efter tiltag]]+Risikolog[[#This Row],[Risiko-id]]/10^8)</f>
        <v/>
      </c>
      <c r="U61" s="174"/>
      <c r="V61" s="174"/>
      <c r="W61" s="151"/>
      <c r="X61" s="71"/>
    </row>
    <row r="62" spans="2:24" ht="15" x14ac:dyDescent="0.25">
      <c r="B62" s="161">
        <v>48</v>
      </c>
      <c r="C62" s="174"/>
      <c r="D62" s="174"/>
      <c r="E62" s="159"/>
      <c r="F62" s="174"/>
      <c r="G62" s="159"/>
      <c r="H62" s="174"/>
      <c r="I62" s="174"/>
      <c r="J62" s="196" t="str">
        <f>IF(Risikolog[[#This Row],[Sand-synlig-hed]]*Risikolog[[#This Row],[Konse-kvens]]=0,"",Risikolog[[#This Row],[Sand-synlig-hed]]*Risikolog[[#This Row],[Konse-kvens]]+Risikolog[[#This Row],[Risiko-id]]/10^8)</f>
        <v/>
      </c>
      <c r="K62" s="149"/>
      <c r="L62" s="175" t="str">
        <f ca="1">IFERROR((VLOOKUP(Risikolog[[#This Row],[Forventet tidspunkt for indtræffen ]],Lister!L$2:M$55,2)-TODAY())/30+Risikolog[[#This Row],[Risiko-id]]/10^8,"")</f>
        <v/>
      </c>
      <c r="M62" s="159"/>
      <c r="N62" s="174"/>
      <c r="O62" s="174"/>
      <c r="P62" s="174"/>
      <c r="Q62" s="174"/>
      <c r="R62" s="174"/>
      <c r="S62" s="174"/>
      <c r="T62" s="196" t="str">
        <f>IF(Risikolog[[#This Row],[Sand-synlighed efter tiltag]]*Risikolog[[#This Row],[Konse-kvens efter tiltag]]=0,"",Risikolog[[#This Row],[Sand-synlighed efter tiltag]]*Risikolog[[#This Row],[Konse-kvens efter tiltag]]+Risikolog[[#This Row],[Risiko-id]]/10^8)</f>
        <v/>
      </c>
      <c r="U62" s="174"/>
      <c r="V62" s="174"/>
      <c r="W62" s="151"/>
      <c r="X62" s="71"/>
    </row>
    <row r="63" spans="2:24" ht="15" x14ac:dyDescent="0.25">
      <c r="B63" s="157">
        <v>49</v>
      </c>
      <c r="C63" s="174"/>
      <c r="D63" s="174"/>
      <c r="E63" s="159"/>
      <c r="F63" s="174"/>
      <c r="G63" s="159"/>
      <c r="H63" s="174"/>
      <c r="I63" s="174"/>
      <c r="J63" s="196" t="str">
        <f>IF(Risikolog[[#This Row],[Sand-synlig-hed]]*Risikolog[[#This Row],[Konse-kvens]]=0,"",Risikolog[[#This Row],[Sand-synlig-hed]]*Risikolog[[#This Row],[Konse-kvens]]+Risikolog[[#This Row],[Risiko-id]]/10^8)</f>
        <v/>
      </c>
      <c r="K63" s="149"/>
      <c r="L63" s="175" t="str">
        <f ca="1">IFERROR((VLOOKUP(Risikolog[[#This Row],[Forventet tidspunkt for indtræffen ]],Lister!L$2:M$55,2)-TODAY())/30+Risikolog[[#This Row],[Risiko-id]]/10^8,"")</f>
        <v/>
      </c>
      <c r="M63" s="159"/>
      <c r="N63" s="174"/>
      <c r="O63" s="174"/>
      <c r="P63" s="174"/>
      <c r="Q63" s="174"/>
      <c r="R63" s="174"/>
      <c r="S63" s="174"/>
      <c r="T63" s="196" t="str">
        <f>IF(Risikolog[[#This Row],[Sand-synlighed efter tiltag]]*Risikolog[[#This Row],[Konse-kvens efter tiltag]]=0,"",Risikolog[[#This Row],[Sand-synlighed efter tiltag]]*Risikolog[[#This Row],[Konse-kvens efter tiltag]]+Risikolog[[#This Row],[Risiko-id]]/10^8)</f>
        <v/>
      </c>
      <c r="U63" s="174"/>
      <c r="V63" s="174"/>
      <c r="W63" s="151"/>
      <c r="X63" s="71"/>
    </row>
    <row r="64" spans="2:24" ht="15" x14ac:dyDescent="0.25">
      <c r="B64" s="157">
        <v>50</v>
      </c>
      <c r="C64" s="174"/>
      <c r="D64" s="174"/>
      <c r="E64" s="159"/>
      <c r="F64" s="174"/>
      <c r="G64" s="159"/>
      <c r="H64" s="174"/>
      <c r="I64" s="174"/>
      <c r="J64" s="196" t="str">
        <f>IF(Risikolog[[#This Row],[Sand-synlig-hed]]*Risikolog[[#This Row],[Konse-kvens]]=0,"",Risikolog[[#This Row],[Sand-synlig-hed]]*Risikolog[[#This Row],[Konse-kvens]]+Risikolog[[#This Row],[Risiko-id]]/10^8)</f>
        <v/>
      </c>
      <c r="K64" s="149"/>
      <c r="L64" s="175" t="str">
        <f ca="1">IFERROR((VLOOKUP(Risikolog[[#This Row],[Forventet tidspunkt for indtræffen ]],Lister!L$2:M$55,2)-TODAY())/30+Risikolog[[#This Row],[Risiko-id]]/10^8,"")</f>
        <v/>
      </c>
      <c r="M64" s="159"/>
      <c r="N64" s="174"/>
      <c r="O64" s="174"/>
      <c r="P64" s="174"/>
      <c r="Q64" s="174"/>
      <c r="R64" s="174"/>
      <c r="S64" s="174"/>
      <c r="T64" s="196" t="str">
        <f>IF(Risikolog[[#This Row],[Sand-synlighed efter tiltag]]*Risikolog[[#This Row],[Konse-kvens efter tiltag]]=0,"",Risikolog[[#This Row],[Sand-synlighed efter tiltag]]*Risikolog[[#This Row],[Konse-kvens efter tiltag]]+Risikolog[[#This Row],[Risiko-id]]/10^8)</f>
        <v/>
      </c>
      <c r="U64" s="174"/>
      <c r="V64" s="174"/>
      <c r="W64" s="151"/>
      <c r="X64" s="71"/>
    </row>
    <row r="65" spans="2:24" ht="15" x14ac:dyDescent="0.25">
      <c r="B65" s="157">
        <v>51</v>
      </c>
      <c r="C65" s="174"/>
      <c r="D65" s="174"/>
      <c r="E65" s="159"/>
      <c r="F65" s="174"/>
      <c r="G65" s="159"/>
      <c r="H65" s="174"/>
      <c r="I65" s="174"/>
      <c r="J65" s="196" t="str">
        <f>IF(Risikolog[[#This Row],[Sand-synlig-hed]]*Risikolog[[#This Row],[Konse-kvens]]=0,"",Risikolog[[#This Row],[Sand-synlig-hed]]*Risikolog[[#This Row],[Konse-kvens]]+Risikolog[[#This Row],[Risiko-id]]/10^8)</f>
        <v/>
      </c>
      <c r="K65" s="149"/>
      <c r="L65" s="175" t="str">
        <f ca="1">IFERROR((VLOOKUP(Risikolog[[#This Row],[Forventet tidspunkt for indtræffen ]],Lister!L$2:M$55,2)-TODAY())/30+Risikolog[[#This Row],[Risiko-id]]/10^8,"")</f>
        <v/>
      </c>
      <c r="M65" s="159"/>
      <c r="N65" s="174"/>
      <c r="O65" s="174"/>
      <c r="P65" s="174"/>
      <c r="Q65" s="174"/>
      <c r="R65" s="174"/>
      <c r="S65" s="174"/>
      <c r="T65" s="196" t="str">
        <f>IF(Risikolog[[#This Row],[Sand-synlighed efter tiltag]]*Risikolog[[#This Row],[Konse-kvens efter tiltag]]=0,"",Risikolog[[#This Row],[Sand-synlighed efter tiltag]]*Risikolog[[#This Row],[Konse-kvens efter tiltag]]+Risikolog[[#This Row],[Risiko-id]]/10^8)</f>
        <v/>
      </c>
      <c r="U65" s="174"/>
      <c r="V65" s="174"/>
      <c r="W65" s="151"/>
      <c r="X65" s="71"/>
    </row>
    <row r="66" spans="2:24" ht="15" x14ac:dyDescent="0.25">
      <c r="B66" s="161">
        <v>52</v>
      </c>
      <c r="C66" s="174"/>
      <c r="D66" s="174"/>
      <c r="E66" s="159"/>
      <c r="F66" s="174"/>
      <c r="G66" s="159"/>
      <c r="H66" s="174"/>
      <c r="I66" s="174"/>
      <c r="J66" s="196" t="str">
        <f>IF(Risikolog[[#This Row],[Sand-synlig-hed]]*Risikolog[[#This Row],[Konse-kvens]]=0,"",Risikolog[[#This Row],[Sand-synlig-hed]]*Risikolog[[#This Row],[Konse-kvens]]+Risikolog[[#This Row],[Risiko-id]]/10^8)</f>
        <v/>
      </c>
      <c r="K66" s="149"/>
      <c r="L66" s="175" t="str">
        <f ca="1">IFERROR((VLOOKUP(Risikolog[[#This Row],[Forventet tidspunkt for indtræffen ]],Lister!L$2:M$55,2)-TODAY())/30+Risikolog[[#This Row],[Risiko-id]]/10^8,"")</f>
        <v/>
      </c>
      <c r="M66" s="159"/>
      <c r="N66" s="174"/>
      <c r="O66" s="174"/>
      <c r="P66" s="174"/>
      <c r="Q66" s="174"/>
      <c r="R66" s="174"/>
      <c r="S66" s="174"/>
      <c r="T66" s="196" t="str">
        <f>IF(Risikolog[[#This Row],[Sand-synlighed efter tiltag]]*Risikolog[[#This Row],[Konse-kvens efter tiltag]]=0,"",Risikolog[[#This Row],[Sand-synlighed efter tiltag]]*Risikolog[[#This Row],[Konse-kvens efter tiltag]]+Risikolog[[#This Row],[Risiko-id]]/10^8)</f>
        <v/>
      </c>
      <c r="U66" s="174"/>
      <c r="V66" s="174"/>
      <c r="W66" s="151"/>
      <c r="X66" s="71"/>
    </row>
    <row r="67" spans="2:24" ht="15" x14ac:dyDescent="0.25">
      <c r="B67" s="157">
        <v>53</v>
      </c>
      <c r="C67" s="174"/>
      <c r="D67" s="174"/>
      <c r="E67" s="159"/>
      <c r="F67" s="174"/>
      <c r="G67" s="159"/>
      <c r="H67" s="174"/>
      <c r="I67" s="174"/>
      <c r="J67" s="196" t="str">
        <f>IF(Risikolog[[#This Row],[Sand-synlig-hed]]*Risikolog[[#This Row],[Konse-kvens]]=0,"",Risikolog[[#This Row],[Sand-synlig-hed]]*Risikolog[[#This Row],[Konse-kvens]]+Risikolog[[#This Row],[Risiko-id]]/10^8)</f>
        <v/>
      </c>
      <c r="K67" s="149"/>
      <c r="L67" s="175" t="str">
        <f ca="1">IFERROR((VLOOKUP(Risikolog[[#This Row],[Forventet tidspunkt for indtræffen ]],Lister!L$2:M$55,2)-TODAY())/30+Risikolog[[#This Row],[Risiko-id]]/10^8,"")</f>
        <v/>
      </c>
      <c r="M67" s="159"/>
      <c r="N67" s="174"/>
      <c r="O67" s="174"/>
      <c r="P67" s="174"/>
      <c r="Q67" s="174"/>
      <c r="R67" s="174"/>
      <c r="S67" s="174"/>
      <c r="T67" s="196" t="str">
        <f>IF(Risikolog[[#This Row],[Sand-synlighed efter tiltag]]*Risikolog[[#This Row],[Konse-kvens efter tiltag]]=0,"",Risikolog[[#This Row],[Sand-synlighed efter tiltag]]*Risikolog[[#This Row],[Konse-kvens efter tiltag]]+Risikolog[[#This Row],[Risiko-id]]/10^8)</f>
        <v/>
      </c>
      <c r="U67" s="174"/>
      <c r="V67" s="174"/>
      <c r="W67" s="151"/>
      <c r="X67" s="71"/>
    </row>
    <row r="68" spans="2:24" ht="15" x14ac:dyDescent="0.25">
      <c r="B68" s="157">
        <v>54</v>
      </c>
      <c r="C68" s="174"/>
      <c r="D68" s="174"/>
      <c r="E68" s="159"/>
      <c r="F68" s="174"/>
      <c r="G68" s="159"/>
      <c r="H68" s="174"/>
      <c r="I68" s="174"/>
      <c r="J68" s="196" t="str">
        <f>IF(Risikolog[[#This Row],[Sand-synlig-hed]]*Risikolog[[#This Row],[Konse-kvens]]=0,"",Risikolog[[#This Row],[Sand-synlig-hed]]*Risikolog[[#This Row],[Konse-kvens]]+Risikolog[[#This Row],[Risiko-id]]/10^8)</f>
        <v/>
      </c>
      <c r="K68" s="149"/>
      <c r="L68" s="175" t="str">
        <f ca="1">IFERROR((VLOOKUP(Risikolog[[#This Row],[Forventet tidspunkt for indtræffen ]],Lister!L$2:M$55,2)-TODAY())/30+Risikolog[[#This Row],[Risiko-id]]/10^8,"")</f>
        <v/>
      </c>
      <c r="M68" s="159"/>
      <c r="N68" s="174"/>
      <c r="O68" s="174"/>
      <c r="P68" s="174"/>
      <c r="Q68" s="174"/>
      <c r="R68" s="174"/>
      <c r="S68" s="174"/>
      <c r="T68" s="196" t="str">
        <f>IF(Risikolog[[#This Row],[Sand-synlighed efter tiltag]]*Risikolog[[#This Row],[Konse-kvens efter tiltag]]=0,"",Risikolog[[#This Row],[Sand-synlighed efter tiltag]]*Risikolog[[#This Row],[Konse-kvens efter tiltag]]+Risikolog[[#This Row],[Risiko-id]]/10^8)</f>
        <v/>
      </c>
      <c r="U68" s="174"/>
      <c r="V68" s="174"/>
      <c r="W68" s="151"/>
      <c r="X68" s="71"/>
    </row>
    <row r="69" spans="2:24" ht="15" x14ac:dyDescent="0.25">
      <c r="B69" s="157">
        <v>55</v>
      </c>
      <c r="C69" s="174"/>
      <c r="D69" s="174"/>
      <c r="E69" s="159"/>
      <c r="F69" s="174"/>
      <c r="G69" s="159"/>
      <c r="H69" s="174"/>
      <c r="I69" s="174"/>
      <c r="J69" s="196" t="str">
        <f>IF(Risikolog[[#This Row],[Sand-synlig-hed]]*Risikolog[[#This Row],[Konse-kvens]]=0,"",Risikolog[[#This Row],[Sand-synlig-hed]]*Risikolog[[#This Row],[Konse-kvens]]+Risikolog[[#This Row],[Risiko-id]]/10^8)</f>
        <v/>
      </c>
      <c r="K69" s="149"/>
      <c r="L69" s="175" t="str">
        <f ca="1">IFERROR((VLOOKUP(Risikolog[[#This Row],[Forventet tidspunkt for indtræffen ]],Lister!L$2:M$55,2)-TODAY())/30+Risikolog[[#This Row],[Risiko-id]]/10^8,"")</f>
        <v/>
      </c>
      <c r="M69" s="159"/>
      <c r="N69" s="174"/>
      <c r="O69" s="174"/>
      <c r="P69" s="174"/>
      <c r="Q69" s="174"/>
      <c r="R69" s="174"/>
      <c r="S69" s="174"/>
      <c r="T69" s="196" t="str">
        <f>IF(Risikolog[[#This Row],[Sand-synlighed efter tiltag]]*Risikolog[[#This Row],[Konse-kvens efter tiltag]]=0,"",Risikolog[[#This Row],[Sand-synlighed efter tiltag]]*Risikolog[[#This Row],[Konse-kvens efter tiltag]]+Risikolog[[#This Row],[Risiko-id]]/10^8)</f>
        <v/>
      </c>
      <c r="U69" s="174"/>
      <c r="V69" s="174"/>
      <c r="W69" s="151"/>
      <c r="X69" s="71"/>
    </row>
    <row r="70" spans="2:24" ht="15" x14ac:dyDescent="0.25">
      <c r="B70" s="161">
        <v>56</v>
      </c>
      <c r="C70" s="174"/>
      <c r="D70" s="174"/>
      <c r="E70" s="159"/>
      <c r="F70" s="174"/>
      <c r="G70" s="159"/>
      <c r="H70" s="174"/>
      <c r="I70" s="174"/>
      <c r="J70" s="196" t="str">
        <f>IF(Risikolog[[#This Row],[Sand-synlig-hed]]*Risikolog[[#This Row],[Konse-kvens]]=0,"",Risikolog[[#This Row],[Sand-synlig-hed]]*Risikolog[[#This Row],[Konse-kvens]]+Risikolog[[#This Row],[Risiko-id]]/10^8)</f>
        <v/>
      </c>
      <c r="K70" s="149"/>
      <c r="L70" s="175" t="str">
        <f ca="1">IFERROR((VLOOKUP(Risikolog[[#This Row],[Forventet tidspunkt for indtræffen ]],Lister!L$2:M$55,2)-TODAY())/30+Risikolog[[#This Row],[Risiko-id]]/10^8,"")</f>
        <v/>
      </c>
      <c r="M70" s="159"/>
      <c r="N70" s="174"/>
      <c r="O70" s="174"/>
      <c r="P70" s="174"/>
      <c r="Q70" s="174"/>
      <c r="R70" s="174"/>
      <c r="S70" s="174"/>
      <c r="T70" s="196" t="str">
        <f>IF(Risikolog[[#This Row],[Sand-synlighed efter tiltag]]*Risikolog[[#This Row],[Konse-kvens efter tiltag]]=0,"",Risikolog[[#This Row],[Sand-synlighed efter tiltag]]*Risikolog[[#This Row],[Konse-kvens efter tiltag]]+Risikolog[[#This Row],[Risiko-id]]/10^8)</f>
        <v/>
      </c>
      <c r="U70" s="174"/>
      <c r="V70" s="174"/>
      <c r="W70" s="151"/>
      <c r="X70" s="71"/>
    </row>
    <row r="71" spans="2:24" ht="15" x14ac:dyDescent="0.25">
      <c r="B71" s="157">
        <v>57</v>
      </c>
      <c r="C71" s="174"/>
      <c r="D71" s="174"/>
      <c r="E71" s="159"/>
      <c r="F71" s="174"/>
      <c r="G71" s="159"/>
      <c r="H71" s="174"/>
      <c r="I71" s="174"/>
      <c r="J71" s="196" t="str">
        <f>IF(Risikolog[[#This Row],[Sand-synlig-hed]]*Risikolog[[#This Row],[Konse-kvens]]=0,"",Risikolog[[#This Row],[Sand-synlig-hed]]*Risikolog[[#This Row],[Konse-kvens]]+Risikolog[[#This Row],[Risiko-id]]/10^8)</f>
        <v/>
      </c>
      <c r="K71" s="149"/>
      <c r="L71" s="175" t="str">
        <f ca="1">IFERROR((VLOOKUP(Risikolog[[#This Row],[Forventet tidspunkt for indtræffen ]],Lister!L$2:M$55,2)-TODAY())/30+Risikolog[[#This Row],[Risiko-id]]/10^8,"")</f>
        <v/>
      </c>
      <c r="M71" s="159"/>
      <c r="N71" s="174"/>
      <c r="O71" s="174"/>
      <c r="P71" s="174"/>
      <c r="Q71" s="174"/>
      <c r="R71" s="174"/>
      <c r="S71" s="174"/>
      <c r="T71" s="196" t="str">
        <f>IF(Risikolog[[#This Row],[Sand-synlighed efter tiltag]]*Risikolog[[#This Row],[Konse-kvens efter tiltag]]=0,"",Risikolog[[#This Row],[Sand-synlighed efter tiltag]]*Risikolog[[#This Row],[Konse-kvens efter tiltag]]+Risikolog[[#This Row],[Risiko-id]]/10^8)</f>
        <v/>
      </c>
      <c r="U71" s="174"/>
      <c r="V71" s="174"/>
      <c r="W71" s="151"/>
      <c r="X71" s="71"/>
    </row>
    <row r="72" spans="2:24" ht="15" x14ac:dyDescent="0.25">
      <c r="B72" s="157">
        <v>58</v>
      </c>
      <c r="C72" s="174"/>
      <c r="D72" s="174"/>
      <c r="E72" s="159"/>
      <c r="F72" s="174"/>
      <c r="G72" s="159"/>
      <c r="H72" s="174"/>
      <c r="I72" s="174"/>
      <c r="J72" s="196" t="str">
        <f>IF(Risikolog[[#This Row],[Sand-synlig-hed]]*Risikolog[[#This Row],[Konse-kvens]]=0,"",Risikolog[[#This Row],[Sand-synlig-hed]]*Risikolog[[#This Row],[Konse-kvens]]+Risikolog[[#This Row],[Risiko-id]]/10^8)</f>
        <v/>
      </c>
      <c r="K72" s="149"/>
      <c r="L72" s="175" t="str">
        <f ca="1">IFERROR((VLOOKUP(Risikolog[[#This Row],[Forventet tidspunkt for indtræffen ]],Lister!L$2:M$55,2)-TODAY())/30+Risikolog[[#This Row],[Risiko-id]]/10^8,"")</f>
        <v/>
      </c>
      <c r="M72" s="159"/>
      <c r="N72" s="174"/>
      <c r="O72" s="174"/>
      <c r="P72" s="174"/>
      <c r="Q72" s="174"/>
      <c r="R72" s="174"/>
      <c r="S72" s="174"/>
      <c r="T72" s="196" t="str">
        <f>IF(Risikolog[[#This Row],[Sand-synlighed efter tiltag]]*Risikolog[[#This Row],[Konse-kvens efter tiltag]]=0,"",Risikolog[[#This Row],[Sand-synlighed efter tiltag]]*Risikolog[[#This Row],[Konse-kvens efter tiltag]]+Risikolog[[#This Row],[Risiko-id]]/10^8)</f>
        <v/>
      </c>
      <c r="U72" s="174"/>
      <c r="V72" s="174"/>
      <c r="W72" s="151"/>
      <c r="X72" s="71"/>
    </row>
    <row r="73" spans="2:24" ht="15" x14ac:dyDescent="0.25">
      <c r="B73" s="157">
        <v>59</v>
      </c>
      <c r="C73" s="174"/>
      <c r="D73" s="174"/>
      <c r="E73" s="159"/>
      <c r="F73" s="174"/>
      <c r="G73" s="159"/>
      <c r="H73" s="174"/>
      <c r="I73" s="174"/>
      <c r="J73" s="196" t="str">
        <f>IF(Risikolog[[#This Row],[Sand-synlig-hed]]*Risikolog[[#This Row],[Konse-kvens]]=0,"",Risikolog[[#This Row],[Sand-synlig-hed]]*Risikolog[[#This Row],[Konse-kvens]]+Risikolog[[#This Row],[Risiko-id]]/10^8)</f>
        <v/>
      </c>
      <c r="K73" s="149"/>
      <c r="L73" s="175" t="str">
        <f ca="1">IFERROR((VLOOKUP(Risikolog[[#This Row],[Forventet tidspunkt for indtræffen ]],Lister!L$2:M$55,2)-TODAY())/30+Risikolog[[#This Row],[Risiko-id]]/10^8,"")</f>
        <v/>
      </c>
      <c r="M73" s="159"/>
      <c r="N73" s="174"/>
      <c r="O73" s="174"/>
      <c r="P73" s="174"/>
      <c r="Q73" s="174"/>
      <c r="R73" s="174"/>
      <c r="S73" s="174"/>
      <c r="T73" s="196" t="str">
        <f>IF(Risikolog[[#This Row],[Sand-synlighed efter tiltag]]*Risikolog[[#This Row],[Konse-kvens efter tiltag]]=0,"",Risikolog[[#This Row],[Sand-synlighed efter tiltag]]*Risikolog[[#This Row],[Konse-kvens efter tiltag]]+Risikolog[[#This Row],[Risiko-id]]/10^8)</f>
        <v/>
      </c>
      <c r="U73" s="174"/>
      <c r="V73" s="174"/>
      <c r="W73" s="151"/>
      <c r="X73" s="71"/>
    </row>
    <row r="74" spans="2:24" ht="15" x14ac:dyDescent="0.25">
      <c r="B74" s="161">
        <v>60</v>
      </c>
      <c r="C74" s="174"/>
      <c r="D74" s="174"/>
      <c r="E74" s="159"/>
      <c r="F74" s="174"/>
      <c r="G74" s="159"/>
      <c r="H74" s="174"/>
      <c r="I74" s="174"/>
      <c r="J74" s="196" t="str">
        <f>IF(Risikolog[[#This Row],[Sand-synlig-hed]]*Risikolog[[#This Row],[Konse-kvens]]=0,"",Risikolog[[#This Row],[Sand-synlig-hed]]*Risikolog[[#This Row],[Konse-kvens]]+Risikolog[[#This Row],[Risiko-id]]/10^8)</f>
        <v/>
      </c>
      <c r="K74" s="149"/>
      <c r="L74" s="175" t="str">
        <f ca="1">IFERROR((VLOOKUP(Risikolog[[#This Row],[Forventet tidspunkt for indtræffen ]],Lister!L$2:M$55,2)-TODAY())/30+Risikolog[[#This Row],[Risiko-id]]/10^8,"")</f>
        <v/>
      </c>
      <c r="M74" s="159"/>
      <c r="N74" s="174"/>
      <c r="O74" s="174"/>
      <c r="P74" s="174"/>
      <c r="Q74" s="174"/>
      <c r="R74" s="174"/>
      <c r="S74" s="174"/>
      <c r="T74" s="196" t="str">
        <f>IF(Risikolog[[#This Row],[Sand-synlighed efter tiltag]]*Risikolog[[#This Row],[Konse-kvens efter tiltag]]=0,"",Risikolog[[#This Row],[Sand-synlighed efter tiltag]]*Risikolog[[#This Row],[Konse-kvens efter tiltag]]+Risikolog[[#This Row],[Risiko-id]]/10^8)</f>
        <v/>
      </c>
      <c r="U74" s="174"/>
      <c r="V74" s="174"/>
      <c r="W74" s="151"/>
      <c r="X74" s="71"/>
    </row>
    <row r="75" spans="2:24" ht="15" x14ac:dyDescent="0.25">
      <c r="B75" s="157">
        <v>61</v>
      </c>
      <c r="C75" s="174"/>
      <c r="D75" s="174"/>
      <c r="E75" s="159"/>
      <c r="F75" s="174"/>
      <c r="G75" s="159"/>
      <c r="H75" s="174"/>
      <c r="I75" s="174"/>
      <c r="J75" s="196" t="str">
        <f>IF(Risikolog[[#This Row],[Sand-synlig-hed]]*Risikolog[[#This Row],[Konse-kvens]]=0,"",Risikolog[[#This Row],[Sand-synlig-hed]]*Risikolog[[#This Row],[Konse-kvens]]+Risikolog[[#This Row],[Risiko-id]]/10^8)</f>
        <v/>
      </c>
      <c r="K75" s="149"/>
      <c r="L75" s="175" t="str">
        <f ca="1">IFERROR((VLOOKUP(Risikolog[[#This Row],[Forventet tidspunkt for indtræffen ]],Lister!L$2:M$55,2)-TODAY())/30+Risikolog[[#This Row],[Risiko-id]]/10^8,"")</f>
        <v/>
      </c>
      <c r="M75" s="159"/>
      <c r="N75" s="174"/>
      <c r="O75" s="174"/>
      <c r="P75" s="174"/>
      <c r="Q75" s="174"/>
      <c r="R75" s="174"/>
      <c r="S75" s="174"/>
      <c r="T75" s="196" t="str">
        <f>IF(Risikolog[[#This Row],[Sand-synlighed efter tiltag]]*Risikolog[[#This Row],[Konse-kvens efter tiltag]]=0,"",Risikolog[[#This Row],[Sand-synlighed efter tiltag]]*Risikolog[[#This Row],[Konse-kvens efter tiltag]]+Risikolog[[#This Row],[Risiko-id]]/10^8)</f>
        <v/>
      </c>
      <c r="U75" s="174"/>
      <c r="V75" s="174"/>
      <c r="W75" s="151"/>
      <c r="X75" s="71"/>
    </row>
    <row r="76" spans="2:24" ht="15" x14ac:dyDescent="0.25">
      <c r="B76" s="157">
        <v>62</v>
      </c>
      <c r="C76" s="174"/>
      <c r="D76" s="174"/>
      <c r="E76" s="159"/>
      <c r="F76" s="174"/>
      <c r="G76" s="159"/>
      <c r="H76" s="174"/>
      <c r="I76" s="174"/>
      <c r="J76" s="196" t="str">
        <f>IF(Risikolog[[#This Row],[Sand-synlig-hed]]*Risikolog[[#This Row],[Konse-kvens]]=0,"",Risikolog[[#This Row],[Sand-synlig-hed]]*Risikolog[[#This Row],[Konse-kvens]]+Risikolog[[#This Row],[Risiko-id]]/10^8)</f>
        <v/>
      </c>
      <c r="K76" s="149"/>
      <c r="L76" s="175" t="str">
        <f ca="1">IFERROR((VLOOKUP(Risikolog[[#This Row],[Forventet tidspunkt for indtræffen ]],Lister!L$2:M$55,2)-TODAY())/30+Risikolog[[#This Row],[Risiko-id]]/10^8,"")</f>
        <v/>
      </c>
      <c r="M76" s="159"/>
      <c r="N76" s="174"/>
      <c r="O76" s="174"/>
      <c r="P76" s="174"/>
      <c r="Q76" s="174"/>
      <c r="R76" s="174"/>
      <c r="S76" s="174"/>
      <c r="T76" s="196" t="str">
        <f>IF(Risikolog[[#This Row],[Sand-synlighed efter tiltag]]*Risikolog[[#This Row],[Konse-kvens efter tiltag]]=0,"",Risikolog[[#This Row],[Sand-synlighed efter tiltag]]*Risikolog[[#This Row],[Konse-kvens efter tiltag]]+Risikolog[[#This Row],[Risiko-id]]/10^8)</f>
        <v/>
      </c>
      <c r="U76" s="174"/>
      <c r="V76" s="174"/>
      <c r="W76" s="151"/>
      <c r="X76" s="71"/>
    </row>
    <row r="77" spans="2:24" ht="15" x14ac:dyDescent="0.25">
      <c r="B77" s="157">
        <v>63</v>
      </c>
      <c r="C77" s="174"/>
      <c r="D77" s="174"/>
      <c r="E77" s="159"/>
      <c r="F77" s="174"/>
      <c r="G77" s="159"/>
      <c r="H77" s="174"/>
      <c r="I77" s="174"/>
      <c r="J77" s="196" t="str">
        <f>IF(Risikolog[[#This Row],[Sand-synlig-hed]]*Risikolog[[#This Row],[Konse-kvens]]=0,"",Risikolog[[#This Row],[Sand-synlig-hed]]*Risikolog[[#This Row],[Konse-kvens]]+Risikolog[[#This Row],[Risiko-id]]/10^8)</f>
        <v/>
      </c>
      <c r="K77" s="149"/>
      <c r="L77" s="175" t="str">
        <f ca="1">IFERROR((VLOOKUP(Risikolog[[#This Row],[Forventet tidspunkt for indtræffen ]],Lister!L$2:M$55,2)-TODAY())/30+Risikolog[[#This Row],[Risiko-id]]/10^8,"")</f>
        <v/>
      </c>
      <c r="M77" s="159"/>
      <c r="N77" s="174"/>
      <c r="O77" s="174"/>
      <c r="P77" s="174"/>
      <c r="Q77" s="174"/>
      <c r="R77" s="174"/>
      <c r="S77" s="174"/>
      <c r="T77" s="196" t="str">
        <f>IF(Risikolog[[#This Row],[Sand-synlighed efter tiltag]]*Risikolog[[#This Row],[Konse-kvens efter tiltag]]=0,"",Risikolog[[#This Row],[Sand-synlighed efter tiltag]]*Risikolog[[#This Row],[Konse-kvens efter tiltag]]+Risikolog[[#This Row],[Risiko-id]]/10^8)</f>
        <v/>
      </c>
      <c r="U77" s="174"/>
      <c r="V77" s="174"/>
      <c r="W77" s="151"/>
      <c r="X77" s="71"/>
    </row>
    <row r="78" spans="2:24" ht="15" x14ac:dyDescent="0.25">
      <c r="B78" s="161">
        <v>64</v>
      </c>
      <c r="C78" s="174"/>
      <c r="D78" s="174"/>
      <c r="E78" s="159"/>
      <c r="F78" s="174"/>
      <c r="G78" s="159"/>
      <c r="H78" s="174"/>
      <c r="I78" s="174"/>
      <c r="J78" s="196" t="str">
        <f>IF(Risikolog[[#This Row],[Sand-synlig-hed]]*Risikolog[[#This Row],[Konse-kvens]]=0,"",Risikolog[[#This Row],[Sand-synlig-hed]]*Risikolog[[#This Row],[Konse-kvens]]+Risikolog[[#This Row],[Risiko-id]]/10^8)</f>
        <v/>
      </c>
      <c r="K78" s="149"/>
      <c r="L78" s="175" t="str">
        <f ca="1">IFERROR((VLOOKUP(Risikolog[[#This Row],[Forventet tidspunkt for indtræffen ]],Lister!L$2:M$55,2)-TODAY())/30+Risikolog[[#This Row],[Risiko-id]]/10^8,"")</f>
        <v/>
      </c>
      <c r="M78" s="159"/>
      <c r="N78" s="174"/>
      <c r="O78" s="174"/>
      <c r="P78" s="174"/>
      <c r="Q78" s="174"/>
      <c r="R78" s="174"/>
      <c r="S78" s="174"/>
      <c r="T78" s="196" t="str">
        <f>IF(Risikolog[[#This Row],[Sand-synlighed efter tiltag]]*Risikolog[[#This Row],[Konse-kvens efter tiltag]]=0,"",Risikolog[[#This Row],[Sand-synlighed efter tiltag]]*Risikolog[[#This Row],[Konse-kvens efter tiltag]]+Risikolog[[#This Row],[Risiko-id]]/10^8)</f>
        <v/>
      </c>
      <c r="U78" s="174"/>
      <c r="V78" s="174"/>
      <c r="W78" s="151"/>
      <c r="X78" s="71"/>
    </row>
    <row r="79" spans="2:24" ht="15" x14ac:dyDescent="0.25">
      <c r="B79" s="157">
        <v>65</v>
      </c>
      <c r="C79" s="174"/>
      <c r="D79" s="174"/>
      <c r="E79" s="159"/>
      <c r="F79" s="174"/>
      <c r="G79" s="159"/>
      <c r="H79" s="174"/>
      <c r="I79" s="174"/>
      <c r="J79" s="196" t="str">
        <f>IF(Risikolog[[#This Row],[Sand-synlig-hed]]*Risikolog[[#This Row],[Konse-kvens]]=0,"",Risikolog[[#This Row],[Sand-synlig-hed]]*Risikolog[[#This Row],[Konse-kvens]]+Risikolog[[#This Row],[Risiko-id]]/10^8)</f>
        <v/>
      </c>
      <c r="K79" s="149"/>
      <c r="L79" s="175" t="str">
        <f ca="1">IFERROR((VLOOKUP(Risikolog[[#This Row],[Forventet tidspunkt for indtræffen ]],Lister!L$2:M$55,2)-TODAY())/30+Risikolog[[#This Row],[Risiko-id]]/10^8,"")</f>
        <v/>
      </c>
      <c r="M79" s="159"/>
      <c r="N79" s="174"/>
      <c r="O79" s="174"/>
      <c r="P79" s="174"/>
      <c r="Q79" s="174"/>
      <c r="R79" s="174"/>
      <c r="S79" s="174"/>
      <c r="T79" s="196" t="str">
        <f>IF(Risikolog[[#This Row],[Sand-synlighed efter tiltag]]*Risikolog[[#This Row],[Konse-kvens efter tiltag]]=0,"",Risikolog[[#This Row],[Sand-synlighed efter tiltag]]*Risikolog[[#This Row],[Konse-kvens efter tiltag]]+Risikolog[[#This Row],[Risiko-id]]/10^8)</f>
        <v/>
      </c>
      <c r="U79" s="174"/>
      <c r="V79" s="174"/>
      <c r="W79" s="151"/>
      <c r="X79" s="71"/>
    </row>
    <row r="80" spans="2:24" ht="15" x14ac:dyDescent="0.25">
      <c r="B80" s="157">
        <v>66</v>
      </c>
      <c r="C80" s="174"/>
      <c r="D80" s="174"/>
      <c r="E80" s="159"/>
      <c r="F80" s="174"/>
      <c r="G80" s="159"/>
      <c r="H80" s="174"/>
      <c r="I80" s="174"/>
      <c r="J80" s="196" t="str">
        <f>IF(Risikolog[[#This Row],[Sand-synlig-hed]]*Risikolog[[#This Row],[Konse-kvens]]=0,"",Risikolog[[#This Row],[Sand-synlig-hed]]*Risikolog[[#This Row],[Konse-kvens]]+Risikolog[[#This Row],[Risiko-id]]/10^8)</f>
        <v/>
      </c>
      <c r="K80" s="149"/>
      <c r="L80" s="175" t="str">
        <f ca="1">IFERROR((VLOOKUP(Risikolog[[#This Row],[Forventet tidspunkt for indtræffen ]],Lister!L$2:M$55,2)-TODAY())/30+Risikolog[[#This Row],[Risiko-id]]/10^8,"")</f>
        <v/>
      </c>
      <c r="M80" s="159"/>
      <c r="N80" s="174"/>
      <c r="O80" s="174"/>
      <c r="P80" s="174"/>
      <c r="Q80" s="174"/>
      <c r="R80" s="174"/>
      <c r="S80" s="174"/>
      <c r="T80" s="196" t="str">
        <f>IF(Risikolog[[#This Row],[Sand-synlighed efter tiltag]]*Risikolog[[#This Row],[Konse-kvens efter tiltag]]=0,"",Risikolog[[#This Row],[Sand-synlighed efter tiltag]]*Risikolog[[#This Row],[Konse-kvens efter tiltag]]+Risikolog[[#This Row],[Risiko-id]]/10^8)</f>
        <v/>
      </c>
      <c r="U80" s="174"/>
      <c r="V80" s="174"/>
      <c r="W80" s="151"/>
      <c r="X80" s="71"/>
    </row>
    <row r="81" spans="2:24" ht="15" x14ac:dyDescent="0.25">
      <c r="B81" s="157">
        <v>67</v>
      </c>
      <c r="C81" s="174"/>
      <c r="D81" s="174"/>
      <c r="E81" s="159"/>
      <c r="F81" s="174"/>
      <c r="G81" s="159"/>
      <c r="H81" s="174"/>
      <c r="I81" s="174"/>
      <c r="J81" s="196" t="str">
        <f>IF(Risikolog[[#This Row],[Sand-synlig-hed]]*Risikolog[[#This Row],[Konse-kvens]]=0,"",Risikolog[[#This Row],[Sand-synlig-hed]]*Risikolog[[#This Row],[Konse-kvens]]+Risikolog[[#This Row],[Risiko-id]]/10^8)</f>
        <v/>
      </c>
      <c r="K81" s="149"/>
      <c r="L81" s="175" t="str">
        <f ca="1">IFERROR((VLOOKUP(Risikolog[[#This Row],[Forventet tidspunkt for indtræffen ]],Lister!L$2:M$55,2)-TODAY())/30+Risikolog[[#This Row],[Risiko-id]]/10^8,"")</f>
        <v/>
      </c>
      <c r="M81" s="159"/>
      <c r="N81" s="174"/>
      <c r="O81" s="174"/>
      <c r="P81" s="174"/>
      <c r="Q81" s="174"/>
      <c r="R81" s="174"/>
      <c r="S81" s="174"/>
      <c r="T81" s="196" t="str">
        <f>IF(Risikolog[[#This Row],[Sand-synlighed efter tiltag]]*Risikolog[[#This Row],[Konse-kvens efter tiltag]]=0,"",Risikolog[[#This Row],[Sand-synlighed efter tiltag]]*Risikolog[[#This Row],[Konse-kvens efter tiltag]]+Risikolog[[#This Row],[Risiko-id]]/10^8)</f>
        <v/>
      </c>
      <c r="U81" s="174"/>
      <c r="V81" s="174"/>
      <c r="W81" s="151"/>
      <c r="X81" s="71"/>
    </row>
    <row r="82" spans="2:24" ht="15" x14ac:dyDescent="0.25">
      <c r="B82" s="161">
        <v>68</v>
      </c>
      <c r="C82" s="174"/>
      <c r="D82" s="174"/>
      <c r="E82" s="159"/>
      <c r="F82" s="174"/>
      <c r="G82" s="159"/>
      <c r="H82" s="174"/>
      <c r="I82" s="174"/>
      <c r="J82" s="196" t="str">
        <f>IF(Risikolog[[#This Row],[Sand-synlig-hed]]*Risikolog[[#This Row],[Konse-kvens]]=0,"",Risikolog[[#This Row],[Sand-synlig-hed]]*Risikolog[[#This Row],[Konse-kvens]]+Risikolog[[#This Row],[Risiko-id]]/10^8)</f>
        <v/>
      </c>
      <c r="K82" s="149"/>
      <c r="L82" s="175" t="str">
        <f ca="1">IFERROR((VLOOKUP(Risikolog[[#This Row],[Forventet tidspunkt for indtræffen ]],Lister!L$2:M$55,2)-TODAY())/30+Risikolog[[#This Row],[Risiko-id]]/10^8,"")</f>
        <v/>
      </c>
      <c r="M82" s="159"/>
      <c r="N82" s="174"/>
      <c r="O82" s="174"/>
      <c r="P82" s="174"/>
      <c r="Q82" s="174"/>
      <c r="R82" s="174"/>
      <c r="S82" s="174"/>
      <c r="T82" s="196" t="str">
        <f>IF(Risikolog[[#This Row],[Sand-synlighed efter tiltag]]*Risikolog[[#This Row],[Konse-kvens efter tiltag]]=0,"",Risikolog[[#This Row],[Sand-synlighed efter tiltag]]*Risikolog[[#This Row],[Konse-kvens efter tiltag]]+Risikolog[[#This Row],[Risiko-id]]/10^8)</f>
        <v/>
      </c>
      <c r="U82" s="174"/>
      <c r="V82" s="174"/>
      <c r="W82" s="151"/>
      <c r="X82" s="71"/>
    </row>
    <row r="83" spans="2:24" ht="15" x14ac:dyDescent="0.25">
      <c r="B83" s="157">
        <v>69</v>
      </c>
      <c r="C83" s="174"/>
      <c r="D83" s="174"/>
      <c r="E83" s="159"/>
      <c r="F83" s="174"/>
      <c r="G83" s="159"/>
      <c r="H83" s="174"/>
      <c r="I83" s="174"/>
      <c r="J83" s="196" t="str">
        <f>IF(Risikolog[[#This Row],[Sand-synlig-hed]]*Risikolog[[#This Row],[Konse-kvens]]=0,"",Risikolog[[#This Row],[Sand-synlig-hed]]*Risikolog[[#This Row],[Konse-kvens]]+Risikolog[[#This Row],[Risiko-id]]/10^8)</f>
        <v/>
      </c>
      <c r="K83" s="149"/>
      <c r="L83" s="175" t="str">
        <f ca="1">IFERROR((VLOOKUP(Risikolog[[#This Row],[Forventet tidspunkt for indtræffen ]],Lister!L$2:M$55,2)-TODAY())/30+Risikolog[[#This Row],[Risiko-id]]/10^8,"")</f>
        <v/>
      </c>
      <c r="M83" s="159"/>
      <c r="N83" s="174"/>
      <c r="O83" s="174"/>
      <c r="P83" s="174"/>
      <c r="Q83" s="174"/>
      <c r="R83" s="174"/>
      <c r="S83" s="174"/>
      <c r="T83" s="196" t="str">
        <f>IF(Risikolog[[#This Row],[Sand-synlighed efter tiltag]]*Risikolog[[#This Row],[Konse-kvens efter tiltag]]=0,"",Risikolog[[#This Row],[Sand-synlighed efter tiltag]]*Risikolog[[#This Row],[Konse-kvens efter tiltag]]+Risikolog[[#This Row],[Risiko-id]]/10^8)</f>
        <v/>
      </c>
      <c r="U83" s="174"/>
      <c r="V83" s="174"/>
      <c r="W83" s="151"/>
      <c r="X83" s="71"/>
    </row>
    <row r="84" spans="2:24" ht="15" x14ac:dyDescent="0.25">
      <c r="B84" s="157">
        <v>70</v>
      </c>
      <c r="C84" s="174"/>
      <c r="D84" s="174"/>
      <c r="E84" s="159"/>
      <c r="F84" s="174"/>
      <c r="G84" s="159"/>
      <c r="H84" s="174"/>
      <c r="I84" s="174"/>
      <c r="J84" s="196" t="str">
        <f>IF(Risikolog[[#This Row],[Sand-synlig-hed]]*Risikolog[[#This Row],[Konse-kvens]]=0,"",Risikolog[[#This Row],[Sand-synlig-hed]]*Risikolog[[#This Row],[Konse-kvens]]+Risikolog[[#This Row],[Risiko-id]]/10^8)</f>
        <v/>
      </c>
      <c r="K84" s="149"/>
      <c r="L84" s="175" t="str">
        <f ca="1">IFERROR((VLOOKUP(Risikolog[[#This Row],[Forventet tidspunkt for indtræffen ]],Lister!L$2:M$55,2)-TODAY())/30+Risikolog[[#This Row],[Risiko-id]]/10^8,"")</f>
        <v/>
      </c>
      <c r="M84" s="159"/>
      <c r="N84" s="174"/>
      <c r="O84" s="174"/>
      <c r="P84" s="174"/>
      <c r="Q84" s="174"/>
      <c r="R84" s="174"/>
      <c r="S84" s="174"/>
      <c r="T84" s="196" t="str">
        <f>IF(Risikolog[[#This Row],[Sand-synlighed efter tiltag]]*Risikolog[[#This Row],[Konse-kvens efter tiltag]]=0,"",Risikolog[[#This Row],[Sand-synlighed efter tiltag]]*Risikolog[[#This Row],[Konse-kvens efter tiltag]]+Risikolog[[#This Row],[Risiko-id]]/10^8)</f>
        <v/>
      </c>
      <c r="U84" s="174"/>
      <c r="V84" s="174"/>
      <c r="W84" s="151"/>
      <c r="X84" s="71"/>
    </row>
    <row r="85" spans="2:24" ht="15" x14ac:dyDescent="0.25">
      <c r="B85" s="157">
        <v>71</v>
      </c>
      <c r="C85" s="174"/>
      <c r="D85" s="174"/>
      <c r="E85" s="159"/>
      <c r="F85" s="174"/>
      <c r="G85" s="159"/>
      <c r="H85" s="174"/>
      <c r="I85" s="174"/>
      <c r="J85" s="196" t="str">
        <f>IF(Risikolog[[#This Row],[Sand-synlig-hed]]*Risikolog[[#This Row],[Konse-kvens]]=0,"",Risikolog[[#This Row],[Sand-synlig-hed]]*Risikolog[[#This Row],[Konse-kvens]]+Risikolog[[#This Row],[Risiko-id]]/10^8)</f>
        <v/>
      </c>
      <c r="K85" s="149"/>
      <c r="L85" s="175" t="str">
        <f ca="1">IFERROR((VLOOKUP(Risikolog[[#This Row],[Forventet tidspunkt for indtræffen ]],Lister!L$2:M$55,2)-TODAY())/30+Risikolog[[#This Row],[Risiko-id]]/10^8,"")</f>
        <v/>
      </c>
      <c r="M85" s="159"/>
      <c r="N85" s="174"/>
      <c r="O85" s="174"/>
      <c r="P85" s="174"/>
      <c r="Q85" s="174"/>
      <c r="R85" s="174"/>
      <c r="S85" s="174"/>
      <c r="T85" s="196" t="str">
        <f>IF(Risikolog[[#This Row],[Sand-synlighed efter tiltag]]*Risikolog[[#This Row],[Konse-kvens efter tiltag]]=0,"",Risikolog[[#This Row],[Sand-synlighed efter tiltag]]*Risikolog[[#This Row],[Konse-kvens efter tiltag]]+Risikolog[[#This Row],[Risiko-id]]/10^8)</f>
        <v/>
      </c>
      <c r="U85" s="174"/>
      <c r="V85" s="174"/>
      <c r="W85" s="151"/>
      <c r="X85" s="71"/>
    </row>
    <row r="86" spans="2:24" ht="15" x14ac:dyDescent="0.25">
      <c r="B86" s="161">
        <v>72</v>
      </c>
      <c r="C86" s="174"/>
      <c r="D86" s="174"/>
      <c r="E86" s="159"/>
      <c r="F86" s="174"/>
      <c r="G86" s="159"/>
      <c r="H86" s="174"/>
      <c r="I86" s="174"/>
      <c r="J86" s="196" t="str">
        <f>IF(Risikolog[[#This Row],[Sand-synlig-hed]]*Risikolog[[#This Row],[Konse-kvens]]=0,"",Risikolog[[#This Row],[Sand-synlig-hed]]*Risikolog[[#This Row],[Konse-kvens]]+Risikolog[[#This Row],[Risiko-id]]/10^8)</f>
        <v/>
      </c>
      <c r="K86" s="149"/>
      <c r="L86" s="175" t="str">
        <f ca="1">IFERROR((VLOOKUP(Risikolog[[#This Row],[Forventet tidspunkt for indtræffen ]],Lister!L$2:M$55,2)-TODAY())/30+Risikolog[[#This Row],[Risiko-id]]/10^8,"")</f>
        <v/>
      </c>
      <c r="M86" s="159"/>
      <c r="N86" s="174"/>
      <c r="O86" s="174"/>
      <c r="P86" s="174"/>
      <c r="Q86" s="174"/>
      <c r="R86" s="174"/>
      <c r="S86" s="174"/>
      <c r="T86" s="196" t="str">
        <f>IF(Risikolog[[#This Row],[Sand-synlighed efter tiltag]]*Risikolog[[#This Row],[Konse-kvens efter tiltag]]=0,"",Risikolog[[#This Row],[Sand-synlighed efter tiltag]]*Risikolog[[#This Row],[Konse-kvens efter tiltag]]+Risikolog[[#This Row],[Risiko-id]]/10^8)</f>
        <v/>
      </c>
      <c r="U86" s="174"/>
      <c r="V86" s="174"/>
      <c r="W86" s="151"/>
      <c r="X86" s="71"/>
    </row>
    <row r="87" spans="2:24" ht="15" x14ac:dyDescent="0.25">
      <c r="B87" s="157">
        <v>73</v>
      </c>
      <c r="C87" s="174"/>
      <c r="D87" s="174"/>
      <c r="E87" s="159"/>
      <c r="F87" s="174"/>
      <c r="G87" s="159"/>
      <c r="H87" s="174"/>
      <c r="I87" s="174"/>
      <c r="J87" s="196" t="str">
        <f>IF(Risikolog[[#This Row],[Sand-synlig-hed]]*Risikolog[[#This Row],[Konse-kvens]]=0,"",Risikolog[[#This Row],[Sand-synlig-hed]]*Risikolog[[#This Row],[Konse-kvens]]+Risikolog[[#This Row],[Risiko-id]]/10^8)</f>
        <v/>
      </c>
      <c r="K87" s="149"/>
      <c r="L87" s="175" t="str">
        <f ca="1">IFERROR((VLOOKUP(Risikolog[[#This Row],[Forventet tidspunkt for indtræffen ]],Lister!L$2:M$55,2)-TODAY())/30+Risikolog[[#This Row],[Risiko-id]]/10^8,"")</f>
        <v/>
      </c>
      <c r="M87" s="159"/>
      <c r="N87" s="174"/>
      <c r="O87" s="174"/>
      <c r="P87" s="174"/>
      <c r="Q87" s="174"/>
      <c r="R87" s="174"/>
      <c r="S87" s="174"/>
      <c r="T87" s="196" t="str">
        <f>IF(Risikolog[[#This Row],[Sand-synlighed efter tiltag]]*Risikolog[[#This Row],[Konse-kvens efter tiltag]]=0,"",Risikolog[[#This Row],[Sand-synlighed efter tiltag]]*Risikolog[[#This Row],[Konse-kvens efter tiltag]]+Risikolog[[#This Row],[Risiko-id]]/10^8)</f>
        <v/>
      </c>
      <c r="U87" s="174"/>
      <c r="V87" s="174"/>
      <c r="W87" s="151"/>
      <c r="X87" s="71"/>
    </row>
    <row r="88" spans="2:24" ht="15" x14ac:dyDescent="0.25">
      <c r="B88" s="157">
        <v>74</v>
      </c>
      <c r="C88" s="174"/>
      <c r="D88" s="174"/>
      <c r="E88" s="159"/>
      <c r="F88" s="174"/>
      <c r="G88" s="159"/>
      <c r="H88" s="174"/>
      <c r="I88" s="174"/>
      <c r="J88" s="196" t="str">
        <f>IF(Risikolog[[#This Row],[Sand-synlig-hed]]*Risikolog[[#This Row],[Konse-kvens]]=0,"",Risikolog[[#This Row],[Sand-synlig-hed]]*Risikolog[[#This Row],[Konse-kvens]]+Risikolog[[#This Row],[Risiko-id]]/10^8)</f>
        <v/>
      </c>
      <c r="K88" s="149"/>
      <c r="L88" s="175" t="str">
        <f ca="1">IFERROR((VLOOKUP(Risikolog[[#This Row],[Forventet tidspunkt for indtræffen ]],Lister!L$2:M$55,2)-TODAY())/30+Risikolog[[#This Row],[Risiko-id]]/10^8,"")</f>
        <v/>
      </c>
      <c r="M88" s="159"/>
      <c r="N88" s="174"/>
      <c r="O88" s="174"/>
      <c r="P88" s="174"/>
      <c r="Q88" s="174"/>
      <c r="R88" s="174"/>
      <c r="S88" s="174"/>
      <c r="T88" s="196" t="str">
        <f>IF(Risikolog[[#This Row],[Sand-synlighed efter tiltag]]*Risikolog[[#This Row],[Konse-kvens efter tiltag]]=0,"",Risikolog[[#This Row],[Sand-synlighed efter tiltag]]*Risikolog[[#This Row],[Konse-kvens efter tiltag]]+Risikolog[[#This Row],[Risiko-id]]/10^8)</f>
        <v/>
      </c>
      <c r="U88" s="174"/>
      <c r="V88" s="174"/>
      <c r="W88" s="151"/>
      <c r="X88" s="71"/>
    </row>
    <row r="89" spans="2:24" ht="15" x14ac:dyDescent="0.25">
      <c r="B89" s="157">
        <v>75</v>
      </c>
      <c r="C89" s="174"/>
      <c r="D89" s="174"/>
      <c r="E89" s="159"/>
      <c r="F89" s="174"/>
      <c r="G89" s="159"/>
      <c r="H89" s="174"/>
      <c r="I89" s="174"/>
      <c r="J89" s="196" t="str">
        <f>IF(Risikolog[[#This Row],[Sand-synlig-hed]]*Risikolog[[#This Row],[Konse-kvens]]=0,"",Risikolog[[#This Row],[Sand-synlig-hed]]*Risikolog[[#This Row],[Konse-kvens]]+Risikolog[[#This Row],[Risiko-id]]/10^8)</f>
        <v/>
      </c>
      <c r="K89" s="149"/>
      <c r="L89" s="175" t="str">
        <f ca="1">IFERROR((VLOOKUP(Risikolog[[#This Row],[Forventet tidspunkt for indtræffen ]],Lister!L$2:M$55,2)-TODAY())/30+Risikolog[[#This Row],[Risiko-id]]/10^8,"")</f>
        <v/>
      </c>
      <c r="M89" s="159"/>
      <c r="N89" s="174"/>
      <c r="O89" s="174"/>
      <c r="P89" s="174"/>
      <c r="Q89" s="174"/>
      <c r="R89" s="174"/>
      <c r="S89" s="174"/>
      <c r="T89" s="196" t="str">
        <f>IF(Risikolog[[#This Row],[Sand-synlighed efter tiltag]]*Risikolog[[#This Row],[Konse-kvens efter tiltag]]=0,"",Risikolog[[#This Row],[Sand-synlighed efter tiltag]]*Risikolog[[#This Row],[Konse-kvens efter tiltag]]+Risikolog[[#This Row],[Risiko-id]]/10^8)</f>
        <v/>
      </c>
      <c r="U89" s="174"/>
      <c r="V89" s="174"/>
      <c r="W89" s="151"/>
      <c r="X89" s="71"/>
    </row>
    <row r="90" spans="2:24" ht="15" x14ac:dyDescent="0.25">
      <c r="B90" s="161">
        <v>76</v>
      </c>
      <c r="C90" s="174"/>
      <c r="D90" s="174"/>
      <c r="E90" s="159"/>
      <c r="F90" s="174"/>
      <c r="G90" s="159"/>
      <c r="H90" s="174"/>
      <c r="I90" s="174"/>
      <c r="J90" s="196" t="str">
        <f>IF(Risikolog[[#This Row],[Sand-synlig-hed]]*Risikolog[[#This Row],[Konse-kvens]]=0,"",Risikolog[[#This Row],[Sand-synlig-hed]]*Risikolog[[#This Row],[Konse-kvens]]+Risikolog[[#This Row],[Risiko-id]]/10^8)</f>
        <v/>
      </c>
      <c r="K90" s="149"/>
      <c r="L90" s="175" t="str">
        <f ca="1">IFERROR((VLOOKUP(Risikolog[[#This Row],[Forventet tidspunkt for indtræffen ]],Lister!L$2:M$55,2)-TODAY())/30+Risikolog[[#This Row],[Risiko-id]]/10^8,"")</f>
        <v/>
      </c>
      <c r="M90" s="159"/>
      <c r="N90" s="174"/>
      <c r="O90" s="174"/>
      <c r="P90" s="174"/>
      <c r="Q90" s="174"/>
      <c r="R90" s="174"/>
      <c r="S90" s="174"/>
      <c r="T90" s="196" t="str">
        <f>IF(Risikolog[[#This Row],[Sand-synlighed efter tiltag]]*Risikolog[[#This Row],[Konse-kvens efter tiltag]]=0,"",Risikolog[[#This Row],[Sand-synlighed efter tiltag]]*Risikolog[[#This Row],[Konse-kvens efter tiltag]]+Risikolog[[#This Row],[Risiko-id]]/10^8)</f>
        <v/>
      </c>
      <c r="U90" s="174"/>
      <c r="V90" s="174"/>
      <c r="W90" s="151"/>
      <c r="X90" s="71"/>
    </row>
    <row r="91" spans="2:24" ht="15" x14ac:dyDescent="0.25">
      <c r="B91" s="157">
        <v>77</v>
      </c>
      <c r="C91" s="174"/>
      <c r="D91" s="174"/>
      <c r="E91" s="159"/>
      <c r="F91" s="174"/>
      <c r="G91" s="159"/>
      <c r="H91" s="174"/>
      <c r="I91" s="174"/>
      <c r="J91" s="196" t="str">
        <f>IF(Risikolog[[#This Row],[Sand-synlig-hed]]*Risikolog[[#This Row],[Konse-kvens]]=0,"",Risikolog[[#This Row],[Sand-synlig-hed]]*Risikolog[[#This Row],[Konse-kvens]]+Risikolog[[#This Row],[Risiko-id]]/10^8)</f>
        <v/>
      </c>
      <c r="K91" s="149"/>
      <c r="L91" s="175" t="str">
        <f ca="1">IFERROR((VLOOKUP(Risikolog[[#This Row],[Forventet tidspunkt for indtræffen ]],Lister!L$2:M$55,2)-TODAY())/30+Risikolog[[#This Row],[Risiko-id]]/10^8,"")</f>
        <v/>
      </c>
      <c r="M91" s="159"/>
      <c r="N91" s="174"/>
      <c r="O91" s="174"/>
      <c r="P91" s="174"/>
      <c r="Q91" s="174"/>
      <c r="R91" s="174"/>
      <c r="S91" s="174"/>
      <c r="T91" s="196" t="str">
        <f>IF(Risikolog[[#This Row],[Sand-synlighed efter tiltag]]*Risikolog[[#This Row],[Konse-kvens efter tiltag]]=0,"",Risikolog[[#This Row],[Sand-synlighed efter tiltag]]*Risikolog[[#This Row],[Konse-kvens efter tiltag]]+Risikolog[[#This Row],[Risiko-id]]/10^8)</f>
        <v/>
      </c>
      <c r="U91" s="174"/>
      <c r="V91" s="174"/>
      <c r="W91" s="151"/>
      <c r="X91" s="71"/>
    </row>
    <row r="92" spans="2:24" ht="15" x14ac:dyDescent="0.25">
      <c r="B92" s="157">
        <v>78</v>
      </c>
      <c r="C92" s="174"/>
      <c r="D92" s="174"/>
      <c r="E92" s="159"/>
      <c r="F92" s="174"/>
      <c r="G92" s="159"/>
      <c r="H92" s="174"/>
      <c r="I92" s="174"/>
      <c r="J92" s="196" t="str">
        <f>IF(Risikolog[[#This Row],[Sand-synlig-hed]]*Risikolog[[#This Row],[Konse-kvens]]=0,"",Risikolog[[#This Row],[Sand-synlig-hed]]*Risikolog[[#This Row],[Konse-kvens]]+Risikolog[[#This Row],[Risiko-id]]/10^8)</f>
        <v/>
      </c>
      <c r="K92" s="149"/>
      <c r="L92" s="175" t="str">
        <f ca="1">IFERROR((VLOOKUP(Risikolog[[#This Row],[Forventet tidspunkt for indtræffen ]],Lister!L$2:M$55,2)-TODAY())/30+Risikolog[[#This Row],[Risiko-id]]/10^8,"")</f>
        <v/>
      </c>
      <c r="M92" s="159"/>
      <c r="N92" s="174"/>
      <c r="O92" s="174"/>
      <c r="P92" s="174"/>
      <c r="Q92" s="174"/>
      <c r="R92" s="174"/>
      <c r="S92" s="174"/>
      <c r="T92" s="196" t="str">
        <f>IF(Risikolog[[#This Row],[Sand-synlighed efter tiltag]]*Risikolog[[#This Row],[Konse-kvens efter tiltag]]=0,"",Risikolog[[#This Row],[Sand-synlighed efter tiltag]]*Risikolog[[#This Row],[Konse-kvens efter tiltag]]+Risikolog[[#This Row],[Risiko-id]]/10^8)</f>
        <v/>
      </c>
      <c r="U92" s="174"/>
      <c r="V92" s="174"/>
      <c r="W92" s="151"/>
      <c r="X92" s="71"/>
    </row>
    <row r="93" spans="2:24" ht="15" x14ac:dyDescent="0.25">
      <c r="B93" s="157">
        <v>79</v>
      </c>
      <c r="C93" s="174"/>
      <c r="D93" s="174"/>
      <c r="E93" s="159"/>
      <c r="F93" s="174"/>
      <c r="G93" s="159"/>
      <c r="H93" s="174"/>
      <c r="I93" s="174"/>
      <c r="J93" s="196" t="str">
        <f>IF(Risikolog[[#This Row],[Sand-synlig-hed]]*Risikolog[[#This Row],[Konse-kvens]]=0,"",Risikolog[[#This Row],[Sand-synlig-hed]]*Risikolog[[#This Row],[Konse-kvens]]+Risikolog[[#This Row],[Risiko-id]]/10^8)</f>
        <v/>
      </c>
      <c r="K93" s="149"/>
      <c r="L93" s="175" t="str">
        <f ca="1">IFERROR((VLOOKUP(Risikolog[[#This Row],[Forventet tidspunkt for indtræffen ]],Lister!L$2:M$55,2)-TODAY())/30+Risikolog[[#This Row],[Risiko-id]]/10^8,"")</f>
        <v/>
      </c>
      <c r="M93" s="159"/>
      <c r="N93" s="174"/>
      <c r="O93" s="174"/>
      <c r="P93" s="174"/>
      <c r="Q93" s="174"/>
      <c r="R93" s="174"/>
      <c r="S93" s="174"/>
      <c r="T93" s="196" t="str">
        <f>IF(Risikolog[[#This Row],[Sand-synlighed efter tiltag]]*Risikolog[[#This Row],[Konse-kvens efter tiltag]]=0,"",Risikolog[[#This Row],[Sand-synlighed efter tiltag]]*Risikolog[[#This Row],[Konse-kvens efter tiltag]]+Risikolog[[#This Row],[Risiko-id]]/10^8)</f>
        <v/>
      </c>
      <c r="U93" s="174"/>
      <c r="V93" s="174"/>
      <c r="W93" s="151"/>
      <c r="X93" s="71"/>
    </row>
    <row r="94" spans="2:24" ht="15" x14ac:dyDescent="0.25">
      <c r="B94" s="161">
        <v>80</v>
      </c>
      <c r="C94" s="174"/>
      <c r="D94" s="174"/>
      <c r="E94" s="159"/>
      <c r="F94" s="174"/>
      <c r="G94" s="159"/>
      <c r="H94" s="174"/>
      <c r="I94" s="174"/>
      <c r="J94" s="196" t="str">
        <f>IF(Risikolog[[#This Row],[Sand-synlig-hed]]*Risikolog[[#This Row],[Konse-kvens]]=0,"",Risikolog[[#This Row],[Sand-synlig-hed]]*Risikolog[[#This Row],[Konse-kvens]]+Risikolog[[#This Row],[Risiko-id]]/10^8)</f>
        <v/>
      </c>
      <c r="K94" s="149"/>
      <c r="L94" s="175" t="str">
        <f ca="1">IFERROR((VLOOKUP(Risikolog[[#This Row],[Forventet tidspunkt for indtræffen ]],Lister!L$2:M$55,2)-TODAY())/30+Risikolog[[#This Row],[Risiko-id]]/10^8,"")</f>
        <v/>
      </c>
      <c r="M94" s="159"/>
      <c r="N94" s="174"/>
      <c r="O94" s="174"/>
      <c r="P94" s="174"/>
      <c r="Q94" s="174"/>
      <c r="R94" s="174"/>
      <c r="S94" s="174"/>
      <c r="T94" s="196" t="str">
        <f>IF(Risikolog[[#This Row],[Sand-synlighed efter tiltag]]*Risikolog[[#This Row],[Konse-kvens efter tiltag]]=0,"",Risikolog[[#This Row],[Sand-synlighed efter tiltag]]*Risikolog[[#This Row],[Konse-kvens efter tiltag]]+Risikolog[[#This Row],[Risiko-id]]/10^8)</f>
        <v/>
      </c>
      <c r="U94" s="174"/>
      <c r="V94" s="174"/>
      <c r="W94" s="151"/>
      <c r="X94" s="71"/>
    </row>
    <row r="95" spans="2:24" ht="15" x14ac:dyDescent="0.25">
      <c r="B95" s="157">
        <v>81</v>
      </c>
      <c r="C95" s="174"/>
      <c r="D95" s="174"/>
      <c r="E95" s="159"/>
      <c r="F95" s="174"/>
      <c r="G95" s="159"/>
      <c r="H95" s="174"/>
      <c r="I95" s="174"/>
      <c r="J95" s="196" t="str">
        <f>IF(Risikolog[[#This Row],[Sand-synlig-hed]]*Risikolog[[#This Row],[Konse-kvens]]=0,"",Risikolog[[#This Row],[Sand-synlig-hed]]*Risikolog[[#This Row],[Konse-kvens]]+Risikolog[[#This Row],[Risiko-id]]/10^8)</f>
        <v/>
      </c>
      <c r="K95" s="149"/>
      <c r="L95" s="175" t="str">
        <f ca="1">IFERROR((VLOOKUP(Risikolog[[#This Row],[Forventet tidspunkt for indtræffen ]],Lister!L$2:M$55,2)-TODAY())/30+Risikolog[[#This Row],[Risiko-id]]/10^8,"")</f>
        <v/>
      </c>
      <c r="M95" s="159"/>
      <c r="N95" s="174"/>
      <c r="O95" s="174"/>
      <c r="P95" s="174"/>
      <c r="Q95" s="174"/>
      <c r="R95" s="174"/>
      <c r="S95" s="174"/>
      <c r="T95" s="196" t="str">
        <f>IF(Risikolog[[#This Row],[Sand-synlighed efter tiltag]]*Risikolog[[#This Row],[Konse-kvens efter tiltag]]=0,"",Risikolog[[#This Row],[Sand-synlighed efter tiltag]]*Risikolog[[#This Row],[Konse-kvens efter tiltag]]+Risikolog[[#This Row],[Risiko-id]]/10^8)</f>
        <v/>
      </c>
      <c r="U95" s="174"/>
      <c r="V95" s="174"/>
      <c r="W95" s="151"/>
      <c r="X95" s="71"/>
    </row>
    <row r="96" spans="2:24" ht="15" x14ac:dyDescent="0.25">
      <c r="B96" s="157">
        <v>82</v>
      </c>
      <c r="C96" s="174"/>
      <c r="D96" s="174"/>
      <c r="E96" s="159"/>
      <c r="F96" s="174"/>
      <c r="G96" s="159"/>
      <c r="H96" s="174"/>
      <c r="I96" s="174"/>
      <c r="J96" s="196" t="str">
        <f>IF(Risikolog[[#This Row],[Sand-synlig-hed]]*Risikolog[[#This Row],[Konse-kvens]]=0,"",Risikolog[[#This Row],[Sand-synlig-hed]]*Risikolog[[#This Row],[Konse-kvens]]+Risikolog[[#This Row],[Risiko-id]]/10^8)</f>
        <v/>
      </c>
      <c r="K96" s="149"/>
      <c r="L96" s="175" t="str">
        <f ca="1">IFERROR((VLOOKUP(Risikolog[[#This Row],[Forventet tidspunkt for indtræffen ]],Lister!L$2:M$55,2)-TODAY())/30+Risikolog[[#This Row],[Risiko-id]]/10^8,"")</f>
        <v/>
      </c>
      <c r="M96" s="159"/>
      <c r="N96" s="174"/>
      <c r="O96" s="174"/>
      <c r="P96" s="174"/>
      <c r="Q96" s="174"/>
      <c r="R96" s="174"/>
      <c r="S96" s="174"/>
      <c r="T96" s="196" t="str">
        <f>IF(Risikolog[[#This Row],[Sand-synlighed efter tiltag]]*Risikolog[[#This Row],[Konse-kvens efter tiltag]]=0,"",Risikolog[[#This Row],[Sand-synlighed efter tiltag]]*Risikolog[[#This Row],[Konse-kvens efter tiltag]]+Risikolog[[#This Row],[Risiko-id]]/10^8)</f>
        <v/>
      </c>
      <c r="U96" s="174"/>
      <c r="V96" s="174"/>
      <c r="W96" s="151"/>
      <c r="X96" s="71"/>
    </row>
    <row r="97" spans="2:24" ht="15" x14ac:dyDescent="0.25">
      <c r="B97" s="157">
        <v>83</v>
      </c>
      <c r="C97" s="174"/>
      <c r="D97" s="174"/>
      <c r="E97" s="159"/>
      <c r="F97" s="174"/>
      <c r="G97" s="159"/>
      <c r="H97" s="174"/>
      <c r="I97" s="174"/>
      <c r="J97" s="196" t="str">
        <f>IF(Risikolog[[#This Row],[Sand-synlig-hed]]*Risikolog[[#This Row],[Konse-kvens]]=0,"",Risikolog[[#This Row],[Sand-synlig-hed]]*Risikolog[[#This Row],[Konse-kvens]]+Risikolog[[#This Row],[Risiko-id]]/10^8)</f>
        <v/>
      </c>
      <c r="K97" s="149"/>
      <c r="L97" s="175" t="str">
        <f ca="1">IFERROR((VLOOKUP(Risikolog[[#This Row],[Forventet tidspunkt for indtræffen ]],Lister!L$2:M$55,2)-TODAY())/30+Risikolog[[#This Row],[Risiko-id]]/10^8,"")</f>
        <v/>
      </c>
      <c r="M97" s="159"/>
      <c r="N97" s="174"/>
      <c r="O97" s="174"/>
      <c r="P97" s="174"/>
      <c r="Q97" s="174"/>
      <c r="R97" s="174"/>
      <c r="S97" s="174"/>
      <c r="T97" s="196" t="str">
        <f>IF(Risikolog[[#This Row],[Sand-synlighed efter tiltag]]*Risikolog[[#This Row],[Konse-kvens efter tiltag]]=0,"",Risikolog[[#This Row],[Sand-synlighed efter tiltag]]*Risikolog[[#This Row],[Konse-kvens efter tiltag]]+Risikolog[[#This Row],[Risiko-id]]/10^8)</f>
        <v/>
      </c>
      <c r="U97" s="174"/>
      <c r="V97" s="174"/>
      <c r="W97" s="151"/>
      <c r="X97" s="71"/>
    </row>
    <row r="98" spans="2:24" ht="15" x14ac:dyDescent="0.25">
      <c r="B98" s="161">
        <v>84</v>
      </c>
      <c r="C98" s="174"/>
      <c r="D98" s="174"/>
      <c r="E98" s="159"/>
      <c r="F98" s="174"/>
      <c r="G98" s="159"/>
      <c r="H98" s="174"/>
      <c r="I98" s="174"/>
      <c r="J98" s="196" t="str">
        <f>IF(Risikolog[[#This Row],[Sand-synlig-hed]]*Risikolog[[#This Row],[Konse-kvens]]=0,"",Risikolog[[#This Row],[Sand-synlig-hed]]*Risikolog[[#This Row],[Konse-kvens]]+Risikolog[[#This Row],[Risiko-id]]/10^8)</f>
        <v/>
      </c>
      <c r="K98" s="149"/>
      <c r="L98" s="175" t="str">
        <f ca="1">IFERROR((VLOOKUP(Risikolog[[#This Row],[Forventet tidspunkt for indtræffen ]],Lister!L$2:M$55,2)-TODAY())/30+Risikolog[[#This Row],[Risiko-id]]/10^8,"")</f>
        <v/>
      </c>
      <c r="M98" s="159"/>
      <c r="N98" s="174"/>
      <c r="O98" s="174"/>
      <c r="P98" s="174"/>
      <c r="Q98" s="174"/>
      <c r="R98" s="174"/>
      <c r="S98" s="174"/>
      <c r="T98" s="196" t="str">
        <f>IF(Risikolog[[#This Row],[Sand-synlighed efter tiltag]]*Risikolog[[#This Row],[Konse-kvens efter tiltag]]=0,"",Risikolog[[#This Row],[Sand-synlighed efter tiltag]]*Risikolog[[#This Row],[Konse-kvens efter tiltag]]+Risikolog[[#This Row],[Risiko-id]]/10^8)</f>
        <v/>
      </c>
      <c r="U98" s="174"/>
      <c r="V98" s="174"/>
      <c r="W98" s="151"/>
      <c r="X98" s="71"/>
    </row>
    <row r="99" spans="2:24" ht="15" x14ac:dyDescent="0.25">
      <c r="B99" s="157">
        <v>85</v>
      </c>
      <c r="C99" s="174"/>
      <c r="D99" s="174"/>
      <c r="E99" s="159"/>
      <c r="F99" s="174"/>
      <c r="G99" s="159"/>
      <c r="H99" s="174"/>
      <c r="I99" s="174"/>
      <c r="J99" s="196" t="str">
        <f>IF(Risikolog[[#This Row],[Sand-synlig-hed]]*Risikolog[[#This Row],[Konse-kvens]]=0,"",Risikolog[[#This Row],[Sand-synlig-hed]]*Risikolog[[#This Row],[Konse-kvens]]+Risikolog[[#This Row],[Risiko-id]]/10^8)</f>
        <v/>
      </c>
      <c r="K99" s="149"/>
      <c r="L99" s="175" t="str">
        <f ca="1">IFERROR((VLOOKUP(Risikolog[[#This Row],[Forventet tidspunkt for indtræffen ]],Lister!L$2:M$55,2)-TODAY())/30+Risikolog[[#This Row],[Risiko-id]]/10^8,"")</f>
        <v/>
      </c>
      <c r="M99" s="159"/>
      <c r="N99" s="174"/>
      <c r="O99" s="174"/>
      <c r="P99" s="174"/>
      <c r="Q99" s="174"/>
      <c r="R99" s="174"/>
      <c r="S99" s="174"/>
      <c r="T99" s="196" t="str">
        <f>IF(Risikolog[[#This Row],[Sand-synlighed efter tiltag]]*Risikolog[[#This Row],[Konse-kvens efter tiltag]]=0,"",Risikolog[[#This Row],[Sand-synlighed efter tiltag]]*Risikolog[[#This Row],[Konse-kvens efter tiltag]]+Risikolog[[#This Row],[Risiko-id]]/10^8)</f>
        <v/>
      </c>
      <c r="U99" s="174"/>
      <c r="V99" s="174"/>
      <c r="W99" s="151"/>
      <c r="X99" s="71"/>
    </row>
    <row r="100" spans="2:24" ht="15" x14ac:dyDescent="0.25">
      <c r="B100" s="157">
        <v>86</v>
      </c>
      <c r="C100" s="174"/>
      <c r="D100" s="174"/>
      <c r="E100" s="159"/>
      <c r="F100" s="174"/>
      <c r="G100" s="159"/>
      <c r="H100" s="174"/>
      <c r="I100" s="174"/>
      <c r="J100" s="196" t="str">
        <f>IF(Risikolog[[#This Row],[Sand-synlig-hed]]*Risikolog[[#This Row],[Konse-kvens]]=0,"",Risikolog[[#This Row],[Sand-synlig-hed]]*Risikolog[[#This Row],[Konse-kvens]]+Risikolog[[#This Row],[Risiko-id]]/10^8)</f>
        <v/>
      </c>
      <c r="K100" s="149"/>
      <c r="L100" s="175" t="str">
        <f ca="1">IFERROR((VLOOKUP(Risikolog[[#This Row],[Forventet tidspunkt for indtræffen ]],Lister!L$2:M$55,2)-TODAY())/30+Risikolog[[#This Row],[Risiko-id]]/10^8,"")</f>
        <v/>
      </c>
      <c r="M100" s="159"/>
      <c r="N100" s="174"/>
      <c r="O100" s="174"/>
      <c r="P100" s="174"/>
      <c r="Q100" s="174"/>
      <c r="R100" s="174"/>
      <c r="S100" s="174"/>
      <c r="T100" s="196" t="str">
        <f>IF(Risikolog[[#This Row],[Sand-synlighed efter tiltag]]*Risikolog[[#This Row],[Konse-kvens efter tiltag]]=0,"",Risikolog[[#This Row],[Sand-synlighed efter tiltag]]*Risikolog[[#This Row],[Konse-kvens efter tiltag]]+Risikolog[[#This Row],[Risiko-id]]/10^8)</f>
        <v/>
      </c>
      <c r="U100" s="174"/>
      <c r="V100" s="174"/>
      <c r="W100" s="151"/>
      <c r="X100" s="71"/>
    </row>
    <row r="101" spans="2:24" ht="15" x14ac:dyDescent="0.25">
      <c r="B101" s="157">
        <v>87</v>
      </c>
      <c r="C101" s="174"/>
      <c r="D101" s="174"/>
      <c r="E101" s="159"/>
      <c r="F101" s="174"/>
      <c r="G101" s="159"/>
      <c r="H101" s="174"/>
      <c r="I101" s="174"/>
      <c r="J101" s="196" t="str">
        <f>IF(Risikolog[[#This Row],[Sand-synlig-hed]]*Risikolog[[#This Row],[Konse-kvens]]=0,"",Risikolog[[#This Row],[Sand-synlig-hed]]*Risikolog[[#This Row],[Konse-kvens]]+Risikolog[[#This Row],[Risiko-id]]/10^8)</f>
        <v/>
      </c>
      <c r="K101" s="149"/>
      <c r="L101" s="175" t="str">
        <f ca="1">IFERROR((VLOOKUP(Risikolog[[#This Row],[Forventet tidspunkt for indtræffen ]],Lister!L$2:M$55,2)-TODAY())/30+Risikolog[[#This Row],[Risiko-id]]/10^8,"")</f>
        <v/>
      </c>
      <c r="M101" s="159"/>
      <c r="N101" s="174"/>
      <c r="O101" s="174"/>
      <c r="P101" s="174"/>
      <c r="Q101" s="174"/>
      <c r="R101" s="174"/>
      <c r="S101" s="174"/>
      <c r="T101" s="196" t="str">
        <f>IF(Risikolog[[#This Row],[Sand-synlighed efter tiltag]]*Risikolog[[#This Row],[Konse-kvens efter tiltag]]=0,"",Risikolog[[#This Row],[Sand-synlighed efter tiltag]]*Risikolog[[#This Row],[Konse-kvens efter tiltag]]+Risikolog[[#This Row],[Risiko-id]]/10^8)</f>
        <v/>
      </c>
      <c r="U101" s="174"/>
      <c r="V101" s="174"/>
      <c r="W101" s="151"/>
      <c r="X101" s="71"/>
    </row>
    <row r="102" spans="2:24" ht="15" x14ac:dyDescent="0.25">
      <c r="B102" s="161">
        <v>88</v>
      </c>
      <c r="C102" s="174"/>
      <c r="D102" s="174"/>
      <c r="E102" s="159"/>
      <c r="F102" s="174"/>
      <c r="G102" s="159"/>
      <c r="H102" s="174"/>
      <c r="I102" s="174"/>
      <c r="J102" s="196" t="str">
        <f>IF(Risikolog[[#This Row],[Sand-synlig-hed]]*Risikolog[[#This Row],[Konse-kvens]]=0,"",Risikolog[[#This Row],[Sand-synlig-hed]]*Risikolog[[#This Row],[Konse-kvens]]+Risikolog[[#This Row],[Risiko-id]]/10^8)</f>
        <v/>
      </c>
      <c r="K102" s="149"/>
      <c r="L102" s="175" t="str">
        <f ca="1">IFERROR((VLOOKUP(Risikolog[[#This Row],[Forventet tidspunkt for indtræffen ]],Lister!L$2:M$55,2)-TODAY())/30+Risikolog[[#This Row],[Risiko-id]]/10^8,"")</f>
        <v/>
      </c>
      <c r="M102" s="159"/>
      <c r="N102" s="174"/>
      <c r="O102" s="174"/>
      <c r="P102" s="174"/>
      <c r="Q102" s="174"/>
      <c r="R102" s="174"/>
      <c r="S102" s="174"/>
      <c r="T102" s="196" t="str">
        <f>IF(Risikolog[[#This Row],[Sand-synlighed efter tiltag]]*Risikolog[[#This Row],[Konse-kvens efter tiltag]]=0,"",Risikolog[[#This Row],[Sand-synlighed efter tiltag]]*Risikolog[[#This Row],[Konse-kvens efter tiltag]]+Risikolog[[#This Row],[Risiko-id]]/10^8)</f>
        <v/>
      </c>
      <c r="U102" s="174"/>
      <c r="V102" s="174"/>
      <c r="W102" s="151"/>
      <c r="X102" s="71"/>
    </row>
    <row r="103" spans="2:24" ht="15" x14ac:dyDescent="0.25">
      <c r="B103" s="157">
        <v>89</v>
      </c>
      <c r="C103" s="174"/>
      <c r="D103" s="174"/>
      <c r="E103" s="159"/>
      <c r="F103" s="174"/>
      <c r="G103" s="159"/>
      <c r="H103" s="174"/>
      <c r="I103" s="174"/>
      <c r="J103" s="196" t="str">
        <f>IF(Risikolog[[#This Row],[Sand-synlig-hed]]*Risikolog[[#This Row],[Konse-kvens]]=0,"",Risikolog[[#This Row],[Sand-synlig-hed]]*Risikolog[[#This Row],[Konse-kvens]]+Risikolog[[#This Row],[Risiko-id]]/10^8)</f>
        <v/>
      </c>
      <c r="K103" s="149"/>
      <c r="L103" s="175" t="str">
        <f ca="1">IFERROR((VLOOKUP(Risikolog[[#This Row],[Forventet tidspunkt for indtræffen ]],Lister!L$2:M$55,2)-TODAY())/30+Risikolog[[#This Row],[Risiko-id]]/10^8,"")</f>
        <v/>
      </c>
      <c r="M103" s="159"/>
      <c r="N103" s="174"/>
      <c r="O103" s="174"/>
      <c r="P103" s="174"/>
      <c r="Q103" s="174"/>
      <c r="R103" s="174"/>
      <c r="S103" s="174"/>
      <c r="T103" s="196" t="str">
        <f>IF(Risikolog[[#This Row],[Sand-synlighed efter tiltag]]*Risikolog[[#This Row],[Konse-kvens efter tiltag]]=0,"",Risikolog[[#This Row],[Sand-synlighed efter tiltag]]*Risikolog[[#This Row],[Konse-kvens efter tiltag]]+Risikolog[[#This Row],[Risiko-id]]/10^8)</f>
        <v/>
      </c>
      <c r="U103" s="174"/>
      <c r="V103" s="174"/>
      <c r="W103" s="151"/>
      <c r="X103" s="71"/>
    </row>
    <row r="104" spans="2:24" ht="15" x14ac:dyDescent="0.25">
      <c r="B104" s="157">
        <v>90</v>
      </c>
      <c r="C104" s="174"/>
      <c r="D104" s="174"/>
      <c r="E104" s="159"/>
      <c r="F104" s="174"/>
      <c r="G104" s="159"/>
      <c r="H104" s="174"/>
      <c r="I104" s="174"/>
      <c r="J104" s="196" t="str">
        <f>IF(Risikolog[[#This Row],[Sand-synlig-hed]]*Risikolog[[#This Row],[Konse-kvens]]=0,"",Risikolog[[#This Row],[Sand-synlig-hed]]*Risikolog[[#This Row],[Konse-kvens]]+Risikolog[[#This Row],[Risiko-id]]/10^8)</f>
        <v/>
      </c>
      <c r="K104" s="149"/>
      <c r="L104" s="175" t="str">
        <f ca="1">IFERROR((VLOOKUP(Risikolog[[#This Row],[Forventet tidspunkt for indtræffen ]],Lister!L$2:M$55,2)-TODAY())/30+Risikolog[[#This Row],[Risiko-id]]/10^8,"")</f>
        <v/>
      </c>
      <c r="M104" s="159"/>
      <c r="N104" s="174"/>
      <c r="O104" s="174"/>
      <c r="P104" s="174"/>
      <c r="Q104" s="174"/>
      <c r="R104" s="174"/>
      <c r="S104" s="174"/>
      <c r="T104" s="196" t="str">
        <f>IF(Risikolog[[#This Row],[Sand-synlighed efter tiltag]]*Risikolog[[#This Row],[Konse-kvens efter tiltag]]=0,"",Risikolog[[#This Row],[Sand-synlighed efter tiltag]]*Risikolog[[#This Row],[Konse-kvens efter tiltag]]+Risikolog[[#This Row],[Risiko-id]]/10^8)</f>
        <v/>
      </c>
      <c r="U104" s="174"/>
      <c r="V104" s="174"/>
      <c r="W104" s="151"/>
      <c r="X104" s="71"/>
    </row>
    <row r="105" spans="2:24" ht="15" x14ac:dyDescent="0.25">
      <c r="B105" s="157">
        <v>91</v>
      </c>
      <c r="C105" s="174"/>
      <c r="D105" s="174"/>
      <c r="E105" s="159"/>
      <c r="F105" s="174"/>
      <c r="G105" s="159"/>
      <c r="H105" s="174"/>
      <c r="I105" s="174"/>
      <c r="J105" s="196" t="str">
        <f>IF(Risikolog[[#This Row],[Sand-synlig-hed]]*Risikolog[[#This Row],[Konse-kvens]]=0,"",Risikolog[[#This Row],[Sand-synlig-hed]]*Risikolog[[#This Row],[Konse-kvens]]+Risikolog[[#This Row],[Risiko-id]]/10^8)</f>
        <v/>
      </c>
      <c r="K105" s="149"/>
      <c r="L105" s="175" t="str">
        <f ca="1">IFERROR((VLOOKUP(Risikolog[[#This Row],[Forventet tidspunkt for indtræffen ]],Lister!L$2:M$55,2)-TODAY())/30+Risikolog[[#This Row],[Risiko-id]]/10^8,"")</f>
        <v/>
      </c>
      <c r="M105" s="159"/>
      <c r="N105" s="174"/>
      <c r="O105" s="174"/>
      <c r="P105" s="174"/>
      <c r="Q105" s="174"/>
      <c r="R105" s="174"/>
      <c r="S105" s="174"/>
      <c r="T105" s="196" t="str">
        <f>IF(Risikolog[[#This Row],[Sand-synlighed efter tiltag]]*Risikolog[[#This Row],[Konse-kvens efter tiltag]]=0,"",Risikolog[[#This Row],[Sand-synlighed efter tiltag]]*Risikolog[[#This Row],[Konse-kvens efter tiltag]]+Risikolog[[#This Row],[Risiko-id]]/10^8)</f>
        <v/>
      </c>
      <c r="U105" s="174"/>
      <c r="V105" s="174"/>
      <c r="W105" s="151"/>
      <c r="X105" s="71"/>
    </row>
    <row r="106" spans="2:24" ht="15" x14ac:dyDescent="0.25">
      <c r="B106" s="161">
        <v>92</v>
      </c>
      <c r="C106" s="174"/>
      <c r="D106" s="174"/>
      <c r="E106" s="159"/>
      <c r="F106" s="174"/>
      <c r="G106" s="159"/>
      <c r="H106" s="174"/>
      <c r="I106" s="174"/>
      <c r="J106" s="196" t="str">
        <f>IF(Risikolog[[#This Row],[Sand-synlig-hed]]*Risikolog[[#This Row],[Konse-kvens]]=0,"",Risikolog[[#This Row],[Sand-synlig-hed]]*Risikolog[[#This Row],[Konse-kvens]]+Risikolog[[#This Row],[Risiko-id]]/10^8)</f>
        <v/>
      </c>
      <c r="K106" s="149"/>
      <c r="L106" s="175" t="str">
        <f ca="1">IFERROR((VLOOKUP(Risikolog[[#This Row],[Forventet tidspunkt for indtræffen ]],Lister!L$2:M$55,2)-TODAY())/30+Risikolog[[#This Row],[Risiko-id]]/10^8,"")</f>
        <v/>
      </c>
      <c r="M106" s="159"/>
      <c r="N106" s="174"/>
      <c r="O106" s="174"/>
      <c r="P106" s="174"/>
      <c r="Q106" s="174"/>
      <c r="R106" s="174"/>
      <c r="S106" s="174"/>
      <c r="T106" s="196" t="str">
        <f>IF(Risikolog[[#This Row],[Sand-synlighed efter tiltag]]*Risikolog[[#This Row],[Konse-kvens efter tiltag]]=0,"",Risikolog[[#This Row],[Sand-synlighed efter tiltag]]*Risikolog[[#This Row],[Konse-kvens efter tiltag]]+Risikolog[[#This Row],[Risiko-id]]/10^8)</f>
        <v/>
      </c>
      <c r="U106" s="174"/>
      <c r="V106" s="174"/>
      <c r="W106" s="151"/>
      <c r="X106" s="71"/>
    </row>
    <row r="107" spans="2:24" ht="15" x14ac:dyDescent="0.25">
      <c r="B107" s="157">
        <v>93</v>
      </c>
      <c r="C107" s="174"/>
      <c r="D107" s="174"/>
      <c r="E107" s="159"/>
      <c r="F107" s="174"/>
      <c r="G107" s="159"/>
      <c r="H107" s="174"/>
      <c r="I107" s="174"/>
      <c r="J107" s="196" t="str">
        <f>IF(Risikolog[[#This Row],[Sand-synlig-hed]]*Risikolog[[#This Row],[Konse-kvens]]=0,"",Risikolog[[#This Row],[Sand-synlig-hed]]*Risikolog[[#This Row],[Konse-kvens]]+Risikolog[[#This Row],[Risiko-id]]/10^8)</f>
        <v/>
      </c>
      <c r="K107" s="149"/>
      <c r="L107" s="175" t="str">
        <f ca="1">IFERROR((VLOOKUP(Risikolog[[#This Row],[Forventet tidspunkt for indtræffen ]],Lister!L$2:M$55,2)-TODAY())/30+Risikolog[[#This Row],[Risiko-id]]/10^8,"")</f>
        <v/>
      </c>
      <c r="M107" s="159"/>
      <c r="N107" s="174"/>
      <c r="O107" s="174"/>
      <c r="P107" s="174"/>
      <c r="Q107" s="174"/>
      <c r="R107" s="174"/>
      <c r="S107" s="174"/>
      <c r="T107" s="196" t="str">
        <f>IF(Risikolog[[#This Row],[Sand-synlighed efter tiltag]]*Risikolog[[#This Row],[Konse-kvens efter tiltag]]=0,"",Risikolog[[#This Row],[Sand-synlighed efter tiltag]]*Risikolog[[#This Row],[Konse-kvens efter tiltag]]+Risikolog[[#This Row],[Risiko-id]]/10^8)</f>
        <v/>
      </c>
      <c r="U107" s="174"/>
      <c r="V107" s="174"/>
      <c r="W107" s="151"/>
      <c r="X107" s="71"/>
    </row>
    <row r="108" spans="2:24" ht="15" x14ac:dyDescent="0.25">
      <c r="B108" s="157">
        <v>94</v>
      </c>
      <c r="C108" s="174"/>
      <c r="D108" s="174"/>
      <c r="E108" s="159"/>
      <c r="F108" s="174"/>
      <c r="G108" s="159"/>
      <c r="H108" s="174"/>
      <c r="I108" s="174"/>
      <c r="J108" s="196" t="str">
        <f>IF(Risikolog[[#This Row],[Sand-synlig-hed]]*Risikolog[[#This Row],[Konse-kvens]]=0,"",Risikolog[[#This Row],[Sand-synlig-hed]]*Risikolog[[#This Row],[Konse-kvens]]+Risikolog[[#This Row],[Risiko-id]]/10^8)</f>
        <v/>
      </c>
      <c r="K108" s="149"/>
      <c r="L108" s="175" t="str">
        <f ca="1">IFERROR((VLOOKUP(Risikolog[[#This Row],[Forventet tidspunkt for indtræffen ]],Lister!L$2:M$55,2)-TODAY())/30+Risikolog[[#This Row],[Risiko-id]]/10^8,"")</f>
        <v/>
      </c>
      <c r="M108" s="159"/>
      <c r="N108" s="174"/>
      <c r="O108" s="174"/>
      <c r="P108" s="174"/>
      <c r="Q108" s="174"/>
      <c r="R108" s="174"/>
      <c r="S108" s="174"/>
      <c r="T108" s="196" t="str">
        <f>IF(Risikolog[[#This Row],[Sand-synlighed efter tiltag]]*Risikolog[[#This Row],[Konse-kvens efter tiltag]]=0,"",Risikolog[[#This Row],[Sand-synlighed efter tiltag]]*Risikolog[[#This Row],[Konse-kvens efter tiltag]]+Risikolog[[#This Row],[Risiko-id]]/10^8)</f>
        <v/>
      </c>
      <c r="U108" s="174"/>
      <c r="V108" s="174"/>
      <c r="W108" s="151"/>
      <c r="X108" s="71"/>
    </row>
    <row r="109" spans="2:24" ht="15" x14ac:dyDescent="0.25">
      <c r="B109" s="157">
        <v>95</v>
      </c>
      <c r="C109" s="174"/>
      <c r="D109" s="174"/>
      <c r="E109" s="159"/>
      <c r="F109" s="174"/>
      <c r="G109" s="159"/>
      <c r="H109" s="174"/>
      <c r="I109" s="174"/>
      <c r="J109" s="196" t="str">
        <f>IF(Risikolog[[#This Row],[Sand-synlig-hed]]*Risikolog[[#This Row],[Konse-kvens]]=0,"",Risikolog[[#This Row],[Sand-synlig-hed]]*Risikolog[[#This Row],[Konse-kvens]]+Risikolog[[#This Row],[Risiko-id]]/10^8)</f>
        <v/>
      </c>
      <c r="K109" s="149"/>
      <c r="L109" s="175" t="str">
        <f ca="1">IFERROR((VLOOKUP(Risikolog[[#This Row],[Forventet tidspunkt for indtræffen ]],Lister!L$2:M$55,2)-TODAY())/30+Risikolog[[#This Row],[Risiko-id]]/10^8,"")</f>
        <v/>
      </c>
      <c r="M109" s="159"/>
      <c r="N109" s="174"/>
      <c r="O109" s="174"/>
      <c r="P109" s="174"/>
      <c r="Q109" s="174"/>
      <c r="R109" s="174"/>
      <c r="S109" s="174"/>
      <c r="T109" s="196" t="str">
        <f>IF(Risikolog[[#This Row],[Sand-synlighed efter tiltag]]*Risikolog[[#This Row],[Konse-kvens efter tiltag]]=0,"",Risikolog[[#This Row],[Sand-synlighed efter tiltag]]*Risikolog[[#This Row],[Konse-kvens efter tiltag]]+Risikolog[[#This Row],[Risiko-id]]/10^8)</f>
        <v/>
      </c>
      <c r="U109" s="174"/>
      <c r="V109" s="174"/>
      <c r="W109" s="151"/>
      <c r="X109" s="71"/>
    </row>
    <row r="110" spans="2:24" ht="15" x14ac:dyDescent="0.25">
      <c r="B110" s="161">
        <v>96</v>
      </c>
      <c r="C110" s="174"/>
      <c r="D110" s="174"/>
      <c r="E110" s="159"/>
      <c r="F110" s="174"/>
      <c r="G110" s="159"/>
      <c r="H110" s="174"/>
      <c r="I110" s="174"/>
      <c r="J110" s="196" t="str">
        <f>IF(Risikolog[[#This Row],[Sand-synlig-hed]]*Risikolog[[#This Row],[Konse-kvens]]=0,"",Risikolog[[#This Row],[Sand-synlig-hed]]*Risikolog[[#This Row],[Konse-kvens]]+Risikolog[[#This Row],[Risiko-id]]/10^8)</f>
        <v/>
      </c>
      <c r="K110" s="149"/>
      <c r="L110" s="175" t="str">
        <f ca="1">IFERROR((VLOOKUP(Risikolog[[#This Row],[Forventet tidspunkt for indtræffen ]],Lister!L$2:M$55,2)-TODAY())/30+Risikolog[[#This Row],[Risiko-id]]/10^8,"")</f>
        <v/>
      </c>
      <c r="M110" s="159"/>
      <c r="N110" s="174"/>
      <c r="O110" s="174"/>
      <c r="P110" s="174"/>
      <c r="Q110" s="174"/>
      <c r="R110" s="174"/>
      <c r="S110" s="174"/>
      <c r="T110" s="196" t="str">
        <f>IF(Risikolog[[#This Row],[Sand-synlighed efter tiltag]]*Risikolog[[#This Row],[Konse-kvens efter tiltag]]=0,"",Risikolog[[#This Row],[Sand-synlighed efter tiltag]]*Risikolog[[#This Row],[Konse-kvens efter tiltag]]+Risikolog[[#This Row],[Risiko-id]]/10^8)</f>
        <v/>
      </c>
      <c r="U110" s="174"/>
      <c r="V110" s="174"/>
      <c r="W110" s="151"/>
      <c r="X110" s="71"/>
    </row>
    <row r="111" spans="2:24" ht="15" x14ac:dyDescent="0.25">
      <c r="B111" s="157">
        <v>97</v>
      </c>
      <c r="C111" s="174"/>
      <c r="D111" s="174"/>
      <c r="E111" s="159"/>
      <c r="F111" s="174"/>
      <c r="G111" s="159"/>
      <c r="H111" s="174"/>
      <c r="I111" s="174"/>
      <c r="J111" s="196" t="str">
        <f>IF(Risikolog[[#This Row],[Sand-synlig-hed]]*Risikolog[[#This Row],[Konse-kvens]]=0,"",Risikolog[[#This Row],[Sand-synlig-hed]]*Risikolog[[#This Row],[Konse-kvens]]+Risikolog[[#This Row],[Risiko-id]]/10^8)</f>
        <v/>
      </c>
      <c r="K111" s="149"/>
      <c r="L111" s="175" t="str">
        <f ca="1">IFERROR((VLOOKUP(Risikolog[[#This Row],[Forventet tidspunkt for indtræffen ]],Lister!L$2:M$55,2)-TODAY())/30+Risikolog[[#This Row],[Risiko-id]]/10^8,"")</f>
        <v/>
      </c>
      <c r="M111" s="159"/>
      <c r="N111" s="174"/>
      <c r="O111" s="174"/>
      <c r="P111" s="174"/>
      <c r="Q111" s="174"/>
      <c r="R111" s="174"/>
      <c r="S111" s="174"/>
      <c r="T111" s="196" t="str">
        <f>IF(Risikolog[[#This Row],[Sand-synlighed efter tiltag]]*Risikolog[[#This Row],[Konse-kvens efter tiltag]]=0,"",Risikolog[[#This Row],[Sand-synlighed efter tiltag]]*Risikolog[[#This Row],[Konse-kvens efter tiltag]]+Risikolog[[#This Row],[Risiko-id]]/10^8)</f>
        <v/>
      </c>
      <c r="U111" s="174"/>
      <c r="V111" s="174"/>
      <c r="W111" s="151"/>
      <c r="X111" s="71"/>
    </row>
    <row r="112" spans="2:24" ht="15" x14ac:dyDescent="0.25">
      <c r="B112" s="157">
        <v>98</v>
      </c>
      <c r="C112" s="174"/>
      <c r="D112" s="174"/>
      <c r="E112" s="159"/>
      <c r="F112" s="174"/>
      <c r="G112" s="159"/>
      <c r="H112" s="174"/>
      <c r="I112" s="174"/>
      <c r="J112" s="196" t="str">
        <f>IF(Risikolog[[#This Row],[Sand-synlig-hed]]*Risikolog[[#This Row],[Konse-kvens]]=0,"",Risikolog[[#This Row],[Sand-synlig-hed]]*Risikolog[[#This Row],[Konse-kvens]]+Risikolog[[#This Row],[Risiko-id]]/10^8)</f>
        <v/>
      </c>
      <c r="K112" s="149"/>
      <c r="L112" s="175" t="str">
        <f ca="1">IFERROR((VLOOKUP(Risikolog[[#This Row],[Forventet tidspunkt for indtræffen ]],Lister!L$2:M$55,2)-TODAY())/30+Risikolog[[#This Row],[Risiko-id]]/10^8,"")</f>
        <v/>
      </c>
      <c r="M112" s="159"/>
      <c r="N112" s="174"/>
      <c r="O112" s="174"/>
      <c r="P112" s="174"/>
      <c r="Q112" s="174"/>
      <c r="R112" s="174"/>
      <c r="S112" s="174"/>
      <c r="T112" s="196" t="str">
        <f>IF(Risikolog[[#This Row],[Sand-synlighed efter tiltag]]*Risikolog[[#This Row],[Konse-kvens efter tiltag]]=0,"",Risikolog[[#This Row],[Sand-synlighed efter tiltag]]*Risikolog[[#This Row],[Konse-kvens efter tiltag]]+Risikolog[[#This Row],[Risiko-id]]/10^8)</f>
        <v/>
      </c>
      <c r="U112" s="174"/>
      <c r="V112" s="174"/>
      <c r="W112" s="151"/>
      <c r="X112" s="71"/>
    </row>
    <row r="113" spans="2:24" ht="15" x14ac:dyDescent="0.25">
      <c r="B113" s="157">
        <v>99</v>
      </c>
      <c r="C113" s="174"/>
      <c r="D113" s="174"/>
      <c r="E113" s="159"/>
      <c r="F113" s="174"/>
      <c r="G113" s="159"/>
      <c r="H113" s="174"/>
      <c r="I113" s="174"/>
      <c r="J113" s="196" t="str">
        <f>IF(Risikolog[[#This Row],[Sand-synlig-hed]]*Risikolog[[#This Row],[Konse-kvens]]=0,"",Risikolog[[#This Row],[Sand-synlig-hed]]*Risikolog[[#This Row],[Konse-kvens]]+Risikolog[[#This Row],[Risiko-id]]/10^8)</f>
        <v/>
      </c>
      <c r="K113" s="149"/>
      <c r="L113" s="175" t="str">
        <f ca="1">IFERROR((VLOOKUP(Risikolog[[#This Row],[Forventet tidspunkt for indtræffen ]],Lister!L$2:M$55,2)-TODAY())/30+Risikolog[[#This Row],[Risiko-id]]/10^8,"")</f>
        <v/>
      </c>
      <c r="M113" s="159"/>
      <c r="N113" s="174"/>
      <c r="O113" s="174"/>
      <c r="P113" s="174"/>
      <c r="Q113" s="174"/>
      <c r="R113" s="174"/>
      <c r="S113" s="174"/>
      <c r="T113" s="196" t="str">
        <f>IF(Risikolog[[#This Row],[Sand-synlighed efter tiltag]]*Risikolog[[#This Row],[Konse-kvens efter tiltag]]=0,"",Risikolog[[#This Row],[Sand-synlighed efter tiltag]]*Risikolog[[#This Row],[Konse-kvens efter tiltag]]+Risikolog[[#This Row],[Risiko-id]]/10^8)</f>
        <v/>
      </c>
      <c r="U113" s="174"/>
      <c r="V113" s="174"/>
      <c r="W113" s="151"/>
      <c r="X113" s="71"/>
    </row>
    <row r="114" spans="2:24" ht="15" x14ac:dyDescent="0.25">
      <c r="B114" s="161">
        <v>100</v>
      </c>
      <c r="C114" s="174"/>
      <c r="D114" s="174"/>
      <c r="E114" s="159"/>
      <c r="F114" s="174"/>
      <c r="G114" s="159"/>
      <c r="H114" s="174"/>
      <c r="I114" s="174"/>
      <c r="J114" s="196" t="str">
        <f>IF(Risikolog[[#This Row],[Sand-synlig-hed]]*Risikolog[[#This Row],[Konse-kvens]]=0,"",Risikolog[[#This Row],[Sand-synlig-hed]]*Risikolog[[#This Row],[Konse-kvens]]+Risikolog[[#This Row],[Risiko-id]]/10^8)</f>
        <v/>
      </c>
      <c r="K114" s="149"/>
      <c r="L114" s="175" t="str">
        <f ca="1">IFERROR((VLOOKUP(Risikolog[[#This Row],[Forventet tidspunkt for indtræffen ]],Lister!L$2:M$55,2)-TODAY())/30+Risikolog[[#This Row],[Risiko-id]]/10^8,"")</f>
        <v/>
      </c>
      <c r="M114" s="159"/>
      <c r="N114" s="174"/>
      <c r="O114" s="174"/>
      <c r="P114" s="174"/>
      <c r="Q114" s="174"/>
      <c r="R114" s="174"/>
      <c r="S114" s="174"/>
      <c r="T114" s="196" t="str">
        <f>IF(Risikolog[[#This Row],[Sand-synlighed efter tiltag]]*Risikolog[[#This Row],[Konse-kvens efter tiltag]]=0,"",Risikolog[[#This Row],[Sand-synlighed efter tiltag]]*Risikolog[[#This Row],[Konse-kvens efter tiltag]]+Risikolog[[#This Row],[Risiko-id]]/10^8)</f>
        <v/>
      </c>
      <c r="U114" s="174"/>
      <c r="V114" s="174"/>
      <c r="W114" s="151"/>
      <c r="X114" s="71"/>
    </row>
    <row r="115" spans="2:24" x14ac:dyDescent="0.2">
      <c r="B115" s="29"/>
      <c r="C115" s="29"/>
      <c r="D115" s="29"/>
      <c r="E115" s="4"/>
      <c r="F115" s="29"/>
      <c r="G115" s="4"/>
      <c r="H115" s="29"/>
      <c r="I115" s="29"/>
      <c r="J115" s="29"/>
      <c r="K115" s="4"/>
      <c r="L115" s="141"/>
      <c r="M115" s="4"/>
      <c r="N115" s="29"/>
      <c r="O115" s="29"/>
      <c r="P115" s="29"/>
      <c r="Q115" s="29"/>
      <c r="R115" s="29"/>
      <c r="S115" s="29"/>
      <c r="T115" s="29"/>
      <c r="U115" s="29"/>
      <c r="V115" s="29"/>
      <c r="W115" s="71"/>
      <c r="X115" s="71"/>
    </row>
    <row r="116" spans="2:24" x14ac:dyDescent="0.2">
      <c r="B116" s="29"/>
      <c r="C116" s="29"/>
      <c r="D116" s="29"/>
      <c r="E116" s="4"/>
      <c r="F116" s="29"/>
      <c r="G116" s="4"/>
      <c r="H116" s="29"/>
      <c r="I116" s="29"/>
      <c r="J116" s="29"/>
      <c r="K116" s="4"/>
      <c r="L116" s="141"/>
      <c r="M116" s="4"/>
      <c r="N116" s="29"/>
      <c r="O116" s="29"/>
      <c r="P116" s="29"/>
      <c r="Q116" s="29"/>
      <c r="R116" s="29"/>
      <c r="S116" s="29"/>
      <c r="T116" s="29"/>
      <c r="U116" s="29"/>
      <c r="V116" s="29"/>
      <c r="W116" s="71"/>
      <c r="X116" s="71"/>
    </row>
    <row r="117" spans="2:24" hidden="1" x14ac:dyDescent="0.2">
      <c r="B117" s="29"/>
      <c r="C117" s="29"/>
      <c r="D117" s="29"/>
      <c r="E117" s="4"/>
      <c r="F117" s="29"/>
      <c r="G117" s="4"/>
      <c r="H117" s="29"/>
      <c r="I117" s="29"/>
      <c r="J117" s="29"/>
      <c r="K117" s="4"/>
      <c r="L117" s="141"/>
      <c r="M117" s="4"/>
      <c r="N117" s="29"/>
      <c r="O117" s="29"/>
      <c r="P117" s="29"/>
      <c r="Q117" s="29"/>
      <c r="R117" s="29"/>
      <c r="S117" s="29"/>
      <c r="T117" s="29"/>
      <c r="U117" s="29"/>
      <c r="V117" s="29"/>
      <c r="W117" s="71"/>
      <c r="X117" s="71"/>
    </row>
    <row r="118" spans="2:24" hidden="1" x14ac:dyDescent="0.2">
      <c r="B118" s="29"/>
      <c r="C118" s="29"/>
      <c r="D118" s="29"/>
      <c r="E118" s="4"/>
      <c r="F118" s="29"/>
      <c r="G118" s="4"/>
      <c r="H118" s="29"/>
      <c r="I118" s="29"/>
      <c r="J118" s="29"/>
      <c r="K118" s="4"/>
      <c r="L118" s="141"/>
      <c r="M118" s="4"/>
      <c r="N118" s="29"/>
      <c r="O118" s="29"/>
      <c r="P118" s="29"/>
      <c r="Q118" s="29"/>
      <c r="R118" s="29"/>
      <c r="S118" s="29"/>
      <c r="T118" s="29"/>
      <c r="U118" s="29"/>
      <c r="V118" s="29"/>
      <c r="W118" s="71"/>
      <c r="X118" s="71"/>
    </row>
    <row r="119" spans="2:24" hidden="1" x14ac:dyDescent="0.2">
      <c r="B119" s="29"/>
      <c r="C119" s="29"/>
      <c r="D119" s="29"/>
      <c r="E119" s="4"/>
      <c r="F119" s="29"/>
      <c r="G119" s="4"/>
      <c r="H119" s="29"/>
      <c r="I119" s="29"/>
      <c r="J119" s="29"/>
      <c r="K119" s="4"/>
      <c r="L119" s="141"/>
      <c r="M119" s="4"/>
      <c r="N119" s="29"/>
      <c r="O119" s="29"/>
      <c r="P119" s="29"/>
      <c r="Q119" s="29"/>
      <c r="R119" s="29"/>
      <c r="S119" s="29"/>
      <c r="T119" s="29"/>
      <c r="U119" s="29"/>
      <c r="V119" s="29"/>
      <c r="W119" s="71"/>
      <c r="X119" s="71"/>
    </row>
    <row r="120" spans="2:24" hidden="1" x14ac:dyDescent="0.2">
      <c r="B120" s="29"/>
      <c r="C120" s="29"/>
      <c r="D120" s="29"/>
      <c r="E120" s="4"/>
      <c r="F120" s="29"/>
      <c r="G120" s="4"/>
      <c r="H120" s="29"/>
      <c r="I120" s="29"/>
      <c r="J120" s="29"/>
      <c r="K120" s="4"/>
      <c r="L120" s="141"/>
      <c r="M120" s="4"/>
      <c r="N120" s="29"/>
      <c r="O120" s="29"/>
      <c r="P120" s="29"/>
      <c r="Q120" s="29"/>
      <c r="R120" s="29"/>
      <c r="S120" s="29"/>
      <c r="T120" s="29"/>
      <c r="U120" s="29"/>
      <c r="V120" s="29"/>
      <c r="W120" s="71"/>
      <c r="X120" s="71"/>
    </row>
    <row r="121" spans="2:24" hidden="1" x14ac:dyDescent="0.2">
      <c r="B121" s="29"/>
      <c r="C121" s="29"/>
      <c r="D121" s="29"/>
      <c r="E121" s="4"/>
      <c r="F121" s="29"/>
      <c r="G121" s="4"/>
      <c r="H121" s="29"/>
      <c r="I121" s="29"/>
      <c r="J121" s="29"/>
      <c r="K121" s="4"/>
      <c r="L121" s="141"/>
      <c r="M121" s="4"/>
      <c r="N121" s="29"/>
      <c r="O121" s="29"/>
      <c r="P121" s="29"/>
      <c r="Q121" s="29"/>
      <c r="R121" s="29"/>
      <c r="S121" s="29"/>
      <c r="T121" s="29"/>
      <c r="U121" s="29"/>
      <c r="V121" s="29"/>
      <c r="W121" s="71"/>
      <c r="X121" s="71"/>
    </row>
    <row r="122" spans="2:24" hidden="1" x14ac:dyDescent="0.2">
      <c r="B122" s="29"/>
      <c r="C122" s="29"/>
      <c r="D122" s="29"/>
      <c r="E122" s="4"/>
      <c r="F122" s="29"/>
      <c r="G122" s="4"/>
      <c r="H122" s="29"/>
      <c r="I122" s="29"/>
      <c r="J122" s="29"/>
      <c r="K122" s="4"/>
      <c r="L122" s="141"/>
      <c r="M122" s="4"/>
      <c r="N122" s="29"/>
      <c r="O122" s="29"/>
      <c r="P122" s="29"/>
      <c r="Q122" s="29"/>
      <c r="R122" s="29"/>
      <c r="S122" s="29"/>
      <c r="T122" s="29"/>
      <c r="U122" s="29"/>
      <c r="V122" s="29"/>
      <c r="W122" s="71"/>
      <c r="X122" s="71"/>
    </row>
    <row r="123" spans="2:24" hidden="1" x14ac:dyDescent="0.2">
      <c r="B123" s="29"/>
      <c r="C123" s="29"/>
      <c r="D123" s="29"/>
      <c r="E123" s="4"/>
      <c r="F123" s="29"/>
      <c r="G123" s="4"/>
      <c r="H123" s="29"/>
      <c r="I123" s="29"/>
      <c r="J123" s="29"/>
      <c r="K123" s="4"/>
      <c r="L123" s="141"/>
      <c r="M123" s="4"/>
      <c r="N123" s="29"/>
      <c r="O123" s="29"/>
      <c r="P123" s="29"/>
      <c r="Q123" s="29"/>
      <c r="R123" s="29"/>
      <c r="S123" s="29"/>
      <c r="T123" s="29"/>
      <c r="U123" s="29"/>
      <c r="V123" s="29"/>
      <c r="W123" s="71"/>
      <c r="X123" s="71"/>
    </row>
    <row r="124" spans="2:24" hidden="1" x14ac:dyDescent="0.2">
      <c r="B124" s="29"/>
      <c r="C124" s="29"/>
      <c r="D124" s="29"/>
      <c r="E124" s="4"/>
      <c r="F124" s="29"/>
      <c r="G124" s="4"/>
      <c r="H124" s="29"/>
      <c r="I124" s="29"/>
      <c r="J124" s="29"/>
      <c r="K124" s="4"/>
      <c r="L124" s="141"/>
      <c r="M124" s="4"/>
      <c r="N124" s="29"/>
      <c r="O124" s="29"/>
      <c r="P124" s="29"/>
      <c r="Q124" s="29"/>
      <c r="R124" s="29"/>
      <c r="S124" s="29"/>
      <c r="T124" s="29"/>
      <c r="U124" s="29"/>
      <c r="V124" s="29"/>
      <c r="W124" s="71"/>
      <c r="X124" s="71"/>
    </row>
    <row r="125" spans="2:24" hidden="1" x14ac:dyDescent="0.2">
      <c r="B125" s="29"/>
      <c r="C125" s="29"/>
      <c r="D125" s="29"/>
      <c r="E125" s="4"/>
      <c r="F125" s="29"/>
      <c r="G125" s="4"/>
      <c r="H125" s="29"/>
      <c r="I125" s="29"/>
      <c r="J125" s="29"/>
      <c r="K125" s="4"/>
      <c r="L125" s="141"/>
      <c r="M125" s="4"/>
      <c r="N125" s="29"/>
      <c r="O125" s="29"/>
      <c r="P125" s="29"/>
      <c r="Q125" s="29"/>
      <c r="R125" s="29"/>
      <c r="S125" s="29"/>
      <c r="T125" s="29"/>
      <c r="U125" s="29"/>
      <c r="V125" s="29"/>
      <c r="W125" s="71"/>
      <c r="X125" s="71"/>
    </row>
    <row r="126" spans="2:24" hidden="1" x14ac:dyDescent="0.2">
      <c r="B126" s="29"/>
      <c r="C126" s="29"/>
      <c r="D126" s="29"/>
      <c r="E126" s="4"/>
      <c r="F126" s="29"/>
      <c r="G126" s="4"/>
      <c r="H126" s="29"/>
      <c r="I126" s="29"/>
      <c r="J126" s="29"/>
      <c r="K126" s="4"/>
      <c r="L126" s="141"/>
      <c r="M126" s="4"/>
      <c r="N126" s="29"/>
      <c r="O126" s="29"/>
      <c r="P126" s="29"/>
      <c r="Q126" s="29"/>
      <c r="R126" s="29"/>
      <c r="S126" s="29"/>
      <c r="T126" s="29"/>
      <c r="U126" s="29"/>
      <c r="V126" s="29"/>
      <c r="W126" s="71"/>
      <c r="X126" s="71"/>
    </row>
    <row r="127" spans="2:24" hidden="1" x14ac:dyDescent="0.2">
      <c r="B127" s="29"/>
      <c r="C127" s="29"/>
      <c r="D127" s="29"/>
      <c r="E127" s="4"/>
      <c r="F127" s="29"/>
      <c r="G127" s="4"/>
      <c r="H127" s="29"/>
      <c r="I127" s="29"/>
      <c r="J127" s="29"/>
      <c r="K127" s="4"/>
      <c r="L127" s="141"/>
      <c r="M127" s="4"/>
      <c r="N127" s="29"/>
      <c r="O127" s="29"/>
      <c r="P127" s="29"/>
      <c r="Q127" s="29"/>
      <c r="R127" s="29"/>
      <c r="S127" s="29"/>
      <c r="T127" s="29"/>
      <c r="U127" s="29"/>
      <c r="V127" s="29"/>
      <c r="W127" s="71"/>
      <c r="X127" s="71"/>
    </row>
    <row r="128" spans="2:24" hidden="1" x14ac:dyDescent="0.2">
      <c r="B128" s="29"/>
      <c r="C128" s="29"/>
      <c r="D128" s="29"/>
      <c r="E128" s="4"/>
      <c r="F128" s="29"/>
      <c r="G128" s="4"/>
      <c r="H128" s="29"/>
      <c r="I128" s="29"/>
      <c r="J128" s="29"/>
      <c r="K128" s="4"/>
      <c r="L128" s="141"/>
      <c r="M128" s="4"/>
      <c r="N128" s="29"/>
      <c r="O128" s="29"/>
      <c r="P128" s="29"/>
      <c r="Q128" s="29"/>
      <c r="R128" s="29"/>
      <c r="S128" s="29"/>
      <c r="T128" s="29"/>
      <c r="U128" s="29"/>
      <c r="V128" s="29"/>
      <c r="W128" s="71"/>
      <c r="X128" s="71"/>
    </row>
    <row r="129" spans="2:24" hidden="1" x14ac:dyDescent="0.2">
      <c r="B129" s="29"/>
      <c r="C129" s="29"/>
      <c r="D129" s="29"/>
      <c r="E129" s="4"/>
      <c r="F129" s="29"/>
      <c r="G129" s="4"/>
      <c r="H129" s="29"/>
      <c r="I129" s="29"/>
      <c r="J129" s="29"/>
      <c r="K129" s="4"/>
      <c r="L129" s="141"/>
      <c r="M129" s="4"/>
      <c r="N129" s="29"/>
      <c r="O129" s="29"/>
      <c r="P129" s="29"/>
      <c r="Q129" s="29"/>
      <c r="R129" s="29"/>
      <c r="S129" s="29"/>
      <c r="T129" s="29"/>
      <c r="U129" s="29"/>
      <c r="V129" s="29"/>
      <c r="W129" s="71"/>
      <c r="X129" s="71"/>
    </row>
    <row r="130" spans="2:24" hidden="1" x14ac:dyDescent="0.2">
      <c r="B130" s="29"/>
      <c r="C130" s="29"/>
      <c r="D130" s="29"/>
      <c r="E130" s="4"/>
      <c r="F130" s="29"/>
      <c r="G130" s="4"/>
      <c r="H130" s="29"/>
      <c r="I130" s="29"/>
      <c r="J130" s="29"/>
      <c r="K130" s="4"/>
      <c r="L130" s="141"/>
      <c r="M130" s="4"/>
      <c r="N130" s="29"/>
      <c r="O130" s="29"/>
      <c r="P130" s="29"/>
      <c r="Q130" s="29"/>
      <c r="R130" s="29"/>
      <c r="S130" s="29"/>
      <c r="T130" s="29"/>
      <c r="U130" s="29"/>
      <c r="V130" s="29"/>
      <c r="W130" s="71"/>
      <c r="X130" s="71"/>
    </row>
    <row r="131" spans="2:24" hidden="1" x14ac:dyDescent="0.2">
      <c r="B131" s="29"/>
      <c r="C131" s="29"/>
      <c r="D131" s="29"/>
      <c r="E131" s="4"/>
      <c r="F131" s="29"/>
      <c r="G131" s="4"/>
      <c r="H131" s="29"/>
      <c r="I131" s="29"/>
      <c r="J131" s="29"/>
      <c r="K131" s="4"/>
      <c r="L131" s="141"/>
      <c r="M131" s="4"/>
      <c r="N131" s="29"/>
      <c r="O131" s="29"/>
      <c r="P131" s="29"/>
      <c r="Q131" s="29"/>
      <c r="R131" s="29"/>
      <c r="S131" s="29"/>
      <c r="T131" s="29"/>
      <c r="U131" s="29"/>
      <c r="V131" s="29"/>
      <c r="W131" s="71"/>
      <c r="X131" s="71"/>
    </row>
    <row r="132" spans="2:24" hidden="1" x14ac:dyDescent="0.2">
      <c r="B132" s="29"/>
      <c r="C132" s="29"/>
      <c r="D132" s="29"/>
      <c r="E132" s="4"/>
      <c r="F132" s="29"/>
      <c r="G132" s="4"/>
      <c r="H132" s="29"/>
      <c r="I132" s="29"/>
      <c r="J132" s="29"/>
      <c r="K132" s="4"/>
      <c r="L132" s="141"/>
      <c r="M132" s="4"/>
      <c r="N132" s="29"/>
      <c r="O132" s="29"/>
      <c r="P132" s="29"/>
      <c r="Q132" s="29"/>
      <c r="R132" s="29"/>
      <c r="S132" s="29"/>
      <c r="T132" s="29"/>
      <c r="U132" s="29"/>
      <c r="V132" s="29"/>
      <c r="W132" s="71"/>
      <c r="X132" s="71"/>
    </row>
    <row r="133" spans="2:24" hidden="1" x14ac:dyDescent="0.2">
      <c r="B133" s="29"/>
      <c r="C133" s="29"/>
      <c r="D133" s="29"/>
      <c r="E133" s="4"/>
      <c r="F133" s="29"/>
      <c r="G133" s="4"/>
      <c r="H133" s="29"/>
      <c r="I133" s="29"/>
      <c r="J133" s="29"/>
      <c r="K133" s="4"/>
      <c r="L133" s="141"/>
      <c r="M133" s="4"/>
      <c r="N133" s="29"/>
      <c r="O133" s="29"/>
      <c r="P133" s="29"/>
      <c r="Q133" s="29"/>
      <c r="R133" s="29"/>
      <c r="S133" s="29"/>
      <c r="T133" s="29"/>
      <c r="U133" s="29"/>
      <c r="V133" s="29"/>
      <c r="W133" s="71"/>
      <c r="X133" s="71"/>
    </row>
    <row r="134" spans="2:24" hidden="1" x14ac:dyDescent="0.2">
      <c r="B134" s="29"/>
      <c r="C134" s="29"/>
      <c r="D134" s="29"/>
      <c r="E134" s="4"/>
      <c r="F134" s="29"/>
      <c r="G134" s="4"/>
      <c r="H134" s="29"/>
      <c r="I134" s="29"/>
      <c r="J134" s="29"/>
      <c r="K134" s="4"/>
      <c r="L134" s="141"/>
      <c r="M134" s="4"/>
      <c r="N134" s="29"/>
      <c r="O134" s="29"/>
      <c r="P134" s="29"/>
      <c r="Q134" s="29"/>
      <c r="R134" s="29"/>
      <c r="S134" s="29"/>
      <c r="T134" s="29"/>
      <c r="U134" s="29"/>
      <c r="V134" s="29"/>
      <c r="W134" s="71"/>
      <c r="X134" s="71"/>
    </row>
    <row r="135" spans="2:24" hidden="1" x14ac:dyDescent="0.2">
      <c r="B135" s="29"/>
      <c r="C135" s="29"/>
      <c r="D135" s="29"/>
      <c r="E135" s="4"/>
      <c r="F135" s="29"/>
      <c r="G135" s="4"/>
      <c r="H135" s="29"/>
      <c r="I135" s="29"/>
      <c r="J135" s="29"/>
      <c r="K135" s="4"/>
      <c r="L135" s="141"/>
      <c r="M135" s="4"/>
      <c r="N135" s="29"/>
      <c r="O135" s="29"/>
      <c r="P135" s="29"/>
      <c r="Q135" s="29"/>
      <c r="R135" s="29"/>
      <c r="S135" s="29"/>
      <c r="T135" s="29"/>
      <c r="U135" s="29"/>
      <c r="V135" s="29"/>
      <c r="W135" s="71"/>
      <c r="X135" s="71"/>
    </row>
    <row r="136" spans="2:24" hidden="1" x14ac:dyDescent="0.2">
      <c r="B136" s="29"/>
      <c r="C136" s="29"/>
      <c r="D136" s="29"/>
      <c r="E136" s="4"/>
      <c r="F136" s="29"/>
      <c r="G136" s="4"/>
      <c r="H136" s="29"/>
      <c r="I136" s="29"/>
      <c r="J136" s="29"/>
      <c r="K136" s="4"/>
      <c r="L136" s="141"/>
      <c r="M136" s="4"/>
      <c r="N136" s="29"/>
      <c r="O136" s="29"/>
      <c r="P136" s="29"/>
      <c r="Q136" s="29"/>
      <c r="R136" s="29"/>
      <c r="S136" s="29"/>
      <c r="T136" s="29"/>
      <c r="U136" s="29"/>
      <c r="V136" s="29"/>
      <c r="W136" s="71"/>
      <c r="X136" s="71"/>
    </row>
    <row r="137" spans="2:24" hidden="1" x14ac:dyDescent="0.2">
      <c r="X137" s="71"/>
    </row>
    <row r="138" spans="2:24" hidden="1" x14ac:dyDescent="0.2">
      <c r="X138" s="71"/>
    </row>
    <row r="139" spans="2:24" hidden="1" x14ac:dyDescent="0.2">
      <c r="X139" s="71"/>
    </row>
    <row r="140" spans="2:24" hidden="1" x14ac:dyDescent="0.2">
      <c r="X140" s="71"/>
    </row>
    <row r="141" spans="2:24" hidden="1" x14ac:dyDescent="0.2">
      <c r="X141" s="71"/>
    </row>
    <row r="142" spans="2:24" hidden="1" x14ac:dyDescent="0.2">
      <c r="X142" s="71"/>
    </row>
    <row r="143" spans="2:24" hidden="1" x14ac:dyDescent="0.2">
      <c r="X143" s="71"/>
    </row>
    <row r="144" spans="2:24" hidden="1" x14ac:dyDescent="0.2">
      <c r="X144" s="71"/>
    </row>
    <row r="145" spans="24:24" hidden="1" x14ac:dyDescent="0.2">
      <c r="X145" s="71"/>
    </row>
    <row r="146" spans="24:24" hidden="1" x14ac:dyDescent="0.2">
      <c r="X146" s="71"/>
    </row>
    <row r="147" spans="24:24" hidden="1" x14ac:dyDescent="0.2"/>
    <row r="148" spans="24:24" hidden="1" x14ac:dyDescent="0.2"/>
  </sheetData>
  <sheetProtection password="CE89" sheet="1" formatCells="0" formatColumns="0" formatRows="0" sort="0" autoFilter="0"/>
  <dataConsolidate/>
  <mergeCells count="6">
    <mergeCell ref="B6:D6"/>
    <mergeCell ref="B7:D7"/>
    <mergeCell ref="B8:D8"/>
    <mergeCell ref="B9:D9"/>
    <mergeCell ref="B11:D11"/>
    <mergeCell ref="B10:D10"/>
  </mergeCells>
  <phoneticPr fontId="11" type="noConversion"/>
  <conditionalFormatting sqref="J15:J114 T15:T114">
    <cfRule type="cellIs" dxfId="128" priority="7" stopIfTrue="1" operator="lessThan">
      <formula>5</formula>
    </cfRule>
    <cfRule type="cellIs" dxfId="127" priority="8" stopIfTrue="1" operator="between">
      <formula>5</formula>
      <formula>9.9</formula>
    </cfRule>
    <cfRule type="cellIs" dxfId="126" priority="9" stopIfTrue="1" operator="between">
      <formula>10</formula>
      <formula>26</formula>
    </cfRule>
  </conditionalFormatting>
  <conditionalFormatting sqref="J15:J114">
    <cfRule type="expression" dxfId="125" priority="1" stopIfTrue="1">
      <formula>Blank()</formula>
    </cfRule>
  </conditionalFormatting>
  <dataValidations count="6">
    <dataValidation type="list" allowBlank="1" showInputMessage="1" showErrorMessage="1" sqref="E9">
      <formula1>Primaert_formaal</formula1>
    </dataValidation>
    <dataValidation type="list" allowBlank="1" showInputMessage="1" showErrorMessage="1" sqref="V15:V114 P15:Q114">
      <formula1>"Ja,Nej"</formula1>
    </dataValidation>
    <dataValidation type="list" allowBlank="1" showInputMessage="1" showErrorMessage="1" sqref="E15:E114">
      <formula1>"Forretningsmæssige forhold,Projektets tilrettelæggelse,Markedsafklaring og teknisk løsning,Interessenter,Slutbrugere og slutprodukt"</formula1>
    </dataValidation>
    <dataValidation type="list" allowBlank="1" showInputMessage="1" showErrorMessage="1" sqref="R15:S114 H15:I114">
      <formula1>"1,2,3,4,5"</formula1>
    </dataValidation>
    <dataValidation type="list" allowBlank="1" showInputMessage="1" showErrorMessage="1" sqref="W15:W114">
      <formula1>"Risiko,Indtraf ikke,Indtraf"</formula1>
    </dataValidation>
    <dataValidation type="list" allowBlank="1" showInputMessage="1" showErrorMessage="1" sqref="E10">
      <formula1>Startkvartal</formula1>
    </dataValidation>
  </dataValidations>
  <pageMargins left="0.25" right="0.25" top="0.75" bottom="0.75" header="0.3" footer="0.3"/>
  <pageSetup paperSize="8" scale="77" fitToHeight="0" orientation="landscape" r:id="rId1"/>
  <colBreaks count="1" manualBreakCount="1">
    <brk id="22" max="1048575" man="1"/>
  </colBreaks>
  <customProperties>
    <customPr name="Smart" r:id="rId2"/>
  </customProperties>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Lister!$D$2:$D$6</xm:f>
          </x14:formula1>
          <xm:sqref>E11</xm:sqref>
        </x14:dataValidation>
        <x14:dataValidation type="list" allowBlank="1" showInputMessage="1" showErrorMessage="1">
          <x14:formula1>
            <xm:f>Lister!$L$2:$L$57</xm:f>
          </x14:formula1>
          <xm:sqref>K15:K114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18"/>
  <sheetViews>
    <sheetView zoomScaleNormal="100" zoomScaleSheetLayoutView="106" workbookViewId="0">
      <selection activeCell="H2" sqref="H2"/>
    </sheetView>
  </sheetViews>
  <sheetFormatPr defaultColWidth="0" defaultRowHeight="14.25" zeroHeight="1" outlineLevelRow="1" x14ac:dyDescent="0.2"/>
  <cols>
    <col min="1" max="1" width="3.625" style="71" customWidth="1"/>
    <col min="2" max="2" width="6.75" style="71" customWidth="1"/>
    <col min="3" max="4" width="26.125" style="71" customWidth="1"/>
    <col min="5" max="5" width="11.625" style="71" bestFit="1" customWidth="1"/>
    <col min="6" max="7" width="8.625" style="71" customWidth="1"/>
    <col min="8" max="8" width="28.625" style="71" customWidth="1"/>
    <col min="9" max="9" width="15.25" style="71" customWidth="1"/>
    <col min="10" max="10" width="26.75" style="71" customWidth="1"/>
    <col min="11" max="11" width="26.125" style="71" customWidth="1"/>
    <col min="12" max="12" width="17.625" style="71" customWidth="1"/>
    <col min="13" max="13" width="7" style="71" customWidth="1"/>
    <col min="14" max="16384" width="9" style="71" hidden="1"/>
  </cols>
  <sheetData>
    <row r="1" spans="2:12" x14ac:dyDescent="0.2"/>
    <row r="2" spans="2:12" ht="39" x14ac:dyDescent="0.6">
      <c r="B2" s="72" t="s">
        <v>105</v>
      </c>
    </row>
    <row r="3" spans="2:12" ht="15" outlineLevel="1" x14ac:dyDescent="0.25">
      <c r="B3" s="71" t="s">
        <v>217</v>
      </c>
      <c r="C3" s="75"/>
    </row>
    <row r="4" spans="2:12" ht="15" outlineLevel="1" x14ac:dyDescent="0.25">
      <c r="B4" s="71" t="s">
        <v>168</v>
      </c>
      <c r="C4" s="75"/>
    </row>
    <row r="5" spans="2:12" x14ac:dyDescent="0.2">
      <c r="D5" s="74"/>
      <c r="E5" s="74"/>
      <c r="F5" s="74"/>
      <c r="G5" s="74"/>
      <c r="H5" s="74"/>
      <c r="I5" s="74"/>
      <c r="J5" s="74"/>
      <c r="K5" s="74"/>
      <c r="L5" s="74"/>
    </row>
    <row r="6" spans="2:12" ht="33.75" customHeight="1" x14ac:dyDescent="0.2">
      <c r="B6" s="118" t="s">
        <v>40</v>
      </c>
      <c r="C6" s="118" t="s">
        <v>71</v>
      </c>
      <c r="D6" s="118" t="s">
        <v>96</v>
      </c>
      <c r="E6" s="118" t="s">
        <v>72</v>
      </c>
      <c r="F6" s="118" t="s">
        <v>66</v>
      </c>
      <c r="G6" s="118" t="s">
        <v>64</v>
      </c>
      <c r="H6" s="118" t="s">
        <v>69</v>
      </c>
      <c r="I6" s="118" t="s">
        <v>161</v>
      </c>
      <c r="J6" s="118" t="s">
        <v>230</v>
      </c>
      <c r="K6" s="118" t="s">
        <v>59</v>
      </c>
      <c r="L6" s="118" t="s">
        <v>73</v>
      </c>
    </row>
    <row r="7" spans="2:12" x14ac:dyDescent="0.2">
      <c r="B7" s="112" t="str">
        <f ca="1">IFERROR(INDEX(Risikolog[Risiko-id],MATCH(Table2412[[#This Row],[Nærhed (måneder)]],Risikolog[Nærhed],0)),"")</f>
        <v/>
      </c>
      <c r="C7" s="113" t="str">
        <f ca="1">IFERROR(IF(VLOOKUP(Table2412[[#This Row],[Risiko-id]],Risikolog[[Risiko-id]:[Mitigerende tiltag]],5)=0,"",VLOOKUP(Table2412[[#This Row],[Risiko-id]],Risikolog[[Risiko-id]:[Mitigerende tiltag]],5)),"")</f>
        <v/>
      </c>
      <c r="D7" s="113" t="str">
        <f ca="1">IFERROR(IF(VLOOKUP(Table2412[[#This Row],[Risiko-id]],Risikolog[[Risiko-id]:[Mitigerende tiltag]],6)=0,"",VLOOKUP(Table2412[[#This Row],[Risiko-id]],Risikolog[[Risiko-id]:[Mitigerende tiltag]],6)),"")</f>
        <v/>
      </c>
      <c r="E7" s="114" t="str">
        <f ca="1">IFERROR(VLOOKUP(Table2412[[#This Row],[Risiko-id]],Risikolog[[Risiko-id]:[Mitigerende tiltag]],7),"")</f>
        <v/>
      </c>
      <c r="F7" s="114" t="str">
        <f ca="1">IFERROR(VLOOKUP(Table2412[[#This Row],[Risiko-id]],Risikolog[[Risiko-id]:[Mitigerende tiltag]],8),"")</f>
        <v/>
      </c>
      <c r="G7" s="114" t="str">
        <f ca="1">IFERROR(Table2412[[#This Row],[Sandsynlighed]]*Table2412[[#This Row],[Konsekvens]],"")</f>
        <v/>
      </c>
      <c r="H7" s="116" t="str">
        <f ca="1">IFERROR(IF(VLOOKUP(Table2412[[#This Row],[Risiko-id]],Risikolog[[Risiko-id]:[Mitigerende tiltag]],13)=0,"",VLOOKUP(Table2412[[#This Row],[Risiko-id]],Risikolog[[Risiko-id]:[Mitigerende tiltag]],13)),"")</f>
        <v/>
      </c>
      <c r="I7" s="116" t="str">
        <f ca="1">IFERROR(IF(VLOOKUP(Table2412[[#This Row],[Risiko-id]],Risikolog[[Risiko-id]:[Status]],14)=0,"",VLOOKUP(Table2412[[#This Row],[Risiko-id]],Risikolog[[Risiko-id]:[Status]],14)),"")</f>
        <v/>
      </c>
      <c r="J7" s="116" t="str">
        <f ca="1">IFERROR(IF(VLOOKUP(Table2412[[#This Row],[Risiko-id]],Risikolog[[Risiko-id]:[Beredskabsplan hvis risiko indtræffer]],20)=0,"",VLOOKUP(Table2412[[#This Row],[Risiko-id]],Risikolog[[Risiko-id]:[Beredskabsplan hvis risiko indtræffer]],20)),"")</f>
        <v/>
      </c>
      <c r="K7" s="116" t="str">
        <f ca="1">IFERROR(IF(VLOOKUP(Table2412[[#This Row],[Risiko-id]],Risikolog[[Risiko-id]:[Mitigerende tiltag]],12)=0,"",VLOOKUP(Table2412[[#This Row],[Risiko-id]],Risikolog[[Risiko-id]:[Mitigerende tiltag]],12)),"")</f>
        <v/>
      </c>
      <c r="L7" s="117" t="str">
        <f t="array" aca="1" ref="L7" ca="1">IFERROR(SMALL(IF(Risikolog[Status]="Risiko",IF(Risikolog[Risiko-værdi]&gt;1,Risikolog[Nærhed])),1),"N/A")</f>
        <v>N/A</v>
      </c>
    </row>
    <row r="8" spans="2:12" x14ac:dyDescent="0.2">
      <c r="B8" s="112" t="str">
        <f ca="1">IFERROR(INDEX(Risikolog[Risiko-id],MATCH(Table2412[[#This Row],[Nærhed (måneder)]],Risikolog[Nærhed],0)),"")</f>
        <v/>
      </c>
      <c r="C8" s="113" t="str">
        <f ca="1">IFERROR(IF(VLOOKUP(Table2412[[#This Row],[Risiko-id]],Risikolog[[Risiko-id]:[Mitigerende tiltag]],5)=0,"",VLOOKUP(Table2412[[#This Row],[Risiko-id]],Risikolog[[Risiko-id]:[Mitigerende tiltag]],5)),"")</f>
        <v/>
      </c>
      <c r="D8" s="113" t="str">
        <f ca="1">IFERROR(IF(VLOOKUP(Table2412[[#This Row],[Risiko-id]],Risikolog[[Risiko-id]:[Mitigerende tiltag]],6)=0,"",VLOOKUP(Table2412[[#This Row],[Risiko-id]],Risikolog[[Risiko-id]:[Mitigerende tiltag]],6)),"")</f>
        <v/>
      </c>
      <c r="E8" s="114" t="str">
        <f ca="1">IFERROR(VLOOKUP(Table2412[[#This Row],[Risiko-id]],Risikolog[[Risiko-id]:[Mitigerende tiltag]],7),"")</f>
        <v/>
      </c>
      <c r="F8" s="114" t="str">
        <f ca="1">IFERROR(VLOOKUP(Table2412[[#This Row],[Risiko-id]],Risikolog[[Risiko-id]:[Mitigerende tiltag]],8),"")</f>
        <v/>
      </c>
      <c r="G8" s="114" t="str">
        <f ca="1">IFERROR(Table2412[[#This Row],[Sandsynlighed]]*Table2412[[#This Row],[Konsekvens]],"")</f>
        <v/>
      </c>
      <c r="H8" s="116" t="str">
        <f ca="1">IFERROR(IF(VLOOKUP(Table2412[[#This Row],[Risiko-id]],Risikolog[[Risiko-id]:[Mitigerende tiltag]],13)=0,"",VLOOKUP(Table2412[[#This Row],[Risiko-id]],Risikolog[[Risiko-id]:[Mitigerende tiltag]],13)),"")</f>
        <v/>
      </c>
      <c r="I8" s="116" t="str">
        <f ca="1">IFERROR(IF(VLOOKUP(Table2412[[#This Row],[Risiko-id]],Risikolog[[Risiko-id]:[Status]],14)=0,"",VLOOKUP(Table2412[[#This Row],[Risiko-id]],Risikolog[[Risiko-id]:[Status]],14)),"")</f>
        <v/>
      </c>
      <c r="J8" s="116" t="str">
        <f ca="1">IFERROR(IF(VLOOKUP(Table2412[[#This Row],[Risiko-id]],Risikolog[[Risiko-id]:[Beredskabsplan hvis risiko indtræffer]],20)=0,"",VLOOKUP(Table2412[[#This Row],[Risiko-id]],Risikolog[[Risiko-id]:[Beredskabsplan hvis risiko indtræffer]],20)),"")</f>
        <v/>
      </c>
      <c r="K8" s="116" t="str">
        <f ca="1">IFERROR(IF(VLOOKUP(Table2412[[#This Row],[Risiko-id]],Risikolog[[Risiko-id]:[Mitigerende tiltag]],12)=0,"",VLOOKUP(Table2412[[#This Row],[Risiko-id]],Risikolog[[Risiko-id]:[Mitigerende tiltag]],12)),"")</f>
        <v/>
      </c>
      <c r="L8" s="117" t="str">
        <f t="array" aca="1" ref="L8" ca="1">IFERROR(SMALL(IF(Risikolog[Status]="Risiko",IF(Risikolog[Risiko-værdi]&gt;1,Risikolog[Nærhed])),2),"N/A")</f>
        <v>N/A</v>
      </c>
    </row>
    <row r="9" spans="2:12" x14ac:dyDescent="0.2">
      <c r="B9" s="112" t="str">
        <f ca="1">IFERROR(INDEX(Risikolog[Risiko-id],MATCH(Table2412[[#This Row],[Nærhed (måneder)]],Risikolog[Nærhed],0)),"")</f>
        <v/>
      </c>
      <c r="C9" s="113" t="str">
        <f ca="1">IFERROR(IF(VLOOKUP(Table2412[[#This Row],[Risiko-id]],Risikolog[[Risiko-id]:[Mitigerende tiltag]],5)=0,"",VLOOKUP(Table2412[[#This Row],[Risiko-id]],Risikolog[[Risiko-id]:[Mitigerende tiltag]],5)),"")</f>
        <v/>
      </c>
      <c r="D9" s="113" t="str">
        <f ca="1">IFERROR(IF(VLOOKUP(Table2412[[#This Row],[Risiko-id]],Risikolog[[Risiko-id]:[Mitigerende tiltag]],6)=0,"",VLOOKUP(Table2412[[#This Row],[Risiko-id]],Risikolog[[Risiko-id]:[Mitigerende tiltag]],6)),"")</f>
        <v/>
      </c>
      <c r="E9" s="114" t="str">
        <f ca="1">IFERROR(VLOOKUP(Table2412[[#This Row],[Risiko-id]],Risikolog[[Risiko-id]:[Mitigerende tiltag]],7),"")</f>
        <v/>
      </c>
      <c r="F9" s="114" t="str">
        <f ca="1">IFERROR(VLOOKUP(Table2412[[#This Row],[Risiko-id]],Risikolog[[Risiko-id]:[Mitigerende tiltag]],8),"")</f>
        <v/>
      </c>
      <c r="G9" s="114" t="str">
        <f ca="1">IFERROR(Table2412[[#This Row],[Sandsynlighed]]*Table2412[[#This Row],[Konsekvens]],"")</f>
        <v/>
      </c>
      <c r="H9" s="116" t="str">
        <f ca="1">IFERROR(IF(VLOOKUP(Table2412[[#This Row],[Risiko-id]],Risikolog[[Risiko-id]:[Mitigerende tiltag]],13)=0,"",VLOOKUP(Table2412[[#This Row],[Risiko-id]],Risikolog[[Risiko-id]:[Mitigerende tiltag]],13)),"")</f>
        <v/>
      </c>
      <c r="I9" s="116" t="str">
        <f ca="1">IFERROR(IF(VLOOKUP(Table2412[[#This Row],[Risiko-id]],Risikolog[[Risiko-id]:[Status]],14)=0,"",VLOOKUP(Table2412[[#This Row],[Risiko-id]],Risikolog[[Risiko-id]:[Status]],14)),"")</f>
        <v/>
      </c>
      <c r="J9" s="116" t="str">
        <f ca="1">IFERROR(IF(VLOOKUP(Table2412[[#This Row],[Risiko-id]],Risikolog[[Risiko-id]:[Beredskabsplan hvis risiko indtræffer]],20)=0,"",VLOOKUP(Table2412[[#This Row],[Risiko-id]],Risikolog[[Risiko-id]:[Beredskabsplan hvis risiko indtræffer]],20)),"")</f>
        <v/>
      </c>
      <c r="K9" s="116" t="str">
        <f ca="1">IFERROR(IF(VLOOKUP(Table2412[[#This Row],[Risiko-id]],Risikolog[[Risiko-id]:[Mitigerende tiltag]],12)=0,"",VLOOKUP(Table2412[[#This Row],[Risiko-id]],Risikolog[[Risiko-id]:[Mitigerende tiltag]],12)),"")</f>
        <v/>
      </c>
      <c r="L9" s="117" t="str">
        <f t="array" aca="1" ref="L9" ca="1">IFERROR(SMALL(IF(Risikolog[Status]="Risiko",IF(Risikolog[Risiko-værdi]&gt;1,Risikolog[Nærhed])),3),"N/A")</f>
        <v>N/A</v>
      </c>
    </row>
    <row r="10" spans="2:12" x14ac:dyDescent="0.2">
      <c r="B10" s="112" t="str">
        <f ca="1">IFERROR(INDEX(Risikolog[Risiko-id],MATCH(Table2412[[#This Row],[Nærhed (måneder)]],Risikolog[Nærhed],0)),"")</f>
        <v/>
      </c>
      <c r="C10" s="113" t="str">
        <f ca="1">IFERROR(IF(VLOOKUP(Table2412[[#This Row],[Risiko-id]],Risikolog[[Risiko-id]:[Mitigerende tiltag]],5)=0,"",VLOOKUP(Table2412[[#This Row],[Risiko-id]],Risikolog[[Risiko-id]:[Mitigerende tiltag]],5)),"")</f>
        <v/>
      </c>
      <c r="D10" s="113" t="str">
        <f ca="1">IFERROR(IF(VLOOKUP(Table2412[[#This Row],[Risiko-id]],Risikolog[[Risiko-id]:[Mitigerende tiltag]],6)=0,"",VLOOKUP(Table2412[[#This Row],[Risiko-id]],Risikolog[[Risiko-id]:[Mitigerende tiltag]],6)),"")</f>
        <v/>
      </c>
      <c r="E10" s="114" t="str">
        <f ca="1">IFERROR(VLOOKUP(Table2412[[#This Row],[Risiko-id]],Risikolog[[Risiko-id]:[Mitigerende tiltag]],7),"")</f>
        <v/>
      </c>
      <c r="F10" s="114" t="str">
        <f ca="1">IFERROR(VLOOKUP(Table2412[[#This Row],[Risiko-id]],Risikolog[[Risiko-id]:[Mitigerende tiltag]],8),"")</f>
        <v/>
      </c>
      <c r="G10" s="114" t="str">
        <f ca="1">IFERROR(Table2412[[#This Row],[Sandsynlighed]]*Table2412[[#This Row],[Konsekvens]],"")</f>
        <v/>
      </c>
      <c r="H10" s="116" t="str">
        <f ca="1">IFERROR(IF(VLOOKUP(Table2412[[#This Row],[Risiko-id]],Risikolog[[Risiko-id]:[Mitigerende tiltag]],13)=0,"",VLOOKUP(Table2412[[#This Row],[Risiko-id]],Risikolog[[Risiko-id]:[Mitigerende tiltag]],13)),"")</f>
        <v/>
      </c>
      <c r="I10" s="116" t="str">
        <f ca="1">IFERROR(IF(VLOOKUP(Table2412[[#This Row],[Risiko-id]],Risikolog[[Risiko-id]:[Status]],14)=0,"",VLOOKUP(Table2412[[#This Row],[Risiko-id]],Risikolog[[Risiko-id]:[Status]],14)),"")</f>
        <v/>
      </c>
      <c r="J10" s="116" t="str">
        <f ca="1">IFERROR(IF(VLOOKUP(Table2412[[#This Row],[Risiko-id]],Risikolog[[Risiko-id]:[Beredskabsplan hvis risiko indtræffer]],20)=0,"",VLOOKUP(Table2412[[#This Row],[Risiko-id]],Risikolog[[Risiko-id]:[Beredskabsplan hvis risiko indtræffer]],20)),"")</f>
        <v/>
      </c>
      <c r="K10" s="116" t="str">
        <f ca="1">IFERROR(IF(VLOOKUP(Table2412[[#This Row],[Risiko-id]],Risikolog[[Risiko-id]:[Mitigerende tiltag]],12)=0,"",VLOOKUP(Table2412[[#This Row],[Risiko-id]],Risikolog[[Risiko-id]:[Mitigerende tiltag]],12)),"")</f>
        <v/>
      </c>
      <c r="L10" s="117" t="str">
        <f t="array" aca="1" ref="L10" ca="1">IFERROR(SMALL(IF(Risikolog[Status]="Risiko",IF(Risikolog[Risiko-værdi]&gt;1,Risikolog[Nærhed])),4),"N/A")</f>
        <v>N/A</v>
      </c>
    </row>
    <row r="11" spans="2:12" x14ac:dyDescent="0.2">
      <c r="B11" s="112" t="str">
        <f ca="1">IFERROR(INDEX(Risikolog[Risiko-id],MATCH(Table2412[[#This Row],[Nærhed (måneder)]],Risikolog[Nærhed],0)),"")</f>
        <v/>
      </c>
      <c r="C11" s="113" t="str">
        <f ca="1">IFERROR(IF(VLOOKUP(Table2412[[#This Row],[Risiko-id]],Risikolog[[Risiko-id]:[Mitigerende tiltag]],5)=0,"",VLOOKUP(Table2412[[#This Row],[Risiko-id]],Risikolog[[Risiko-id]:[Mitigerende tiltag]],5)),"")</f>
        <v/>
      </c>
      <c r="D11" s="113" t="str">
        <f ca="1">IFERROR(IF(VLOOKUP(Table2412[[#This Row],[Risiko-id]],Risikolog[[Risiko-id]:[Mitigerende tiltag]],6)=0,"",VLOOKUP(Table2412[[#This Row],[Risiko-id]],Risikolog[[Risiko-id]:[Mitigerende tiltag]],6)),"")</f>
        <v/>
      </c>
      <c r="E11" s="114" t="str">
        <f ca="1">IFERROR(VLOOKUP(Table2412[[#This Row],[Risiko-id]],Risikolog[[Risiko-id]:[Mitigerende tiltag]],7),"")</f>
        <v/>
      </c>
      <c r="F11" s="114" t="str">
        <f ca="1">IFERROR(VLOOKUP(Table2412[[#This Row],[Risiko-id]],Risikolog[[Risiko-id]:[Mitigerende tiltag]],8),"")</f>
        <v/>
      </c>
      <c r="G11" s="114" t="str">
        <f ca="1">IFERROR(Table2412[[#This Row],[Sandsynlighed]]*Table2412[[#This Row],[Konsekvens]],"")</f>
        <v/>
      </c>
      <c r="H11" s="116" t="str">
        <f ca="1">IFERROR(IF(VLOOKUP(Table2412[[#This Row],[Risiko-id]],Risikolog[[Risiko-id]:[Mitigerende tiltag]],13)=0,"",VLOOKUP(Table2412[[#This Row],[Risiko-id]],Risikolog[[Risiko-id]:[Mitigerende tiltag]],13)),"")</f>
        <v/>
      </c>
      <c r="I11" s="116" t="str">
        <f ca="1">IFERROR(IF(VLOOKUP(Table2412[[#This Row],[Risiko-id]],Risikolog[[Risiko-id]:[Status]],14)=0,"",VLOOKUP(Table2412[[#This Row],[Risiko-id]],Risikolog[[Risiko-id]:[Status]],14)),"")</f>
        <v/>
      </c>
      <c r="J11" s="116" t="str">
        <f ca="1">IFERROR(IF(VLOOKUP(Table2412[[#This Row],[Risiko-id]],Risikolog[[Risiko-id]:[Beredskabsplan hvis risiko indtræffer]],20)=0,"",VLOOKUP(Table2412[[#This Row],[Risiko-id]],Risikolog[[Risiko-id]:[Beredskabsplan hvis risiko indtræffer]],20)),"")</f>
        <v/>
      </c>
      <c r="K11" s="116" t="str">
        <f ca="1">IFERROR(IF(VLOOKUP(Table2412[[#This Row],[Risiko-id]],Risikolog[[Risiko-id]:[Mitigerende tiltag]],12)=0,"",VLOOKUP(Table2412[[#This Row],[Risiko-id]],Risikolog[[Risiko-id]:[Mitigerende tiltag]],12)),"")</f>
        <v/>
      </c>
      <c r="L11" s="117" t="str">
        <f t="array" aca="1" ref="L11" ca="1">IFERROR(SMALL(IF(Risikolog[Status]="Risiko",IF(Risikolog[Risiko-værdi]&gt;1,Risikolog[Nærhed])),5),"N/A")</f>
        <v>N/A</v>
      </c>
    </row>
    <row r="12" spans="2:12" x14ac:dyDescent="0.2">
      <c r="B12" s="167" t="str">
        <f ca="1">IFERROR(INDEX(Risikolog[Risiko-id],MATCH(Table2412[[#This Row],[Nærhed (måneder)]],Risikolog[Nærhed],0)),"")</f>
        <v/>
      </c>
      <c r="C12" s="168" t="str">
        <f ca="1">IFERROR(IF(VLOOKUP(Table2412[[#This Row],[Risiko-id]],Risikolog[[Risiko-id]:[Mitigerende tiltag]],5)=0,"",VLOOKUP(Table2412[[#This Row],[Risiko-id]],Risikolog[[Risiko-id]:[Mitigerende tiltag]],5)),"")</f>
        <v/>
      </c>
      <c r="D12" s="168" t="str">
        <f ca="1">IFERROR(IF(VLOOKUP(Table2412[[#This Row],[Risiko-id]],Risikolog[[Risiko-id]:[Mitigerende tiltag]],6)=0,"",VLOOKUP(Table2412[[#This Row],[Risiko-id]],Risikolog[[Risiko-id]:[Mitigerende tiltag]],6)),"")</f>
        <v/>
      </c>
      <c r="E12" s="169" t="str">
        <f ca="1">IFERROR(VLOOKUP(Table2412[[#This Row],[Risiko-id]],Risikolog[[Risiko-id]:[Mitigerende tiltag]],7),"")</f>
        <v/>
      </c>
      <c r="F12" s="169" t="str">
        <f ca="1">IFERROR(VLOOKUP(Table2412[[#This Row],[Risiko-id]],Risikolog[[Risiko-id]:[Mitigerende tiltag]],8),"")</f>
        <v/>
      </c>
      <c r="G12" s="169" t="str">
        <f ca="1">IFERROR(Table2412[[#This Row],[Sandsynlighed]]*Table2412[[#This Row],[Konsekvens]],"")</f>
        <v/>
      </c>
      <c r="H12" s="170" t="str">
        <f ca="1">IFERROR(IF(VLOOKUP(Table2412[[#This Row],[Risiko-id]],Risikolog[[Risiko-id]:[Mitigerende tiltag]],13)=0,"",VLOOKUP(Table2412[[#This Row],[Risiko-id]],Risikolog[[Risiko-id]:[Mitigerende tiltag]],13)),"")</f>
        <v/>
      </c>
      <c r="I12" s="170" t="str">
        <f ca="1">IFERROR(IF(VLOOKUP(Table2412[[#This Row],[Risiko-id]],Risikolog[[Risiko-id]:[Status]],14)=0,"",VLOOKUP(Table2412[[#This Row],[Risiko-id]],Risikolog[[Risiko-id]:[Status]],14)),"")</f>
        <v/>
      </c>
      <c r="J12" s="170" t="str">
        <f ca="1">IFERROR(IF(VLOOKUP(Table2412[[#This Row],[Risiko-id]],Risikolog[[Risiko-id]:[Beredskabsplan hvis risiko indtræffer]],20)=0,"",VLOOKUP(Table2412[[#This Row],[Risiko-id]],Risikolog[[Risiko-id]:[Beredskabsplan hvis risiko indtræffer]],20)),"")</f>
        <v/>
      </c>
      <c r="K12" s="170" t="str">
        <f ca="1">IFERROR(IF(VLOOKUP(Table2412[[#This Row],[Risiko-id]],Risikolog[[Risiko-id]:[Mitigerende tiltag]],12)=0,"",VLOOKUP(Table2412[[#This Row],[Risiko-id]],Risikolog[[Risiko-id]:[Mitigerende tiltag]],12)),"")</f>
        <v/>
      </c>
      <c r="L12" s="123" t="str">
        <f t="array" aca="1" ref="L12" ca="1">IFERROR(SMALL(IF(Risikolog[Status]="Risiko",IF(Risikolog[Risiko-værdi]&gt;1,Risikolog[Nærhed])),6),"N/A")</f>
        <v>N/A</v>
      </c>
    </row>
    <row r="13" spans="2:12" x14ac:dyDescent="0.2">
      <c r="B13" s="167" t="str">
        <f ca="1">IFERROR(INDEX(Risikolog[Risiko-id],MATCH(Table2412[[#This Row],[Nærhed (måneder)]],Risikolog[Nærhed],0)),"")</f>
        <v/>
      </c>
      <c r="C13" s="168" t="str">
        <f ca="1">IFERROR(IF(VLOOKUP(Table2412[[#This Row],[Risiko-id]],Risikolog[[Risiko-id]:[Mitigerende tiltag]],5)=0,"",VLOOKUP(Table2412[[#This Row],[Risiko-id]],Risikolog[[Risiko-id]:[Mitigerende tiltag]],5)),"")</f>
        <v/>
      </c>
      <c r="D13" s="168" t="str">
        <f ca="1">IFERROR(IF(VLOOKUP(Table2412[[#This Row],[Risiko-id]],Risikolog[[Risiko-id]:[Mitigerende tiltag]],6)=0,"",VLOOKUP(Table2412[[#This Row],[Risiko-id]],Risikolog[[Risiko-id]:[Mitigerende tiltag]],6)),"")</f>
        <v/>
      </c>
      <c r="E13" s="169" t="str">
        <f ca="1">IFERROR(VLOOKUP(Table2412[[#This Row],[Risiko-id]],Risikolog[[Risiko-id]:[Mitigerende tiltag]],7),"")</f>
        <v/>
      </c>
      <c r="F13" s="169" t="str">
        <f ca="1">IFERROR(VLOOKUP(Table2412[[#This Row],[Risiko-id]],Risikolog[[Risiko-id]:[Mitigerende tiltag]],8),"")</f>
        <v/>
      </c>
      <c r="G13" s="169" t="str">
        <f ca="1">IFERROR(Table2412[[#This Row],[Sandsynlighed]]*Table2412[[#This Row],[Konsekvens]],"")</f>
        <v/>
      </c>
      <c r="H13" s="170" t="str">
        <f ca="1">IFERROR(IF(VLOOKUP(Table2412[[#This Row],[Risiko-id]],Risikolog[[Risiko-id]:[Mitigerende tiltag]],13)=0,"",VLOOKUP(Table2412[[#This Row],[Risiko-id]],Risikolog[[Risiko-id]:[Mitigerende tiltag]],13)),"")</f>
        <v/>
      </c>
      <c r="I13" s="170" t="str">
        <f ca="1">IFERROR(IF(VLOOKUP(Table2412[[#This Row],[Risiko-id]],Risikolog[[Risiko-id]:[Status]],14)=0,"",VLOOKUP(Table2412[[#This Row],[Risiko-id]],Risikolog[[Risiko-id]:[Status]],14)),"")</f>
        <v/>
      </c>
      <c r="J13" s="170" t="str">
        <f ca="1">IFERROR(IF(VLOOKUP(Table2412[[#This Row],[Risiko-id]],Risikolog[[Risiko-id]:[Beredskabsplan hvis risiko indtræffer]],20)=0,"",VLOOKUP(Table2412[[#This Row],[Risiko-id]],Risikolog[[Risiko-id]:[Beredskabsplan hvis risiko indtræffer]],20)),"")</f>
        <v/>
      </c>
      <c r="K13" s="170" t="str">
        <f ca="1">IFERROR(IF(VLOOKUP(Table2412[[#This Row],[Risiko-id]],Risikolog[[Risiko-id]:[Mitigerende tiltag]],12)=0,"",VLOOKUP(Table2412[[#This Row],[Risiko-id]],Risikolog[[Risiko-id]:[Mitigerende tiltag]],12)),"")</f>
        <v/>
      </c>
      <c r="L13" s="123" t="str">
        <f t="array" aca="1" ref="L13" ca="1">IFERROR(SMALL(IF(Risikolog[Status]="Risiko",IF(Risikolog[Risiko-værdi]&gt;1,Risikolog[Nærhed])),7),"N/A")</f>
        <v>N/A</v>
      </c>
    </row>
    <row r="14" spans="2:12" x14ac:dyDescent="0.2">
      <c r="B14" s="167" t="str">
        <f ca="1">IFERROR(INDEX(Risikolog[Risiko-id],MATCH(Table2412[[#This Row],[Nærhed (måneder)]],Risikolog[Nærhed],0)),"")</f>
        <v/>
      </c>
      <c r="C14" s="168" t="str">
        <f ca="1">IFERROR(IF(VLOOKUP(Table2412[[#This Row],[Risiko-id]],Risikolog[[Risiko-id]:[Mitigerende tiltag]],5)=0,"",VLOOKUP(Table2412[[#This Row],[Risiko-id]],Risikolog[[Risiko-id]:[Mitigerende tiltag]],5)),"")</f>
        <v/>
      </c>
      <c r="D14" s="168" t="str">
        <f ca="1">IFERROR(IF(VLOOKUP(Table2412[[#This Row],[Risiko-id]],Risikolog[[Risiko-id]:[Mitigerende tiltag]],6)=0,"",VLOOKUP(Table2412[[#This Row],[Risiko-id]],Risikolog[[Risiko-id]:[Mitigerende tiltag]],6)),"")</f>
        <v/>
      </c>
      <c r="E14" s="169" t="str">
        <f ca="1">IFERROR(VLOOKUP(Table2412[[#This Row],[Risiko-id]],Risikolog[[Risiko-id]:[Mitigerende tiltag]],7),"")</f>
        <v/>
      </c>
      <c r="F14" s="169" t="str">
        <f ca="1">IFERROR(VLOOKUP(Table2412[[#This Row],[Risiko-id]],Risikolog[[Risiko-id]:[Mitigerende tiltag]],8),"")</f>
        <v/>
      </c>
      <c r="G14" s="169" t="str">
        <f ca="1">IFERROR(Table2412[[#This Row],[Sandsynlighed]]*Table2412[[#This Row],[Konsekvens]],"")</f>
        <v/>
      </c>
      <c r="H14" s="170" t="str">
        <f ca="1">IFERROR(IF(VLOOKUP(Table2412[[#This Row],[Risiko-id]],Risikolog[[Risiko-id]:[Mitigerende tiltag]],13)=0,"",VLOOKUP(Table2412[[#This Row],[Risiko-id]],Risikolog[[Risiko-id]:[Mitigerende tiltag]],13)),"")</f>
        <v/>
      </c>
      <c r="I14" s="170" t="str">
        <f ca="1">IFERROR(IF(VLOOKUP(Table2412[[#This Row],[Risiko-id]],Risikolog[[Risiko-id]:[Status]],14)=0,"",VLOOKUP(Table2412[[#This Row],[Risiko-id]],Risikolog[[Risiko-id]:[Status]],14)),"")</f>
        <v/>
      </c>
      <c r="J14" s="170" t="str">
        <f ca="1">IFERROR(IF(VLOOKUP(Table2412[[#This Row],[Risiko-id]],Risikolog[[Risiko-id]:[Beredskabsplan hvis risiko indtræffer]],20)=0,"",VLOOKUP(Table2412[[#This Row],[Risiko-id]],Risikolog[[Risiko-id]:[Beredskabsplan hvis risiko indtræffer]],20)),"")</f>
        <v/>
      </c>
      <c r="K14" s="170" t="str">
        <f ca="1">IFERROR(IF(VLOOKUP(Table2412[[#This Row],[Risiko-id]],Risikolog[[Risiko-id]:[Mitigerende tiltag]],12)=0,"",VLOOKUP(Table2412[[#This Row],[Risiko-id]],Risikolog[[Risiko-id]:[Mitigerende tiltag]],12)),"")</f>
        <v/>
      </c>
      <c r="L14" s="123" t="str">
        <f t="array" aca="1" ref="L14" ca="1">IFERROR(SMALL(IF(Risikolog[Status]="Risiko",IF(Risikolog[Risiko-værdi]&gt;1,Risikolog[Nærhed])),8),"N/A")</f>
        <v>N/A</v>
      </c>
    </row>
    <row r="15" spans="2:12" x14ac:dyDescent="0.2">
      <c r="B15" s="167" t="str">
        <f ca="1">IFERROR(INDEX(Risikolog[Risiko-id],MATCH(Table2412[[#This Row],[Nærhed (måneder)]],Risikolog[Nærhed],0)),"")</f>
        <v/>
      </c>
      <c r="C15" s="168" t="str">
        <f ca="1">IFERROR(IF(VLOOKUP(Table2412[[#This Row],[Risiko-id]],Risikolog[[Risiko-id]:[Mitigerende tiltag]],5)=0,"",VLOOKUP(Table2412[[#This Row],[Risiko-id]],Risikolog[[Risiko-id]:[Mitigerende tiltag]],5)),"")</f>
        <v/>
      </c>
      <c r="D15" s="168" t="str">
        <f ca="1">IFERROR(IF(VLOOKUP(Table2412[[#This Row],[Risiko-id]],Risikolog[[Risiko-id]:[Mitigerende tiltag]],6)=0,"",VLOOKUP(Table2412[[#This Row],[Risiko-id]],Risikolog[[Risiko-id]:[Mitigerende tiltag]],6)),"")</f>
        <v/>
      </c>
      <c r="E15" s="169" t="str">
        <f ca="1">IFERROR(VLOOKUP(Table2412[[#This Row],[Risiko-id]],Risikolog[[Risiko-id]:[Mitigerende tiltag]],7),"")</f>
        <v/>
      </c>
      <c r="F15" s="169" t="str">
        <f ca="1">IFERROR(VLOOKUP(Table2412[[#This Row],[Risiko-id]],Risikolog[[Risiko-id]:[Mitigerende tiltag]],8),"")</f>
        <v/>
      </c>
      <c r="G15" s="169" t="str">
        <f ca="1">IFERROR(Table2412[[#This Row],[Sandsynlighed]]*Table2412[[#This Row],[Konsekvens]],"")</f>
        <v/>
      </c>
      <c r="H15" s="170" t="str">
        <f ca="1">IFERROR(IF(VLOOKUP(Table2412[[#This Row],[Risiko-id]],Risikolog[[Risiko-id]:[Mitigerende tiltag]],13)=0,"",VLOOKUP(Table2412[[#This Row],[Risiko-id]],Risikolog[[Risiko-id]:[Mitigerende tiltag]],13)),"")</f>
        <v/>
      </c>
      <c r="I15" s="170" t="str">
        <f ca="1">IFERROR(IF(VLOOKUP(Table2412[[#This Row],[Risiko-id]],Risikolog[[Risiko-id]:[Status]],14)=0,"",VLOOKUP(Table2412[[#This Row],[Risiko-id]],Risikolog[[Risiko-id]:[Status]],14)),"")</f>
        <v/>
      </c>
      <c r="J15" s="170" t="str">
        <f ca="1">IFERROR(IF(VLOOKUP(Table2412[[#This Row],[Risiko-id]],Risikolog[[Risiko-id]:[Beredskabsplan hvis risiko indtræffer]],20)=0,"",VLOOKUP(Table2412[[#This Row],[Risiko-id]],Risikolog[[Risiko-id]:[Beredskabsplan hvis risiko indtræffer]],20)),"")</f>
        <v/>
      </c>
      <c r="K15" s="170" t="str">
        <f ca="1">IFERROR(IF(VLOOKUP(Table2412[[#This Row],[Risiko-id]],Risikolog[[Risiko-id]:[Mitigerende tiltag]],12)=0,"",VLOOKUP(Table2412[[#This Row],[Risiko-id]],Risikolog[[Risiko-id]:[Mitigerende tiltag]],12)),"")</f>
        <v/>
      </c>
      <c r="L15" s="123" t="str">
        <f t="array" aca="1" ref="L15" ca="1">IFERROR(SMALL(IF(Risikolog[Status]="Risiko",IF(Risikolog[Risiko-værdi]&gt;1,Risikolog[Nærhed])),9),"N/A")</f>
        <v>N/A</v>
      </c>
    </row>
    <row r="16" spans="2:12" x14ac:dyDescent="0.2">
      <c r="B16" s="167" t="str">
        <f ca="1">IFERROR(INDEX(Risikolog[Risiko-id],MATCH(Table2412[[#This Row],[Nærhed (måneder)]],Risikolog[Nærhed],0)),"")</f>
        <v/>
      </c>
      <c r="C16" s="168" t="str">
        <f ca="1">IFERROR(IF(VLOOKUP(Table2412[[#This Row],[Risiko-id]],Risikolog[[Risiko-id]:[Mitigerende tiltag]],5)=0,"",VLOOKUP(Table2412[[#This Row],[Risiko-id]],Risikolog[[Risiko-id]:[Mitigerende tiltag]],5)),"")</f>
        <v/>
      </c>
      <c r="D16" s="168" t="str">
        <f ca="1">IFERROR(IF(VLOOKUP(Table2412[[#This Row],[Risiko-id]],Risikolog[[Risiko-id]:[Mitigerende tiltag]],6)=0,"",VLOOKUP(Table2412[[#This Row],[Risiko-id]],Risikolog[[Risiko-id]:[Mitigerende tiltag]],6)),"")</f>
        <v/>
      </c>
      <c r="E16" s="169" t="str">
        <f ca="1">IFERROR(VLOOKUP(Table2412[[#This Row],[Risiko-id]],Risikolog[[Risiko-id]:[Mitigerende tiltag]],7),"")</f>
        <v/>
      </c>
      <c r="F16" s="169" t="str">
        <f ca="1">IFERROR(VLOOKUP(Table2412[[#This Row],[Risiko-id]],Risikolog[[Risiko-id]:[Mitigerende tiltag]],8),"")</f>
        <v/>
      </c>
      <c r="G16" s="169" t="str">
        <f ca="1">IFERROR(Table2412[[#This Row],[Sandsynlighed]]*Table2412[[#This Row],[Konsekvens]],"")</f>
        <v/>
      </c>
      <c r="H16" s="170" t="str">
        <f ca="1">IFERROR(IF(VLOOKUP(Table2412[[#This Row],[Risiko-id]],Risikolog[[Risiko-id]:[Mitigerende tiltag]],13)=0,"",VLOOKUP(Table2412[[#This Row],[Risiko-id]],Risikolog[[Risiko-id]:[Mitigerende tiltag]],13)),"")</f>
        <v/>
      </c>
      <c r="I16" s="170" t="str">
        <f ca="1">IFERROR(IF(VLOOKUP(Table2412[[#This Row],[Risiko-id]],Risikolog[[Risiko-id]:[Status]],14)=0,"",VLOOKUP(Table2412[[#This Row],[Risiko-id]],Risikolog[[Risiko-id]:[Status]],14)),"")</f>
        <v/>
      </c>
      <c r="J16" s="170" t="str">
        <f ca="1">IFERROR(IF(VLOOKUP(Table2412[[#This Row],[Risiko-id]],Risikolog[[Risiko-id]:[Beredskabsplan hvis risiko indtræffer]],20)=0,"",VLOOKUP(Table2412[[#This Row],[Risiko-id]],Risikolog[[Risiko-id]:[Beredskabsplan hvis risiko indtræffer]],20)),"")</f>
        <v/>
      </c>
      <c r="K16" s="170" t="str">
        <f ca="1">IFERROR(IF(VLOOKUP(Table2412[[#This Row],[Risiko-id]],Risikolog[[Risiko-id]:[Mitigerende tiltag]],12)=0,"",VLOOKUP(Table2412[[#This Row],[Risiko-id]],Risikolog[[Risiko-id]:[Mitigerende tiltag]],12)),"")</f>
        <v/>
      </c>
      <c r="L16" s="123" t="str">
        <f t="array" aca="1" ref="L16" ca="1">IFERROR(SMALL(IF(Risikolog[Status]="Risiko",IF(Risikolog[Risiko-værdi]&gt;1,Risikolog[Nærhed])),10),"N/A")</f>
        <v>N/A</v>
      </c>
    </row>
    <row r="17" x14ac:dyDescent="0.2"/>
    <row r="18" x14ac:dyDescent="0.2"/>
  </sheetData>
  <sheetProtection sheet="1" objects="1" scenarios="1" formatCells="0" formatColumns="0" formatRows="0"/>
  <pageMargins left="0.25" right="0.25" top="0.75" bottom="0.75" header="0.3" footer="0.3"/>
  <pageSetup paperSize="9" scale="53" orientation="landscape" r:id="rId1"/>
  <ignoredErrors>
    <ignoredError sqref="L7:L8 L9:L11 L12:L16"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T116"/>
  <sheetViews>
    <sheetView showGridLines="0" zoomScaleNormal="100" workbookViewId="0">
      <selection activeCell="O16" sqref="O16"/>
    </sheetView>
  </sheetViews>
  <sheetFormatPr defaultColWidth="0" defaultRowHeight="14.25" zeroHeight="1" outlineLevelRow="1" x14ac:dyDescent="0.2"/>
  <cols>
    <col min="1" max="1" width="4.5" style="28" customWidth="1"/>
    <col min="2" max="2" width="5.625" customWidth="1"/>
    <col min="3" max="3" width="2.875" customWidth="1"/>
    <col min="4" max="4" width="8.25" customWidth="1"/>
    <col min="5" max="9" width="8.625" customWidth="1"/>
    <col min="10" max="10" width="2.625" customWidth="1"/>
    <col min="11" max="11" width="38.375" customWidth="1"/>
    <col min="12" max="12" width="9.875" customWidth="1"/>
    <col min="13" max="13" width="33" customWidth="1"/>
    <col min="14" max="14" width="9.5" customWidth="1"/>
    <col min="15" max="15" width="10.5" bestFit="1" customWidth="1"/>
    <col min="16" max="16" width="13.375" bestFit="1" customWidth="1"/>
    <col min="17" max="17" width="17.125" hidden="1" customWidth="1"/>
    <col min="18" max="18" width="30.875" hidden="1" customWidth="1"/>
    <col min="19" max="19" width="16.875" hidden="1" customWidth="1"/>
    <col min="20" max="20" width="18" hidden="1" customWidth="1"/>
    <col min="21" max="16384" width="9" hidden="1"/>
  </cols>
  <sheetData>
    <row r="1" spans="1:51" s="53" customFormat="1" x14ac:dyDescent="0.2"/>
    <row r="2" spans="1:51" s="4" customFormat="1" ht="39" x14ac:dyDescent="0.6">
      <c r="B2" s="17" t="s">
        <v>109</v>
      </c>
      <c r="C2" s="29"/>
      <c r="D2" s="29"/>
      <c r="E2" s="12"/>
      <c r="F2" s="29"/>
      <c r="H2" s="29"/>
      <c r="I2" s="29"/>
      <c r="J2" s="31"/>
      <c r="K2" s="12"/>
      <c r="L2" s="12"/>
      <c r="M2" s="12"/>
      <c r="N2" s="29"/>
      <c r="O2" s="29"/>
      <c r="P2" s="29"/>
      <c r="Q2" s="29"/>
      <c r="R2" s="29"/>
      <c r="S2" s="29"/>
      <c r="T2" s="29"/>
      <c r="U2" s="29"/>
      <c r="V2" s="29"/>
    </row>
    <row r="3" spans="1:51" s="53" customFormat="1" outlineLevel="1" x14ac:dyDescent="0.2">
      <c r="B3" s="53" t="s">
        <v>218</v>
      </c>
    </row>
    <row r="4" spans="1:51" s="53" customFormat="1" outlineLevel="1" x14ac:dyDescent="0.2">
      <c r="B4" s="71" t="s">
        <v>219</v>
      </c>
    </row>
    <row r="5" spans="1:51" x14ac:dyDescent="0.2">
      <c r="A5" s="33"/>
      <c r="B5" s="33"/>
      <c r="C5" s="33"/>
      <c r="D5" s="33"/>
      <c r="E5" s="33"/>
      <c r="F5" s="33"/>
      <c r="G5" s="33"/>
      <c r="H5" s="33"/>
      <c r="I5" s="33"/>
      <c r="J5" s="33"/>
      <c r="K5" s="71"/>
      <c r="L5" s="71"/>
      <c r="M5" s="71"/>
      <c r="N5" s="71"/>
      <c r="O5" s="71"/>
      <c r="P5" s="71"/>
      <c r="Q5" s="71"/>
      <c r="R5" s="53"/>
      <c r="S5" s="53"/>
      <c r="T5" s="53"/>
      <c r="U5" s="33"/>
      <c r="V5" s="33"/>
      <c r="W5" s="33"/>
      <c r="X5" s="33"/>
      <c r="Y5" s="33"/>
      <c r="Z5" s="33"/>
      <c r="AA5" s="33"/>
    </row>
    <row r="6" spans="1:51" ht="30" customHeight="1" x14ac:dyDescent="0.3">
      <c r="A6" s="33"/>
      <c r="B6" s="49" t="s">
        <v>234</v>
      </c>
      <c r="C6" s="35"/>
      <c r="D6" s="35"/>
      <c r="E6" s="35"/>
      <c r="F6" s="35"/>
      <c r="G6" s="35"/>
      <c r="H6" s="35"/>
      <c r="I6" s="36"/>
      <c r="J6" s="30"/>
      <c r="K6" s="71"/>
      <c r="L6" s="71"/>
      <c r="M6" s="71"/>
      <c r="N6" s="71"/>
      <c r="O6" s="71"/>
      <c r="P6" s="71"/>
      <c r="Q6" s="74"/>
      <c r="R6" s="45"/>
      <c r="S6" s="45"/>
      <c r="T6" s="45"/>
      <c r="U6" s="30"/>
      <c r="V6" s="30"/>
      <c r="W6" s="33"/>
      <c r="X6" s="33"/>
      <c r="Y6" s="33"/>
      <c r="Z6" s="33"/>
      <c r="AA6" s="33"/>
    </row>
    <row r="7" spans="1:51" ht="30" customHeight="1" x14ac:dyDescent="0.2">
      <c r="A7" s="33"/>
      <c r="B7" s="46"/>
      <c r="C7" s="33"/>
      <c r="D7" s="33"/>
      <c r="E7" s="33"/>
      <c r="F7" s="33"/>
      <c r="G7" s="33"/>
      <c r="H7" s="33"/>
      <c r="I7" s="48"/>
      <c r="J7" s="30"/>
      <c r="K7" s="71"/>
      <c r="L7" s="71"/>
      <c r="M7" s="71"/>
      <c r="N7" s="71"/>
      <c r="O7" s="71"/>
      <c r="P7" s="71"/>
      <c r="Q7" s="76"/>
      <c r="R7" s="30"/>
      <c r="S7" s="30"/>
      <c r="T7" s="30"/>
      <c r="U7" s="30"/>
      <c r="V7" s="30"/>
      <c r="W7" s="30"/>
      <c r="X7" s="30"/>
      <c r="Y7" s="30"/>
      <c r="Z7" s="30"/>
    </row>
    <row r="8" spans="1:51" ht="30" customHeight="1" x14ac:dyDescent="0.2">
      <c r="A8" s="33"/>
      <c r="B8" s="211" t="s">
        <v>66</v>
      </c>
      <c r="C8" s="55">
        <v>5</v>
      </c>
      <c r="D8" s="63" t="str">
        <f>'Data til matrix'!P2</f>
        <v xml:space="preserve">                 </v>
      </c>
      <c r="E8" s="64" t="str">
        <f>'Data til matrix'!Q2</f>
        <v xml:space="preserve">                 </v>
      </c>
      <c r="F8" s="64" t="str">
        <f>'Data til matrix'!R2</f>
        <v xml:space="preserve">                 </v>
      </c>
      <c r="G8" s="64" t="str">
        <f>'Data til matrix'!S2</f>
        <v xml:space="preserve">                 </v>
      </c>
      <c r="H8" s="64" t="str">
        <f>'Data til matrix'!T2</f>
        <v xml:space="preserve">                 </v>
      </c>
      <c r="I8" s="21"/>
      <c r="J8" s="30"/>
      <c r="K8" s="71"/>
      <c r="L8" s="71"/>
      <c r="M8" s="71"/>
      <c r="N8" s="71"/>
      <c r="O8" s="71"/>
      <c r="P8" s="71"/>
      <c r="Q8" s="76"/>
      <c r="R8" s="53"/>
      <c r="S8" s="53"/>
      <c r="T8" s="53"/>
      <c r="U8" s="53"/>
      <c r="V8" s="53"/>
      <c r="W8" s="30"/>
      <c r="X8" s="30"/>
      <c r="Y8" s="30"/>
      <c r="Z8" s="30"/>
    </row>
    <row r="9" spans="1:51" ht="30" customHeight="1" x14ac:dyDescent="0.2">
      <c r="A9" s="33"/>
      <c r="B9" s="211"/>
      <c r="C9" s="55">
        <v>4</v>
      </c>
      <c r="D9" s="65" t="str">
        <f>'Data til matrix'!P3</f>
        <v xml:space="preserve">                 </v>
      </c>
      <c r="E9" s="63" t="str">
        <f>'Data til matrix'!Q3</f>
        <v xml:space="preserve">                 </v>
      </c>
      <c r="F9" s="64" t="str">
        <f>'Data til matrix'!R3</f>
        <v xml:space="preserve">                 </v>
      </c>
      <c r="G9" s="64" t="str">
        <f>'Data til matrix'!S3</f>
        <v xml:space="preserve">                 </v>
      </c>
      <c r="H9" s="64" t="str">
        <f>'Data til matrix'!T3</f>
        <v xml:space="preserve">                 </v>
      </c>
      <c r="I9" s="21"/>
      <c r="J9" s="30"/>
      <c r="K9" s="71"/>
      <c r="L9" s="71"/>
      <c r="M9" s="71"/>
      <c r="N9" s="71"/>
      <c r="O9" s="71"/>
      <c r="P9" s="71"/>
      <c r="Q9" s="76"/>
      <c r="R9" s="53"/>
      <c r="S9" s="53"/>
      <c r="T9" s="53"/>
      <c r="U9" s="53"/>
      <c r="V9" s="53"/>
      <c r="W9" s="30"/>
      <c r="X9" s="30"/>
      <c r="Y9" s="30"/>
      <c r="Z9" s="30"/>
    </row>
    <row r="10" spans="1:51" ht="30" customHeight="1" x14ac:dyDescent="0.2">
      <c r="A10" s="33"/>
      <c r="B10" s="211"/>
      <c r="C10" s="55">
        <v>3</v>
      </c>
      <c r="D10" s="65" t="str">
        <f>'Data til matrix'!P4</f>
        <v xml:space="preserve">                </v>
      </c>
      <c r="E10" s="63" t="str">
        <f>'Data til matrix'!Q4</f>
        <v xml:space="preserve">                 </v>
      </c>
      <c r="F10" s="63" t="str">
        <f>'Data til matrix'!R4</f>
        <v xml:space="preserve">                 </v>
      </c>
      <c r="G10" s="64" t="str">
        <f>'Data til matrix'!S4</f>
        <v xml:space="preserve">                 </v>
      </c>
      <c r="H10" s="64" t="str">
        <f>'Data til matrix'!T4</f>
        <v xml:space="preserve">                 </v>
      </c>
      <c r="I10" s="21"/>
      <c r="J10" s="30"/>
      <c r="K10" s="71"/>
      <c r="L10" s="71"/>
      <c r="M10" s="71"/>
      <c r="N10" s="71"/>
      <c r="O10" s="71"/>
      <c r="P10" s="71"/>
      <c r="Q10" s="76"/>
      <c r="R10" s="53"/>
      <c r="S10" s="53"/>
      <c r="T10" s="53"/>
      <c r="U10" s="53"/>
      <c r="V10" s="53"/>
      <c r="W10" s="30"/>
      <c r="X10" s="30"/>
      <c r="Y10" s="30"/>
      <c r="Z10" s="30"/>
    </row>
    <row r="11" spans="1:51" ht="30" customHeight="1" x14ac:dyDescent="0.2">
      <c r="A11" s="33"/>
      <c r="B11" s="211"/>
      <c r="C11" s="55">
        <v>2</v>
      </c>
      <c r="D11" s="65" t="str">
        <f>'Data til matrix'!P5</f>
        <v xml:space="preserve">                 </v>
      </c>
      <c r="E11" s="65" t="str">
        <f>'Data til matrix'!Q5</f>
        <v xml:space="preserve">                 </v>
      </c>
      <c r="F11" s="63" t="str">
        <f>'Data til matrix'!R5</f>
        <v xml:space="preserve">                 </v>
      </c>
      <c r="G11" s="63" t="str">
        <f>'Data til matrix'!S5</f>
        <v xml:space="preserve">                 </v>
      </c>
      <c r="H11" s="64" t="str">
        <f>'Data til matrix'!T5</f>
        <v xml:space="preserve">                 </v>
      </c>
      <c r="I11" s="21"/>
      <c r="J11" s="30"/>
      <c r="K11" s="71"/>
      <c r="L11" s="71"/>
      <c r="M11" s="71"/>
      <c r="N11" s="71"/>
      <c r="O11" s="71"/>
      <c r="P11" s="71"/>
      <c r="Q11" s="76"/>
      <c r="R11" s="53"/>
      <c r="S11" s="53"/>
      <c r="T11" s="53"/>
      <c r="U11" s="53"/>
      <c r="V11" s="53"/>
      <c r="W11" s="30"/>
      <c r="X11" s="30"/>
      <c r="Y11" s="30"/>
      <c r="Z11" s="30"/>
    </row>
    <row r="12" spans="1:51" ht="30" customHeight="1" x14ac:dyDescent="0.2">
      <c r="A12" s="33"/>
      <c r="B12" s="211"/>
      <c r="C12" s="55">
        <v>1</v>
      </c>
      <c r="D12" s="65" t="str">
        <f>'Data til matrix'!P6</f>
        <v xml:space="preserve">                 </v>
      </c>
      <c r="E12" s="65" t="str">
        <f>'Data til matrix'!Q6</f>
        <v xml:space="preserve">                 </v>
      </c>
      <c r="F12" s="65" t="str">
        <f>'Data til matrix'!R6</f>
        <v xml:space="preserve">                 </v>
      </c>
      <c r="G12" s="65" t="str">
        <f>'Data til matrix'!S6</f>
        <v xml:space="preserve">                 </v>
      </c>
      <c r="H12" s="63" t="str">
        <f>'Data til matrix'!T6</f>
        <v xml:space="preserve">                 </v>
      </c>
      <c r="I12" s="21"/>
      <c r="J12" s="30"/>
      <c r="K12" s="71"/>
      <c r="L12" s="71"/>
      <c r="M12" s="71"/>
      <c r="N12" s="71"/>
      <c r="O12" s="71"/>
      <c r="P12" s="71"/>
      <c r="Q12" s="76"/>
      <c r="R12" s="53"/>
      <c r="S12" s="53"/>
      <c r="T12" s="53"/>
      <c r="U12" s="53"/>
      <c r="V12" s="53"/>
      <c r="W12" s="30"/>
      <c r="X12" s="30"/>
      <c r="Y12" s="30"/>
      <c r="Z12" s="30"/>
    </row>
    <row r="13" spans="1:51" ht="30" customHeight="1" x14ac:dyDescent="0.2">
      <c r="A13" s="33"/>
      <c r="B13" s="46"/>
      <c r="C13" s="22"/>
      <c r="D13" s="54">
        <v>1</v>
      </c>
      <c r="E13" s="54">
        <v>2</v>
      </c>
      <c r="F13" s="54">
        <v>3</v>
      </c>
      <c r="G13" s="54">
        <v>4</v>
      </c>
      <c r="H13" s="54">
        <v>5</v>
      </c>
      <c r="I13" s="21"/>
      <c r="J13" s="30"/>
      <c r="K13" s="71"/>
      <c r="L13" s="71"/>
      <c r="M13" s="74"/>
      <c r="N13" s="71"/>
      <c r="O13" s="71"/>
      <c r="P13" s="71"/>
      <c r="Q13" s="76"/>
      <c r="R13" s="53"/>
      <c r="S13" s="53"/>
      <c r="T13" s="53"/>
      <c r="U13" s="53"/>
      <c r="V13" s="53"/>
      <c r="W13" s="30"/>
      <c r="X13" s="30"/>
      <c r="Y13" s="30"/>
    </row>
    <row r="14" spans="1:51" ht="21.75" customHeight="1" x14ac:dyDescent="0.2">
      <c r="A14" s="33"/>
      <c r="B14" s="47"/>
      <c r="C14" s="23"/>
      <c r="D14" s="212" t="s">
        <v>72</v>
      </c>
      <c r="E14" s="212"/>
      <c r="F14" s="212"/>
      <c r="G14" s="212"/>
      <c r="H14" s="212"/>
      <c r="I14" s="24"/>
      <c r="J14" s="30"/>
      <c r="K14" s="71"/>
      <c r="L14" s="71"/>
      <c r="M14" s="71"/>
      <c r="N14" s="71"/>
      <c r="O14" s="71"/>
      <c r="P14" s="71"/>
      <c r="Q14" s="76"/>
      <c r="R14" s="30"/>
      <c r="S14" s="30"/>
      <c r="T14" s="30"/>
      <c r="U14" s="30"/>
      <c r="V14" s="30"/>
      <c r="W14" s="53"/>
      <c r="X14" s="53"/>
      <c r="Y14" s="53"/>
      <c r="Z14" s="30"/>
      <c r="AA14" s="30"/>
      <c r="AB14" s="30"/>
      <c r="AC14" s="30"/>
      <c r="AD14" s="30"/>
      <c r="AE14" s="30"/>
      <c r="AF14" s="30"/>
      <c r="AG14" s="30"/>
      <c r="AH14" s="30"/>
      <c r="AI14" s="30"/>
      <c r="AJ14" s="30"/>
      <c r="AK14" s="30"/>
      <c r="AL14" s="30"/>
      <c r="AM14" s="30"/>
      <c r="AN14" s="30"/>
      <c r="AO14" s="30"/>
      <c r="AP14" s="30"/>
      <c r="AQ14" s="30"/>
      <c r="AR14" s="30"/>
      <c r="AS14" s="30"/>
      <c r="AT14" s="30"/>
    </row>
    <row r="15" spans="1:51" x14ac:dyDescent="0.2">
      <c r="A15" s="33"/>
      <c r="B15" s="33"/>
      <c r="C15" s="30"/>
      <c r="D15" s="30"/>
      <c r="E15" s="30"/>
      <c r="F15" s="30"/>
      <c r="G15" s="30"/>
      <c r="H15" s="30"/>
      <c r="I15" s="30"/>
      <c r="J15" s="30"/>
      <c r="K15" s="71"/>
      <c r="L15" s="71"/>
      <c r="M15" s="71"/>
      <c r="N15" s="71"/>
      <c r="O15" s="71"/>
      <c r="P15" s="71"/>
      <c r="Q15" s="76"/>
      <c r="R15" s="30"/>
      <c r="S15" s="30"/>
      <c r="T15" s="30"/>
      <c r="U15" s="30"/>
      <c r="V15" s="30"/>
      <c r="W15" s="53"/>
      <c r="X15" s="53"/>
      <c r="Y15" s="53"/>
      <c r="Z15" s="30"/>
      <c r="AA15" s="30"/>
      <c r="AB15" s="30"/>
      <c r="AC15" s="30"/>
      <c r="AD15" s="30"/>
      <c r="AE15" s="30"/>
      <c r="AF15" s="30"/>
      <c r="AG15" s="30"/>
      <c r="AH15" s="30"/>
      <c r="AI15" s="30"/>
      <c r="AJ15" s="30"/>
      <c r="AK15" s="30"/>
      <c r="AL15" s="30"/>
      <c r="AM15" s="30"/>
      <c r="AN15" s="30"/>
      <c r="AO15" s="30"/>
      <c r="AP15" s="30"/>
      <c r="AQ15" s="30"/>
      <c r="AR15" s="30"/>
      <c r="AS15" s="30"/>
      <c r="AT15" s="30"/>
    </row>
    <row r="16" spans="1:51" ht="30" customHeight="1" x14ac:dyDescent="0.3">
      <c r="A16" s="33"/>
      <c r="B16" s="191" t="s">
        <v>235</v>
      </c>
      <c r="C16" s="183"/>
      <c r="D16" s="183"/>
      <c r="E16" s="183"/>
      <c r="F16" s="183"/>
      <c r="G16" s="183"/>
      <c r="H16" s="183"/>
      <c r="I16" s="184"/>
      <c r="J16" s="30"/>
      <c r="K16" s="30"/>
      <c r="L16" s="30"/>
      <c r="M16" s="30"/>
      <c r="N16" s="30"/>
      <c r="O16" s="30"/>
      <c r="P16" s="30"/>
      <c r="Q16" s="76"/>
      <c r="R16" s="30"/>
      <c r="S16" s="30"/>
      <c r="T16" s="30"/>
      <c r="U16" s="30"/>
      <c r="V16" s="30"/>
      <c r="W16" s="53"/>
      <c r="X16" s="53"/>
      <c r="Y16" s="53"/>
      <c r="Z16" s="53"/>
      <c r="AA16" s="53"/>
      <c r="AB16" s="53"/>
      <c r="AC16" s="53"/>
      <c r="AD16" s="53"/>
      <c r="AE16" s="30"/>
      <c r="AF16" s="30"/>
      <c r="AG16" s="30"/>
      <c r="AH16" s="30"/>
      <c r="AI16" s="30"/>
      <c r="AJ16" s="30"/>
      <c r="AK16" s="30"/>
      <c r="AL16" s="30"/>
      <c r="AM16" s="30"/>
      <c r="AN16" s="30"/>
      <c r="AO16" s="30"/>
      <c r="AP16" s="30"/>
      <c r="AQ16" s="30"/>
      <c r="AR16" s="30"/>
      <c r="AS16" s="30"/>
      <c r="AT16" s="30"/>
      <c r="AU16" s="30"/>
      <c r="AV16" s="30"/>
      <c r="AW16" s="30"/>
      <c r="AX16" s="30"/>
      <c r="AY16" s="30"/>
    </row>
    <row r="17" spans="1:51" s="51" customFormat="1" ht="30" customHeight="1" x14ac:dyDescent="0.3">
      <c r="A17" s="73"/>
      <c r="B17" s="192"/>
      <c r="C17" s="73"/>
      <c r="D17" s="73"/>
      <c r="E17" s="73"/>
      <c r="F17" s="73"/>
      <c r="G17" s="73"/>
      <c r="H17" s="73"/>
      <c r="I17" s="21"/>
      <c r="J17" s="71"/>
      <c r="K17" s="71"/>
      <c r="L17" s="71"/>
      <c r="M17" s="71"/>
      <c r="N17" s="71"/>
      <c r="O17" s="71"/>
      <c r="P17" s="71"/>
      <c r="Q17" s="76"/>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row>
    <row r="18" spans="1:51" ht="30" customHeight="1" x14ac:dyDescent="0.25">
      <c r="A18" s="45"/>
      <c r="B18" s="213" t="s">
        <v>66</v>
      </c>
      <c r="C18" s="55">
        <v>5</v>
      </c>
      <c r="D18" s="63" t="str">
        <f>'Data til matrix efter tiltag'!P2</f>
        <v xml:space="preserve">                 </v>
      </c>
      <c r="E18" s="64" t="str">
        <f>'Data til matrix efter tiltag'!Q2</f>
        <v xml:space="preserve">                 </v>
      </c>
      <c r="F18" s="64" t="str">
        <f>'Data til matrix efter tiltag'!R2</f>
        <v xml:space="preserve">                 </v>
      </c>
      <c r="G18" s="64" t="str">
        <f>'Data til matrix efter tiltag'!S2</f>
        <v xml:space="preserve">                 </v>
      </c>
      <c r="H18" s="64" t="str">
        <f>'Data til matrix efter tiltag'!T2</f>
        <v xml:space="preserve">                 </v>
      </c>
      <c r="I18" s="187"/>
      <c r="J18" s="30"/>
      <c r="K18" s="57" t="s">
        <v>158</v>
      </c>
      <c r="L18" s="53"/>
      <c r="M18" s="45"/>
      <c r="N18" s="45"/>
      <c r="O18" s="45"/>
      <c r="P18" s="45"/>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pans="1:51" ht="30" customHeight="1" x14ac:dyDescent="0.2">
      <c r="A19" s="45"/>
      <c r="B19" s="213"/>
      <c r="C19" s="55">
        <v>4</v>
      </c>
      <c r="D19" s="65" t="str">
        <f>'Data til matrix efter tiltag'!P3</f>
        <v xml:space="preserve">                 </v>
      </c>
      <c r="E19" s="63" t="str">
        <f>'Data til matrix efter tiltag'!Q3</f>
        <v xml:space="preserve">                 </v>
      </c>
      <c r="F19" s="64" t="str">
        <f>'Data til matrix efter tiltag'!R3</f>
        <v xml:space="preserve">                 </v>
      </c>
      <c r="G19" s="64" t="str">
        <f>'Data til matrix efter tiltag'!S3</f>
        <v xml:space="preserve">                 </v>
      </c>
      <c r="H19" s="64" t="str">
        <f>'Data til matrix efter tiltag'!T3</f>
        <v xml:space="preserve">                 </v>
      </c>
      <c r="I19" s="187"/>
      <c r="J19" s="30"/>
      <c r="K19" s="111" t="s">
        <v>6</v>
      </c>
      <c r="L19" s="111" t="s">
        <v>91</v>
      </c>
      <c r="M19" s="111" t="s">
        <v>233</v>
      </c>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51" ht="30" customHeight="1" x14ac:dyDescent="0.2">
      <c r="A20" s="45"/>
      <c r="B20" s="213"/>
      <c r="C20" s="55">
        <v>3</v>
      </c>
      <c r="D20" s="65" t="str">
        <f>'Data til matrix efter tiltag'!P4</f>
        <v xml:space="preserve">                </v>
      </c>
      <c r="E20" s="63" t="str">
        <f>'Data til matrix efter tiltag'!Q4</f>
        <v xml:space="preserve">                 </v>
      </c>
      <c r="F20" s="63" t="str">
        <f>'Data til matrix efter tiltag'!R4</f>
        <v xml:space="preserve">                 </v>
      </c>
      <c r="G20" s="64" t="str">
        <f>'Data til matrix efter tiltag'!S4</f>
        <v xml:space="preserve">                 </v>
      </c>
      <c r="H20" s="64" t="str">
        <f>'Data til matrix efter tiltag'!T4</f>
        <v xml:space="preserve">                 </v>
      </c>
      <c r="I20" s="187"/>
      <c r="J20" s="30"/>
      <c r="K20" s="108" t="s">
        <v>37</v>
      </c>
      <c r="L20" s="109">
        <f>COUNTIFS(Risikolog[Risikotype],Table2465[[#This Row],[Risikotype]],Risikolog[Status],"Risiko")</f>
        <v>0</v>
      </c>
      <c r="M20" s="110">
        <f>IFERROR(COUNTIFS(Risikolog[Risiko-værdi],"&gt;10",Risikolog[Risikotype],Table2465[[#This Row],[Risikotype]],Risikolog[Status],"Risiko"),0)</f>
        <v>0</v>
      </c>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1" spans="1:51" ht="30" customHeight="1" x14ac:dyDescent="0.2">
      <c r="A21" s="45"/>
      <c r="B21" s="213"/>
      <c r="C21" s="55">
        <v>2</v>
      </c>
      <c r="D21" s="65" t="str">
        <f>'Data til matrix efter tiltag'!P5</f>
        <v xml:space="preserve">                 </v>
      </c>
      <c r="E21" s="65" t="str">
        <f>'Data til matrix efter tiltag'!Q5</f>
        <v xml:space="preserve">                 </v>
      </c>
      <c r="F21" s="63" t="str">
        <f>'Data til matrix efter tiltag'!R5</f>
        <v xml:space="preserve">                 </v>
      </c>
      <c r="G21" s="63" t="str">
        <f>'Data til matrix efter tiltag'!S5</f>
        <v xml:space="preserve">                 </v>
      </c>
      <c r="H21" s="64" t="str">
        <f>'Data til matrix efter tiltag'!T5</f>
        <v xml:space="preserve">                 </v>
      </c>
      <c r="I21" s="187"/>
      <c r="J21" s="30"/>
      <c r="K21" s="108" t="s">
        <v>49</v>
      </c>
      <c r="L21" s="109">
        <f>COUNTIFS(Risikolog[Risikotype],Table2465[[#This Row],[Risikotype]],Risikolog[Status],"Risiko")</f>
        <v>0</v>
      </c>
      <c r="M21" s="110">
        <f>IFERROR(COUNTIFS(Risikolog[Risiko-værdi],"&gt;10",Risikolog[Risikotype],Table2465[[#This Row],[Risikotype]],Risikolog[Status],"Risiko"),0)</f>
        <v>0</v>
      </c>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51" ht="30" customHeight="1" x14ac:dyDescent="0.2">
      <c r="A22" s="45"/>
      <c r="B22" s="213"/>
      <c r="C22" s="55">
        <v>1</v>
      </c>
      <c r="D22" s="65" t="str">
        <f>'Data til matrix efter tiltag'!P6</f>
        <v xml:space="preserve">                 </v>
      </c>
      <c r="E22" s="65" t="str">
        <f>'Data til matrix efter tiltag'!Q6</f>
        <v xml:space="preserve">                 </v>
      </c>
      <c r="F22" s="65" t="str">
        <f>'Data til matrix efter tiltag'!R6</f>
        <v xml:space="preserve">                 </v>
      </c>
      <c r="G22" s="65" t="str">
        <f>'Data til matrix efter tiltag'!S6</f>
        <v xml:space="preserve">                 </v>
      </c>
      <c r="H22" s="63" t="str">
        <f>'Data til matrix efter tiltag'!T6</f>
        <v xml:space="preserve">                 </v>
      </c>
      <c r="I22" s="187"/>
      <c r="J22" s="30"/>
      <c r="K22" s="108" t="s">
        <v>39</v>
      </c>
      <c r="L22" s="109">
        <f>COUNTIFS(Risikolog[Risikotype],Table2465[[#This Row],[Risikotype]],Risikolog[Status],"Risiko")</f>
        <v>0</v>
      </c>
      <c r="M22" s="110">
        <f>IFERROR(COUNTIFS(Risikolog[Risiko-værdi],"&gt;10",Risikolog[Risikotype],Table2465[[#This Row],[Risikotype]],Risikolog[Status],"Risiko"),0)</f>
        <v>0</v>
      </c>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51" ht="21" customHeight="1" x14ac:dyDescent="0.2">
      <c r="A23" s="45"/>
      <c r="B23" s="185"/>
      <c r="C23" s="186"/>
      <c r="D23" s="54">
        <v>1</v>
      </c>
      <c r="E23" s="54">
        <v>2</v>
      </c>
      <c r="F23" s="54">
        <v>3</v>
      </c>
      <c r="G23" s="54">
        <v>4</v>
      </c>
      <c r="H23" s="54">
        <v>5</v>
      </c>
      <c r="I23" s="187"/>
      <c r="J23" s="30"/>
      <c r="K23" s="108" t="s">
        <v>50</v>
      </c>
      <c r="L23" s="109">
        <f>COUNTIFS(Risikolog[Risikotype],Table2465[[#This Row],[Risikotype]],Risikolog[Status],"Risiko")</f>
        <v>0</v>
      </c>
      <c r="M23" s="110">
        <f>IFERROR(COUNTIFS(Risikolog[Risiko-værdi],"&gt;10",Risikolog[Risikotype],Table2465[[#This Row],[Risikotype]],Risikolog[Status],"Risiko"),0)</f>
        <v>0</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51" ht="21.75" customHeight="1" x14ac:dyDescent="0.2">
      <c r="A24" s="45"/>
      <c r="B24" s="188"/>
      <c r="C24" s="189"/>
      <c r="D24" s="212" t="s">
        <v>72</v>
      </c>
      <c r="E24" s="212"/>
      <c r="F24" s="212"/>
      <c r="G24" s="212"/>
      <c r="H24" s="212"/>
      <c r="I24" s="190"/>
      <c r="J24" s="30"/>
      <c r="K24" s="108" t="s">
        <v>38</v>
      </c>
      <c r="L24" s="109">
        <f>COUNTIFS(Risikolog[Risikotype],Table2465[[#This Row],[Risikotype]],Risikolog[Status],"Risiko")</f>
        <v>0</v>
      </c>
      <c r="M24" s="110">
        <f>IFERROR(COUNTIFS(Risikolog[Risiko-værdi],"&gt;10",Risikolog[Risikotype],Table2465[[#This Row],[Risikotype]],Risikolog[Status],"Risiko"),0)</f>
        <v>0</v>
      </c>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51" ht="30" customHeight="1" x14ac:dyDescent="0.2">
      <c r="A25" s="45"/>
      <c r="B25" s="186"/>
      <c r="C25" s="186"/>
      <c r="D25" s="186"/>
      <c r="E25" s="186"/>
      <c r="F25" s="186"/>
      <c r="G25" s="186"/>
      <c r="H25" s="186"/>
      <c r="I25" s="186"/>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s="51" customFormat="1" x14ac:dyDescent="0.2">
      <c r="A26" s="74"/>
      <c r="B26" s="74"/>
      <c r="C26" s="74"/>
      <c r="D26" s="74"/>
      <c r="E26" s="74"/>
      <c r="F26" s="74"/>
      <c r="G26" s="74"/>
      <c r="H26" s="74"/>
      <c r="I26" s="74"/>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row>
    <row r="27" spans="1:51" x14ac:dyDescent="0.2">
      <c r="A27" s="30"/>
      <c r="B27" s="45"/>
      <c r="C27" s="30"/>
      <c r="D27" s="30"/>
      <c r="E27" s="30"/>
      <c r="F27" s="30"/>
      <c r="G27" s="42"/>
      <c r="H27" s="42"/>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s="51" customFormat="1" x14ac:dyDescent="0.2">
      <c r="A28" s="71"/>
      <c r="B28" s="74"/>
      <c r="C28" s="71"/>
      <c r="D28" s="71"/>
      <c r="E28" s="71"/>
      <c r="F28" s="71"/>
      <c r="G28" s="42"/>
      <c r="H28" s="42"/>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row>
    <row r="29" spans="1:51" s="51" customFormat="1" x14ac:dyDescent="0.2">
      <c r="A29" s="71"/>
      <c r="B29" s="74"/>
      <c r="C29" s="71"/>
      <c r="D29" s="71"/>
      <c r="E29" s="71"/>
      <c r="F29" s="71"/>
      <c r="G29" s="42"/>
      <c r="H29" s="42"/>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row>
    <row r="30" spans="1:51" x14ac:dyDescent="0.2">
      <c r="A30" s="30"/>
      <c r="B30" s="4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hidden="1" x14ac:dyDescent="0.2">
      <c r="A31" s="30"/>
      <c r="B31" s="4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hidden="1" x14ac:dyDescent="0.2">
      <c r="A32" s="30"/>
      <c r="B32" s="4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150" hidden="1" x14ac:dyDescent="0.2">
      <c r="A33" s="30"/>
      <c r="B33" s="45"/>
      <c r="C33" s="4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150" hidden="1" x14ac:dyDescent="0.2">
      <c r="A34" s="30"/>
      <c r="B34" s="45"/>
      <c r="C34" s="4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150" ht="15" hidden="1" x14ac:dyDescent="0.25">
      <c r="A35" s="30"/>
      <c r="B35" s="56"/>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150" hidden="1" x14ac:dyDescent="0.2">
      <c r="A36" s="30"/>
      <c r="B36" s="53"/>
      <c r="C36" s="53"/>
      <c r="D36" s="53"/>
      <c r="E36" s="53"/>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150" hidden="1" x14ac:dyDescent="0.2">
      <c r="A37" s="30"/>
      <c r="B37" s="53"/>
      <c r="C37" s="53"/>
      <c r="D37" s="53"/>
      <c r="E37" s="53"/>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150" hidden="1" x14ac:dyDescent="0.2">
      <c r="A38" s="30"/>
      <c r="B38" s="53"/>
      <c r="C38" s="53"/>
      <c r="D38" s="53"/>
      <c r="E38" s="53"/>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150" hidden="1" x14ac:dyDescent="0.2">
      <c r="A39" s="30"/>
      <c r="B39" s="53"/>
      <c r="C39" s="53"/>
      <c r="D39" s="53"/>
      <c r="E39" s="53"/>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150" hidden="1" x14ac:dyDescent="0.2">
      <c r="A40" s="30"/>
      <c r="B40" s="53"/>
      <c r="C40" s="53"/>
      <c r="D40" s="53"/>
      <c r="E40" s="53"/>
      <c r="F40" s="30"/>
      <c r="G40" s="30"/>
      <c r="I40" s="4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150" hidden="1" x14ac:dyDescent="0.2">
      <c r="A41" s="30"/>
      <c r="B41" s="53"/>
      <c r="C41" s="53"/>
      <c r="D41" s="53"/>
      <c r="E41" s="53"/>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150" hidden="1" x14ac:dyDescent="0.2">
      <c r="A42" s="30"/>
      <c r="B42" s="53"/>
      <c r="C42" s="53"/>
      <c r="D42" s="53"/>
      <c r="E42" s="53"/>
      <c r="F42" s="30"/>
      <c r="G42" s="30"/>
      <c r="I42" s="53"/>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150" hidden="1" x14ac:dyDescent="0.2">
      <c r="A43" s="30"/>
      <c r="B43" s="53"/>
      <c r="C43" s="53"/>
      <c r="D43" s="53"/>
      <c r="E43" s="53"/>
      <c r="F43" s="30"/>
      <c r="G43" s="30"/>
      <c r="H43" s="30"/>
      <c r="I43" s="53"/>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150" hidden="1" x14ac:dyDescent="0.2">
      <c r="A44" s="30"/>
      <c r="B44" s="53"/>
      <c r="C44" s="53"/>
      <c r="D44" s="53"/>
      <c r="E44" s="53"/>
      <c r="F44" s="30"/>
      <c r="G44" s="30"/>
      <c r="H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150" hidden="1" x14ac:dyDescent="0.2">
      <c r="A45" s="30"/>
      <c r="B45" s="53"/>
      <c r="C45" s="53"/>
      <c r="D45" s="53"/>
      <c r="E45" s="53"/>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150" hidden="1" x14ac:dyDescent="0.2">
      <c r="A46" s="30"/>
      <c r="B46" s="53"/>
      <c r="C46" s="53"/>
      <c r="D46" s="53"/>
      <c r="E46" s="53"/>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150" hidden="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row>
    <row r="48" spans="1:150" hidden="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row>
    <row r="49" spans="1:150" hidden="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row>
    <row r="50" spans="1:150" hidden="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row>
    <row r="51" spans="1:150" hidden="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row>
    <row r="52" spans="1:150" hidden="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row>
    <row r="53" spans="1:150" hidden="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row>
    <row r="54" spans="1:150" hidden="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row>
    <row r="55" spans="1:150" hidden="1" x14ac:dyDescent="0.2">
      <c r="A55" s="30"/>
      <c r="B55" s="30"/>
      <c r="C55" s="30"/>
      <c r="D55" s="30"/>
      <c r="E55" s="30"/>
      <c r="F55" s="30"/>
      <c r="G55" s="30"/>
      <c r="H55" s="30"/>
      <c r="I55" s="30"/>
      <c r="J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row>
    <row r="56" spans="1:150" hidden="1" x14ac:dyDescent="0.2">
      <c r="A56" s="30"/>
      <c r="B56" s="30"/>
      <c r="C56" s="30"/>
      <c r="D56" s="30"/>
      <c r="E56" s="30"/>
      <c r="F56" s="30"/>
      <c r="G56" s="30"/>
      <c r="H56" s="30"/>
      <c r="I56" s="30"/>
      <c r="J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row>
    <row r="57" spans="1:150" hidden="1" x14ac:dyDescent="0.2">
      <c r="A57" s="30"/>
      <c r="B57" s="30"/>
      <c r="C57" s="30"/>
      <c r="D57" s="30"/>
      <c r="E57" s="30"/>
      <c r="F57" s="30"/>
      <c r="G57" s="30"/>
      <c r="H57" s="30"/>
      <c r="I57" s="30"/>
      <c r="J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row>
    <row r="58" spans="1:150" hidden="1" x14ac:dyDescent="0.2">
      <c r="A58" s="30"/>
      <c r="B58" s="30"/>
      <c r="C58" s="30"/>
      <c r="D58" s="30"/>
      <c r="E58" s="30"/>
      <c r="F58" s="30"/>
      <c r="G58" s="30"/>
      <c r="H58" s="30"/>
      <c r="I58" s="30"/>
      <c r="J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row>
    <row r="59" spans="1:150" hidden="1" x14ac:dyDescent="0.2">
      <c r="A59" s="30"/>
      <c r="B59" s="30"/>
      <c r="C59" s="30"/>
      <c r="D59" s="30"/>
      <c r="E59" s="30"/>
      <c r="F59" s="30"/>
      <c r="G59" s="30"/>
      <c r="H59" s="30"/>
      <c r="I59" s="30"/>
      <c r="J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row>
    <row r="60" spans="1:150" hidden="1" x14ac:dyDescent="0.2">
      <c r="A60" s="30"/>
      <c r="B60" s="30"/>
      <c r="C60" s="30"/>
      <c r="D60" s="30"/>
      <c r="E60" s="30"/>
      <c r="F60" s="30"/>
      <c r="G60" s="30"/>
      <c r="H60" s="30"/>
      <c r="I60" s="30"/>
      <c r="J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row>
    <row r="61" spans="1:150" hidden="1" x14ac:dyDescent="0.2">
      <c r="A61" s="30"/>
      <c r="B61" s="30"/>
      <c r="C61" s="30"/>
      <c r="D61" s="30"/>
      <c r="E61" s="30"/>
      <c r="F61" s="30"/>
      <c r="G61" s="30"/>
      <c r="H61" s="30"/>
      <c r="I61" s="30"/>
      <c r="J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row>
    <row r="62" spans="1:150" hidden="1" x14ac:dyDescent="0.2">
      <c r="A62" s="30"/>
      <c r="B62" s="30"/>
      <c r="C62" s="30"/>
      <c r="D62" s="30"/>
      <c r="E62" s="30"/>
      <c r="F62" s="30"/>
      <c r="G62" s="30"/>
      <c r="H62" s="30"/>
      <c r="I62" s="30"/>
      <c r="J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row>
    <row r="63" spans="1:150" hidden="1" x14ac:dyDescent="0.2">
      <c r="A63" s="30"/>
      <c r="B63" s="30"/>
      <c r="C63" s="30"/>
      <c r="D63" s="30"/>
      <c r="E63" s="30"/>
      <c r="F63" s="30"/>
      <c r="G63" s="30"/>
      <c r="H63" s="30"/>
      <c r="I63" s="30"/>
      <c r="J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row>
    <row r="64" spans="1:150" hidden="1" x14ac:dyDescent="0.2">
      <c r="A64" s="30"/>
      <c r="B64" s="30"/>
      <c r="C64" s="30"/>
      <c r="D64" s="30"/>
      <c r="E64" s="30"/>
      <c r="F64" s="30"/>
      <c r="G64" s="30"/>
      <c r="H64" s="30"/>
      <c r="I64" s="30"/>
      <c r="J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row>
    <row r="65" spans="1:150" hidden="1" x14ac:dyDescent="0.2">
      <c r="A65" s="30"/>
      <c r="B65" s="30"/>
      <c r="C65" s="30"/>
      <c r="D65" s="30"/>
      <c r="E65" s="30"/>
      <c r="F65" s="30"/>
      <c r="G65" s="30"/>
      <c r="H65" s="30"/>
      <c r="I65" s="30"/>
      <c r="J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row>
    <row r="66" spans="1:150" hidden="1" x14ac:dyDescent="0.2">
      <c r="A66" s="30"/>
      <c r="B66" s="30"/>
      <c r="C66" s="30"/>
      <c r="D66" s="30"/>
      <c r="E66" s="30"/>
      <c r="F66" s="30"/>
      <c r="G66" s="30"/>
      <c r="H66" s="30"/>
      <c r="I66" s="30"/>
      <c r="J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row>
    <row r="67" spans="1:150" hidden="1" x14ac:dyDescent="0.2">
      <c r="A67" s="30"/>
      <c r="B67" s="30"/>
      <c r="C67" s="30"/>
      <c r="D67" s="30"/>
      <c r="E67" s="30"/>
      <c r="F67" s="30"/>
      <c r="G67" s="30"/>
      <c r="H67" s="30"/>
      <c r="I67" s="30"/>
      <c r="J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row>
    <row r="68" spans="1:150" hidden="1" x14ac:dyDescent="0.2">
      <c r="A68" s="30"/>
      <c r="B68" s="30"/>
      <c r="C68" s="30"/>
      <c r="D68" s="30"/>
      <c r="E68" s="30"/>
      <c r="F68" s="30"/>
      <c r="G68" s="30"/>
      <c r="H68" s="30"/>
      <c r="I68" s="30"/>
      <c r="J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row>
    <row r="69" spans="1:150" hidden="1" x14ac:dyDescent="0.2">
      <c r="A69" s="30"/>
      <c r="B69" s="30"/>
      <c r="C69" s="30"/>
      <c r="D69" s="30"/>
      <c r="E69" s="30"/>
      <c r="F69" s="30"/>
      <c r="G69" s="30"/>
      <c r="H69" s="30"/>
      <c r="I69" s="30"/>
      <c r="J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row>
    <row r="70" spans="1:150" hidden="1" x14ac:dyDescent="0.2">
      <c r="A70" s="30"/>
      <c r="B70" s="30"/>
      <c r="C70" s="30"/>
      <c r="D70" s="30"/>
      <c r="E70" s="30"/>
      <c r="F70" s="30"/>
      <c r="G70" s="30"/>
      <c r="H70" s="30"/>
      <c r="I70" s="30"/>
      <c r="J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row>
    <row r="71" spans="1:150" hidden="1" x14ac:dyDescent="0.2">
      <c r="A71" s="30"/>
      <c r="B71" s="30"/>
      <c r="C71" s="30"/>
      <c r="D71" s="30"/>
      <c r="E71" s="30"/>
      <c r="F71" s="30"/>
      <c r="G71" s="30"/>
      <c r="H71" s="30"/>
      <c r="I71" s="30"/>
      <c r="J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row>
    <row r="72" spans="1:150" hidden="1" x14ac:dyDescent="0.2">
      <c r="A72" s="30"/>
      <c r="B72" s="30"/>
      <c r="C72" s="30"/>
      <c r="D72" s="30"/>
      <c r="E72" s="30"/>
      <c r="F72" s="30"/>
      <c r="G72" s="30"/>
      <c r="H72" s="30"/>
      <c r="I72" s="30"/>
      <c r="J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row>
    <row r="73" spans="1:150" hidden="1" x14ac:dyDescent="0.2">
      <c r="A73" s="30"/>
      <c r="B73" s="30"/>
      <c r="C73" s="30"/>
      <c r="D73" s="30"/>
      <c r="E73" s="30"/>
      <c r="F73" s="30"/>
      <c r="G73" s="30"/>
      <c r="H73" s="30"/>
      <c r="I73" s="30"/>
      <c r="J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row>
    <row r="74" spans="1:150" hidden="1" x14ac:dyDescent="0.2">
      <c r="A74" s="30"/>
      <c r="B74" s="30"/>
      <c r="C74" s="30"/>
      <c r="D74" s="30"/>
      <c r="E74" s="30"/>
      <c r="F74" s="30"/>
      <c r="G74" s="30"/>
      <c r="H74" s="30"/>
      <c r="I74" s="30"/>
      <c r="J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row>
    <row r="75" spans="1:150" hidden="1" x14ac:dyDescent="0.2">
      <c r="A75" s="30"/>
      <c r="B75" s="30"/>
      <c r="C75" s="30"/>
      <c r="D75" s="30"/>
      <c r="E75" s="30"/>
      <c r="F75" s="30"/>
      <c r="G75" s="30"/>
      <c r="H75" s="30"/>
      <c r="I75" s="30"/>
      <c r="J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row>
    <row r="76" spans="1:150" hidden="1" x14ac:dyDescent="0.2">
      <c r="A76" s="30"/>
      <c r="B76" s="30"/>
      <c r="C76" s="30"/>
      <c r="D76" s="30"/>
      <c r="E76" s="30"/>
      <c r="F76" s="30"/>
      <c r="G76" s="30"/>
      <c r="H76" s="30"/>
      <c r="I76" s="30"/>
      <c r="J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row>
    <row r="77" spans="1:150" hidden="1" x14ac:dyDescent="0.2">
      <c r="A77" s="30"/>
      <c r="B77" s="30"/>
      <c r="C77" s="30"/>
      <c r="D77" s="30"/>
      <c r="E77" s="30"/>
      <c r="F77" s="30"/>
      <c r="G77" s="30"/>
      <c r="H77" s="30"/>
      <c r="I77" s="30"/>
      <c r="J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row>
    <row r="78" spans="1:150" hidden="1" x14ac:dyDescent="0.2">
      <c r="A78" s="30"/>
      <c r="B78" s="30"/>
      <c r="C78" s="30"/>
      <c r="D78" s="30"/>
      <c r="E78" s="30"/>
      <c r="F78" s="30"/>
      <c r="G78" s="30"/>
      <c r="H78" s="30"/>
      <c r="I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row>
    <row r="79" spans="1:150" hidden="1" x14ac:dyDescent="0.2">
      <c r="A79" s="30"/>
      <c r="B79" s="30"/>
      <c r="C79" s="30"/>
      <c r="D79" s="30"/>
      <c r="E79" s="30"/>
      <c r="F79" s="30"/>
      <c r="G79" s="30"/>
      <c r="H79" s="30"/>
      <c r="I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row>
    <row r="80" spans="1:150" hidden="1" x14ac:dyDescent="0.2">
      <c r="A80" s="30"/>
      <c r="B80" s="30"/>
      <c r="C80" s="30"/>
      <c r="D80" s="30"/>
      <c r="E80" s="30"/>
      <c r="F80" s="30"/>
      <c r="G80" s="30"/>
      <c r="H80" s="30"/>
      <c r="I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row>
    <row r="81" spans="1:9" hidden="1" x14ac:dyDescent="0.2">
      <c r="A81" s="30"/>
      <c r="B81" s="30"/>
      <c r="C81" s="30"/>
      <c r="D81" s="30"/>
      <c r="E81" s="30"/>
      <c r="F81" s="30"/>
      <c r="G81" s="30"/>
      <c r="H81" s="30"/>
      <c r="I81" s="30"/>
    </row>
    <row r="82" spans="1:9" hidden="1" x14ac:dyDescent="0.2">
      <c r="A82" s="30"/>
      <c r="B82" s="30"/>
      <c r="C82" s="30"/>
      <c r="D82" s="30"/>
      <c r="E82" s="30"/>
      <c r="F82" s="30"/>
      <c r="G82" s="30"/>
      <c r="H82" s="30"/>
      <c r="I82" s="30"/>
    </row>
    <row r="83" spans="1:9" hidden="1" x14ac:dyDescent="0.2">
      <c r="A83" s="30"/>
      <c r="B83" s="30"/>
      <c r="C83" s="30"/>
      <c r="D83" s="30"/>
      <c r="E83" s="30"/>
      <c r="F83" s="30"/>
      <c r="G83" s="30"/>
      <c r="H83" s="30"/>
      <c r="I83" s="30"/>
    </row>
    <row r="84" spans="1:9" hidden="1" x14ac:dyDescent="0.2">
      <c r="A84" s="30"/>
      <c r="B84" s="30"/>
      <c r="C84" s="30"/>
      <c r="D84" s="30"/>
      <c r="E84" s="30"/>
      <c r="F84" s="30"/>
      <c r="G84" s="30"/>
      <c r="H84" s="30"/>
      <c r="I84" s="30"/>
    </row>
    <row r="85" spans="1:9" hidden="1" x14ac:dyDescent="0.2">
      <c r="A85" s="30"/>
      <c r="B85" s="30"/>
      <c r="C85" s="30"/>
      <c r="D85" s="30"/>
      <c r="E85" s="30"/>
      <c r="F85" s="30"/>
      <c r="G85" s="30"/>
      <c r="H85" s="30"/>
      <c r="I85" s="30"/>
    </row>
    <row r="86" spans="1:9" hidden="1" x14ac:dyDescent="0.2">
      <c r="A86" s="30"/>
      <c r="B86" s="30"/>
      <c r="C86" s="30"/>
      <c r="D86" s="30"/>
      <c r="E86" s="30"/>
      <c r="F86" s="30"/>
      <c r="G86" s="30"/>
      <c r="H86" s="30"/>
      <c r="I86" s="30"/>
    </row>
    <row r="87" spans="1:9" hidden="1" x14ac:dyDescent="0.2">
      <c r="A87" s="30"/>
      <c r="B87" s="30"/>
      <c r="C87" s="30"/>
      <c r="D87" s="30"/>
      <c r="E87" s="30"/>
      <c r="F87" s="30"/>
      <c r="G87" s="30"/>
      <c r="H87" s="30"/>
      <c r="I87" s="30"/>
    </row>
    <row r="88" spans="1:9" hidden="1" x14ac:dyDescent="0.2">
      <c r="A88" s="30"/>
      <c r="B88" s="30"/>
      <c r="C88" s="30"/>
      <c r="D88" s="30"/>
      <c r="E88" s="30"/>
      <c r="F88" s="30"/>
      <c r="G88" s="30"/>
      <c r="H88" s="30"/>
      <c r="I88" s="30"/>
    </row>
    <row r="89" spans="1:9" hidden="1" x14ac:dyDescent="0.2">
      <c r="A89" s="30"/>
      <c r="B89" s="30"/>
      <c r="C89" s="30"/>
      <c r="D89" s="30"/>
      <c r="E89" s="30"/>
      <c r="F89" s="30"/>
      <c r="G89" s="30"/>
      <c r="H89" s="30"/>
      <c r="I89" s="30"/>
    </row>
    <row r="90" spans="1:9" hidden="1" x14ac:dyDescent="0.2">
      <c r="A90" s="30"/>
      <c r="B90" s="30"/>
      <c r="C90" s="30"/>
      <c r="D90" s="30"/>
      <c r="E90" s="30"/>
      <c r="F90" s="30"/>
      <c r="G90" s="30"/>
      <c r="H90" s="30"/>
      <c r="I90" s="30"/>
    </row>
    <row r="91" spans="1:9" hidden="1" x14ac:dyDescent="0.2">
      <c r="A91" s="30"/>
      <c r="B91" s="30"/>
      <c r="C91" s="30"/>
      <c r="D91" s="30"/>
      <c r="E91" s="30"/>
      <c r="F91" s="30"/>
      <c r="G91" s="30"/>
      <c r="H91" s="30"/>
      <c r="I91" s="30"/>
    </row>
    <row r="92" spans="1:9" hidden="1" x14ac:dyDescent="0.2">
      <c r="A92" s="30"/>
      <c r="B92" s="30"/>
      <c r="C92" s="30"/>
      <c r="D92" s="30"/>
      <c r="E92" s="30"/>
      <c r="F92" s="30"/>
      <c r="G92" s="30"/>
      <c r="H92" s="30"/>
      <c r="I92" s="30"/>
    </row>
    <row r="93" spans="1:9" hidden="1" x14ac:dyDescent="0.2">
      <c r="A93" s="30"/>
      <c r="B93" s="30"/>
      <c r="C93" s="30"/>
      <c r="D93" s="30"/>
      <c r="E93" s="30"/>
      <c r="F93" s="30"/>
      <c r="G93" s="30"/>
      <c r="H93" s="30"/>
      <c r="I93" s="30"/>
    </row>
    <row r="94" spans="1:9" hidden="1" x14ac:dyDescent="0.2">
      <c r="A94" s="30"/>
      <c r="B94" s="30"/>
      <c r="C94" s="30"/>
      <c r="D94" s="30"/>
      <c r="E94" s="30"/>
      <c r="F94" s="30"/>
      <c r="G94" s="30"/>
      <c r="H94" s="30"/>
      <c r="I94" s="30"/>
    </row>
    <row r="95" spans="1:9" hidden="1" x14ac:dyDescent="0.2">
      <c r="A95" s="30"/>
      <c r="B95" s="30"/>
      <c r="C95" s="30"/>
      <c r="D95" s="30"/>
      <c r="E95" s="30"/>
      <c r="F95" s="30"/>
      <c r="G95" s="30"/>
      <c r="H95" s="30"/>
      <c r="I95" s="30"/>
    </row>
    <row r="96" spans="1:9" hidden="1" x14ac:dyDescent="0.2">
      <c r="A96" s="30"/>
      <c r="B96" s="30"/>
      <c r="C96" s="30"/>
      <c r="D96" s="30"/>
      <c r="E96" s="30"/>
      <c r="F96" s="30"/>
      <c r="G96" s="30"/>
      <c r="H96" s="30"/>
      <c r="I96" s="30"/>
    </row>
    <row r="97" spans="1:9" hidden="1" x14ac:dyDescent="0.2">
      <c r="A97" s="30"/>
      <c r="B97" s="30"/>
      <c r="C97" s="30"/>
      <c r="D97" s="30"/>
      <c r="E97" s="30"/>
      <c r="F97" s="30"/>
      <c r="G97" s="30"/>
      <c r="H97" s="30"/>
      <c r="I97" s="30"/>
    </row>
    <row r="98" spans="1:9" hidden="1" x14ac:dyDescent="0.2">
      <c r="A98" s="30"/>
      <c r="B98" s="30"/>
      <c r="C98" s="30"/>
      <c r="D98" s="30"/>
      <c r="E98" s="30"/>
      <c r="F98" s="30"/>
      <c r="G98" s="30"/>
      <c r="H98" s="30"/>
      <c r="I98" s="30"/>
    </row>
    <row r="99" spans="1:9" hidden="1" x14ac:dyDescent="0.2">
      <c r="A99" s="30"/>
      <c r="B99" s="30"/>
      <c r="C99" s="30"/>
      <c r="D99" s="30"/>
      <c r="E99" s="30"/>
      <c r="F99" s="30"/>
      <c r="G99" s="30"/>
      <c r="H99" s="30"/>
      <c r="I99" s="30"/>
    </row>
    <row r="100" spans="1:9" hidden="1" x14ac:dyDescent="0.2">
      <c r="A100" s="30"/>
      <c r="B100" s="30"/>
      <c r="C100" s="30"/>
      <c r="D100" s="30"/>
      <c r="E100" s="30"/>
      <c r="F100" s="30"/>
      <c r="G100" s="30"/>
      <c r="H100" s="30"/>
      <c r="I100" s="30"/>
    </row>
    <row r="101" spans="1:9" hidden="1" x14ac:dyDescent="0.2">
      <c r="A101" s="30"/>
      <c r="B101" s="30"/>
      <c r="C101" s="30"/>
      <c r="D101" s="30"/>
      <c r="E101" s="30"/>
      <c r="F101" s="30"/>
      <c r="G101" s="30"/>
      <c r="H101" s="30"/>
      <c r="I101" s="30"/>
    </row>
    <row r="102" spans="1:9" hidden="1" x14ac:dyDescent="0.2">
      <c r="A102" s="30"/>
      <c r="B102" s="30"/>
      <c r="C102" s="30"/>
      <c r="D102" s="30"/>
      <c r="E102" s="30"/>
      <c r="F102" s="30"/>
      <c r="G102" s="30"/>
      <c r="H102" s="30"/>
      <c r="I102" s="30"/>
    </row>
    <row r="103" spans="1:9" hidden="1" x14ac:dyDescent="0.2">
      <c r="A103" s="30"/>
      <c r="B103" s="30"/>
      <c r="C103" s="30"/>
      <c r="D103" s="30"/>
      <c r="E103" s="30"/>
      <c r="F103" s="30"/>
      <c r="G103" s="30"/>
      <c r="H103" s="30"/>
      <c r="I103" s="30"/>
    </row>
    <row r="104" spans="1:9" hidden="1" x14ac:dyDescent="0.2">
      <c r="A104" s="30"/>
    </row>
    <row r="105" spans="1:9" hidden="1" x14ac:dyDescent="0.2">
      <c r="A105" s="30"/>
    </row>
    <row r="106" spans="1:9" hidden="1" x14ac:dyDescent="0.2">
      <c r="A106" s="30"/>
    </row>
    <row r="107" spans="1:9" hidden="1" x14ac:dyDescent="0.2">
      <c r="A107" s="30"/>
    </row>
    <row r="108" spans="1:9" hidden="1" x14ac:dyDescent="0.2">
      <c r="A108" s="30"/>
    </row>
    <row r="109" spans="1:9" hidden="1" x14ac:dyDescent="0.2">
      <c r="A109" s="30"/>
    </row>
    <row r="110" spans="1:9" hidden="1" x14ac:dyDescent="0.2">
      <c r="A110" s="30"/>
    </row>
    <row r="111" spans="1:9" hidden="1" x14ac:dyDescent="0.2">
      <c r="A111" s="30"/>
    </row>
    <row r="112" spans="1:9" hidden="1" x14ac:dyDescent="0.2">
      <c r="A112" s="30"/>
    </row>
    <row r="113" spans="1:1" hidden="1" x14ac:dyDescent="0.2">
      <c r="A113" s="30"/>
    </row>
    <row r="114" spans="1:1" hidden="1" x14ac:dyDescent="0.2">
      <c r="A114" s="30"/>
    </row>
    <row r="115" spans="1:1" hidden="1" x14ac:dyDescent="0.2">
      <c r="A115" s="30"/>
    </row>
    <row r="116" spans="1:1" hidden="1" x14ac:dyDescent="0.2">
      <c r="A116" s="30"/>
    </row>
  </sheetData>
  <sheetProtection sheet="1" formatCells="0" formatColumns="0" formatRows="0"/>
  <mergeCells count="4">
    <mergeCell ref="B8:B12"/>
    <mergeCell ref="D14:H14"/>
    <mergeCell ref="B18:B22"/>
    <mergeCell ref="D24:H24"/>
  </mergeCells>
  <pageMargins left="0.7" right="0.7" top="0.75" bottom="0.75" header="0.3" footer="0.3"/>
  <pageSetup scale="59" orientation="landscape" horizontalDpi="4294967295" verticalDpi="4294967295" r:id="rId1"/>
  <customProperties>
    <customPr name="Smart" r:id="rId2"/>
  </customProperties>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4"/>
  <sheetViews>
    <sheetView zoomScaleNormal="100" workbookViewId="0">
      <selection activeCell="I29" sqref="I29"/>
    </sheetView>
  </sheetViews>
  <sheetFormatPr defaultColWidth="0" defaultRowHeight="14.25" zeroHeight="1" outlineLevelRow="1" x14ac:dyDescent="0.2"/>
  <cols>
    <col min="1" max="1" width="9" style="71" customWidth="1"/>
    <col min="2" max="2" width="6.75" style="71" customWidth="1"/>
    <col min="3" max="4" width="26.125" style="71" customWidth="1"/>
    <col min="5" max="5" width="8.625" style="71" customWidth="1"/>
    <col min="6" max="6" width="10.375" style="71" bestFit="1" customWidth="1"/>
    <col min="7" max="7" width="10.5" style="71" bestFit="1" customWidth="1"/>
    <col min="8" max="8" width="13" style="71" customWidth="1"/>
    <col min="9" max="9" width="29.875" style="71" customWidth="1"/>
    <col min="10" max="10" width="13.75" style="71" customWidth="1"/>
    <col min="11" max="11" width="24.5" style="71" customWidth="1"/>
    <col min="12" max="12" width="10.5" style="71" bestFit="1" customWidth="1"/>
    <col min="13" max="13" width="17.625" style="71" customWidth="1"/>
    <col min="14" max="16384" width="9" style="71" hidden="1"/>
  </cols>
  <sheetData>
    <row r="1" spans="2:12" x14ac:dyDescent="0.2"/>
    <row r="2" spans="2:12" ht="39" x14ac:dyDescent="0.6">
      <c r="B2" s="72" t="s">
        <v>159</v>
      </c>
    </row>
    <row r="3" spans="2:12" outlineLevel="1" x14ac:dyDescent="0.2">
      <c r="B3" s="71" t="s">
        <v>169</v>
      </c>
    </row>
    <row r="4" spans="2:12" x14ac:dyDescent="0.2"/>
    <row r="5" spans="2:12" ht="15" x14ac:dyDescent="0.25">
      <c r="B5" s="75"/>
      <c r="L5" s="73"/>
    </row>
    <row r="6" spans="2:12" s="143" customFormat="1" ht="25.5" x14ac:dyDescent="0.2">
      <c r="B6" s="118" t="s">
        <v>40</v>
      </c>
      <c r="C6" s="118" t="s">
        <v>71</v>
      </c>
      <c r="D6" s="118" t="s">
        <v>96</v>
      </c>
      <c r="E6" s="118" t="s">
        <v>103</v>
      </c>
      <c r="F6" s="118" t="s">
        <v>66</v>
      </c>
      <c r="G6" s="118" t="s">
        <v>64</v>
      </c>
      <c r="H6" s="118" t="s">
        <v>104</v>
      </c>
      <c r="I6" s="118" t="s">
        <v>69</v>
      </c>
      <c r="J6" s="118" t="s">
        <v>161</v>
      </c>
      <c r="K6" s="118" t="s">
        <v>70</v>
      </c>
      <c r="L6" s="118" t="s">
        <v>59</v>
      </c>
    </row>
    <row r="7" spans="2:12" s="143" customFormat="1" x14ac:dyDescent="0.2">
      <c r="B7" s="112" t="str">
        <f>IFERROR(IF(INDEX(Risikolog[Risiko-id],MATCH(Table29[[#This Row],[Risikoværdi]],Risikolog[Risiko-værdi],0))=0,"",INDEX(Risikolog[Risiko-id],MATCH(Table29[[#This Row],[Risikoværdi]],Risikolog[Risiko-værdi],0))),"")</f>
        <v/>
      </c>
      <c r="C7" s="113" t="str">
        <f>IFERROR(IF(VLOOKUP(Table29[[#This Row],[Risiko-id]],Risikolog[[Risiko-id]:[Mitigerende tiltag]],5)=0,"",VLOOKUP(Table29[[#This Row],[Risiko-id]],Risikolog[[Risiko-id]:[Mitigerende tiltag]],5)),"")</f>
        <v/>
      </c>
      <c r="D7" s="113" t="str">
        <f>IFERROR(IF(VLOOKUP(Table29[[#This Row],[Risiko-id]],Risikolog[[Risiko-id]:[Mitigerende tiltag]],6)=0,"",VLOOKUP(Table29[[#This Row],[Risiko-id]],Risikolog[[Risiko-id]:[Mitigerende tiltag]],6)),"")</f>
        <v/>
      </c>
      <c r="E7" s="114" t="str">
        <f>IFERROR(VLOOKUP(Table29[[#This Row],[Risiko-id]],Risikolog[[Risiko-id]:[Mitigerende tiltag]],7),"")</f>
        <v/>
      </c>
      <c r="F7" s="114" t="str">
        <f>IFERROR(VLOOKUP(Table29[[#This Row],[Risiko-id]],Risikolog[[Risiko-id]:[Mitigerende tiltag]],8),"")</f>
        <v/>
      </c>
      <c r="G7" s="145" t="str">
        <f t="array" ref="G7">IFERROR(LARGE(IF(Risikolog[Status]="Risiko",Risikolog[Risiko-værdi]),1),"N/A")</f>
        <v>N/A</v>
      </c>
      <c r="H7" s="115" t="str">
        <f>IFERROR(IF(VLOOKUP(Table29[[#This Row],[Risiko-id]],Risikolog[[Risiko-id]:[Mitigerende tiltag]],10)=0,"",VLOOKUP(Table29[[#This Row],[Risiko-id]],Risikolog[[Risiko-id]:[Mitigerende tiltag]],10)),"")</f>
        <v/>
      </c>
      <c r="I7" s="116" t="str">
        <f>IFERROR(IF(VLOOKUP(Table29[[#This Row],[Risiko-id]],Risikolog[[Risiko-id]:[Mitigerende tiltag]],13)=0,"",VLOOKUP(Table29[[#This Row],[Risiko-id]],Risikolog[[Risiko-id]:[Mitigerende tiltag]],13)),"")</f>
        <v/>
      </c>
      <c r="J7" s="116" t="str">
        <f>IFERROR(IF(VLOOKUP(Table29[[#This Row],[Risiko-id]],Risikolog[[Risiko-id]:[Status]],14)=0,"",VLOOKUP(Table29[[#This Row],[Risiko-id]],Risikolog[[Risiko-id]:[Status]],14)),"")</f>
        <v/>
      </c>
      <c r="K7" s="116" t="str">
        <f>IFERROR(IF(VLOOKUP(Table29[[#This Row],[Risiko-id]],Risikolog[[Risiko-id]:[Beredskabsplan hvis risiko indtræffer]],20)=0,"",VLOOKUP(Table29[[#This Row],[Risiko-id]],Risikolog[[Risiko-id]:[Beredskabsplan hvis risiko indtræffer]],20)),"")</f>
        <v/>
      </c>
      <c r="L7" s="116" t="str">
        <f>IFERROR(IF(VLOOKUP(Table29[[#This Row],[Risiko-id]],Risikolog[[Risiko-id]:[Mitigerende tiltag]],12)=0,"",VLOOKUP(Table29[[#This Row],[Risiko-id]],Risikolog[[Risiko-id]:[Mitigerende tiltag]],12)),"")</f>
        <v/>
      </c>
    </row>
    <row r="8" spans="2:12" s="143" customFormat="1" x14ac:dyDescent="0.2">
      <c r="B8" s="112" t="str">
        <f>IFERROR(IF(INDEX(Risikolog[Risiko-id],MATCH(Table29[[#This Row],[Risikoværdi]],Risikolog[Risiko-værdi],0))=0,"",INDEX(Risikolog[Risiko-id],MATCH(Table29[[#This Row],[Risikoværdi]],Risikolog[Risiko-værdi],0))),"")</f>
        <v/>
      </c>
      <c r="C8" s="113" t="str">
        <f>IFERROR(IF(VLOOKUP(Table29[[#This Row],[Risiko-id]],Risikolog[[Risiko-id]:[Mitigerende tiltag]],5)=0,"",VLOOKUP(Table29[[#This Row],[Risiko-id]],Risikolog[[Risiko-id]:[Mitigerende tiltag]],5)),"")</f>
        <v/>
      </c>
      <c r="D8" s="113" t="str">
        <f>IFERROR(IF(VLOOKUP(Table29[[#This Row],[Risiko-id]],Risikolog[[Risiko-id]:[Mitigerende tiltag]],6)=0,"",VLOOKUP(Table29[[#This Row],[Risiko-id]],Risikolog[[Risiko-id]:[Mitigerende tiltag]],6)),"")</f>
        <v/>
      </c>
      <c r="E8" s="114" t="str">
        <f>IFERROR(VLOOKUP(Table29[[#This Row],[Risiko-id]],Risikolog[[Risiko-id]:[Mitigerende tiltag]],7),"")</f>
        <v/>
      </c>
      <c r="F8" s="114" t="str">
        <f>IFERROR(VLOOKUP(Table29[[#This Row],[Risiko-id]],Risikolog[[Risiko-id]:[Mitigerende tiltag]],8),"")</f>
        <v/>
      </c>
      <c r="G8" s="145" t="str">
        <f t="array" ref="G8">IFERROR(LARGE(IF(Risikolog[Status]="Risiko",Risikolog[Risiko-værdi]),2),"N/A")</f>
        <v>N/A</v>
      </c>
      <c r="H8" s="115" t="str">
        <f>IFERROR(IF(VLOOKUP(Table29[[#This Row],[Risiko-id]],Risikolog[[Risiko-id]:[Mitigerende tiltag]],10)=0,"",VLOOKUP(Table29[[#This Row],[Risiko-id]],Risikolog[[Risiko-id]:[Mitigerende tiltag]],10)),"")</f>
        <v/>
      </c>
      <c r="I8" s="116" t="str">
        <f>IFERROR(IF(VLOOKUP(Table29[[#This Row],[Risiko-id]],Risikolog[[Risiko-id]:[Mitigerende tiltag]],13)=0,"",VLOOKUP(Table29[[#This Row],[Risiko-id]],Risikolog[[Risiko-id]:[Mitigerende tiltag]],13)),"")</f>
        <v/>
      </c>
      <c r="J8" s="116" t="str">
        <f>IFERROR(IF(VLOOKUP(Table29[[#This Row],[Risiko-id]],Risikolog[[Risiko-id]:[Status]],14)=0,"",VLOOKUP(Table29[[#This Row],[Risiko-id]],Risikolog[[Risiko-id]:[Status]],14)),"")</f>
        <v/>
      </c>
      <c r="K8" s="116" t="str">
        <f>IFERROR(IF(VLOOKUP(Table29[[#This Row],[Risiko-id]],Risikolog[[Risiko-id]:[Beredskabsplan hvis risiko indtræffer]],20)=0,"",VLOOKUP(Table29[[#This Row],[Risiko-id]],Risikolog[[Risiko-id]:[Beredskabsplan hvis risiko indtræffer]],20)),"")</f>
        <v/>
      </c>
      <c r="L8" s="116" t="str">
        <f>IFERROR(IF(VLOOKUP(Table29[[#This Row],[Risiko-id]],Risikolog[[Risiko-id]:[Mitigerende tiltag]],12)=0,"",VLOOKUP(Table29[[#This Row],[Risiko-id]],Risikolog[[Risiko-id]:[Mitigerende tiltag]],12)),"")</f>
        <v/>
      </c>
    </row>
    <row r="9" spans="2:12" s="143" customFormat="1" x14ac:dyDescent="0.2">
      <c r="B9" s="112" t="str">
        <f>IFERROR(IF(INDEX(Risikolog[Risiko-id],MATCH(Table29[[#This Row],[Risikoværdi]],Risikolog[Risiko-værdi],0))=0,"",INDEX(Risikolog[Risiko-id],MATCH(Table29[[#This Row],[Risikoværdi]],Risikolog[Risiko-værdi],0))),"")</f>
        <v/>
      </c>
      <c r="C9" s="113" t="str">
        <f>IFERROR(IF(VLOOKUP(Table29[[#This Row],[Risiko-id]],Risikolog[[Risiko-id]:[Mitigerende tiltag]],5)=0,"",VLOOKUP(Table29[[#This Row],[Risiko-id]],Risikolog[[Risiko-id]:[Mitigerende tiltag]],5)),"")</f>
        <v/>
      </c>
      <c r="D9" s="113" t="str">
        <f>IFERROR(IF(VLOOKUP(Table29[[#This Row],[Risiko-id]],Risikolog[[Risiko-id]:[Mitigerende tiltag]],6)=0,"",VLOOKUP(Table29[[#This Row],[Risiko-id]],Risikolog[[Risiko-id]:[Mitigerende tiltag]],6)),"")</f>
        <v/>
      </c>
      <c r="E9" s="114" t="str">
        <f>IFERROR(VLOOKUP(Table29[[#This Row],[Risiko-id]],Risikolog[[Risiko-id]:[Mitigerende tiltag]],7),"")</f>
        <v/>
      </c>
      <c r="F9" s="114" t="str">
        <f>IFERROR(VLOOKUP(Table29[[#This Row],[Risiko-id]],Risikolog[[Risiko-id]:[Mitigerende tiltag]],8),"")</f>
        <v/>
      </c>
      <c r="G9" s="145" t="str">
        <f t="array" ref="G9">IFERROR(LARGE(IF(Risikolog[Status]="Risiko",Risikolog[Risiko-værdi]),3),"N/A")</f>
        <v>N/A</v>
      </c>
      <c r="H9" s="115" t="str">
        <f>IFERROR(IF(VLOOKUP(Table29[[#This Row],[Risiko-id]],Risikolog[[Risiko-id]:[Mitigerende tiltag]],10)=0,"",VLOOKUP(Table29[[#This Row],[Risiko-id]],Risikolog[[Risiko-id]:[Mitigerende tiltag]],10)),"")</f>
        <v/>
      </c>
      <c r="I9" s="116" t="str">
        <f>IFERROR(IF(VLOOKUP(Table29[[#This Row],[Risiko-id]],Risikolog[[Risiko-id]:[Mitigerende tiltag]],13)=0,"",VLOOKUP(Table29[[#This Row],[Risiko-id]],Risikolog[[Risiko-id]:[Mitigerende tiltag]],13)),"")</f>
        <v/>
      </c>
      <c r="J9" s="116" t="str">
        <f>IFERROR(IF(VLOOKUP(Table29[[#This Row],[Risiko-id]],Risikolog[[Risiko-id]:[Status]],14)=0,"",VLOOKUP(Table29[[#This Row],[Risiko-id]],Risikolog[[Risiko-id]:[Status]],14)),"")</f>
        <v/>
      </c>
      <c r="K9" s="116" t="str">
        <f>IFERROR(IF(VLOOKUP(Table29[[#This Row],[Risiko-id]],Risikolog[[Risiko-id]:[Beredskabsplan hvis risiko indtræffer]],20)=0,"",VLOOKUP(Table29[[#This Row],[Risiko-id]],Risikolog[[Risiko-id]:[Beredskabsplan hvis risiko indtræffer]],20)),"")</f>
        <v/>
      </c>
      <c r="L9" s="116" t="str">
        <f>IFERROR(IF(VLOOKUP(Table29[[#This Row],[Risiko-id]],Risikolog[[Risiko-id]:[Mitigerende tiltag]],12)=0,"",VLOOKUP(Table29[[#This Row],[Risiko-id]],Risikolog[[Risiko-id]:[Mitigerende tiltag]],12)),"")</f>
        <v/>
      </c>
    </row>
    <row r="10" spans="2:12" s="143" customFormat="1" x14ac:dyDescent="0.2">
      <c r="B10" s="112" t="str">
        <f>IFERROR(IF(INDEX(Risikolog[Risiko-id],MATCH(Table29[[#This Row],[Risikoværdi]],Risikolog[Risiko-værdi],0))=0,"",INDEX(Risikolog[Risiko-id],MATCH(Table29[[#This Row],[Risikoværdi]],Risikolog[Risiko-værdi],0))),"")</f>
        <v/>
      </c>
      <c r="C10" s="113" t="str">
        <f>IFERROR(IF(VLOOKUP(Table29[[#This Row],[Risiko-id]],Risikolog[[Risiko-id]:[Mitigerende tiltag]],5)=0,"",VLOOKUP(Table29[[#This Row],[Risiko-id]],Risikolog[[Risiko-id]:[Mitigerende tiltag]],5)),"")</f>
        <v/>
      </c>
      <c r="D10" s="113" t="str">
        <f>IFERROR(IF(VLOOKUP(Table29[[#This Row],[Risiko-id]],Risikolog[[Risiko-id]:[Mitigerende tiltag]],6)=0,"",VLOOKUP(Table29[[#This Row],[Risiko-id]],Risikolog[[Risiko-id]:[Mitigerende tiltag]],6)),"")</f>
        <v/>
      </c>
      <c r="E10" s="114" t="str">
        <f>IFERROR(VLOOKUP(Table29[[#This Row],[Risiko-id]],Risikolog[[Risiko-id]:[Mitigerende tiltag]],7),"")</f>
        <v/>
      </c>
      <c r="F10" s="114" t="str">
        <f>IFERROR(VLOOKUP(Table29[[#This Row],[Risiko-id]],Risikolog[[Risiko-id]:[Mitigerende tiltag]],8),"")</f>
        <v/>
      </c>
      <c r="G10" s="145" t="str">
        <f t="array" ref="G10">IFERROR(LARGE(IF(Risikolog[Status]="Risiko",Risikolog[Risiko-værdi]),4),"N/A")</f>
        <v>N/A</v>
      </c>
      <c r="H10" s="115" t="str">
        <f>IFERROR(IF(VLOOKUP(Table29[[#This Row],[Risiko-id]],Risikolog[[Risiko-id]:[Mitigerende tiltag]],10)=0,"",VLOOKUP(Table29[[#This Row],[Risiko-id]],Risikolog[[Risiko-id]:[Mitigerende tiltag]],10)),"")</f>
        <v/>
      </c>
      <c r="I10" s="116" t="str">
        <f>IFERROR(IF(VLOOKUP(Table29[[#This Row],[Risiko-id]],Risikolog[[Risiko-id]:[Mitigerende tiltag]],13)=0,"",VLOOKUP(Table29[[#This Row],[Risiko-id]],Risikolog[[Risiko-id]:[Mitigerende tiltag]],13)),"")</f>
        <v/>
      </c>
      <c r="J10" s="116" t="str">
        <f>IFERROR(IF(VLOOKUP(Table29[[#This Row],[Risiko-id]],Risikolog[[Risiko-id]:[Status]],14)=0,"",VLOOKUP(Table29[[#This Row],[Risiko-id]],Risikolog[[Risiko-id]:[Status]],14)),"")</f>
        <v/>
      </c>
      <c r="K10" s="116" t="str">
        <f>IFERROR(IF(VLOOKUP(Table29[[#This Row],[Risiko-id]],Risikolog[[Risiko-id]:[Beredskabsplan hvis risiko indtræffer]],20)=0,"",VLOOKUP(Table29[[#This Row],[Risiko-id]],Risikolog[[Risiko-id]:[Beredskabsplan hvis risiko indtræffer]],20)),"")</f>
        <v/>
      </c>
      <c r="L10" s="116" t="str">
        <f>IFERROR(IF(VLOOKUP(Table29[[#This Row],[Risiko-id]],Risikolog[[Risiko-id]:[Mitigerende tiltag]],12)=0,"",VLOOKUP(Table29[[#This Row],[Risiko-id]],Risikolog[[Risiko-id]:[Mitigerende tiltag]],12)),"")</f>
        <v/>
      </c>
    </row>
    <row r="11" spans="2:12" s="143" customFormat="1" x14ac:dyDescent="0.2">
      <c r="B11" s="112" t="str">
        <f>IFERROR(IF(INDEX(Risikolog[Risiko-id],MATCH(Table29[[#This Row],[Risikoværdi]],Risikolog[Risiko-værdi],0))=0,"",INDEX(Risikolog[Risiko-id],MATCH(Table29[[#This Row],[Risikoværdi]],Risikolog[Risiko-værdi],0))),"")</f>
        <v/>
      </c>
      <c r="C11" s="113" t="str">
        <f>IFERROR(IF(VLOOKUP(Table29[[#This Row],[Risiko-id]],Risikolog[[Risiko-id]:[Mitigerende tiltag]],5)=0,"",VLOOKUP(Table29[[#This Row],[Risiko-id]],Risikolog[[Risiko-id]:[Mitigerende tiltag]],5)),"")</f>
        <v/>
      </c>
      <c r="D11" s="113" t="str">
        <f>IFERROR(IF(VLOOKUP(Table29[[#This Row],[Risiko-id]],Risikolog[[Risiko-id]:[Mitigerende tiltag]],6)=0,"",VLOOKUP(Table29[[#This Row],[Risiko-id]],Risikolog[[Risiko-id]:[Mitigerende tiltag]],6)),"")</f>
        <v/>
      </c>
      <c r="E11" s="114" t="str">
        <f>IFERROR(VLOOKUP(Table29[[#This Row],[Risiko-id]],Risikolog[[Risiko-id]:[Mitigerende tiltag]],7),"")</f>
        <v/>
      </c>
      <c r="F11" s="114" t="str">
        <f>IFERROR(VLOOKUP(Table29[[#This Row],[Risiko-id]],Risikolog[[Risiko-id]:[Mitigerende tiltag]],8),"")</f>
        <v/>
      </c>
      <c r="G11" s="145" t="str">
        <f t="array" ref="G11">IFERROR(LARGE(IF(Risikolog[Status]="Risiko",Risikolog[Risiko-værdi]),5),"N/A")</f>
        <v>N/A</v>
      </c>
      <c r="H11" s="115" t="str">
        <f>IFERROR(IF(VLOOKUP(Table29[[#This Row],[Risiko-id]],Risikolog[[Risiko-id]:[Mitigerende tiltag]],10)=0,"",VLOOKUP(Table29[[#This Row],[Risiko-id]],Risikolog[[Risiko-id]:[Mitigerende tiltag]],10)),"")</f>
        <v/>
      </c>
      <c r="I11" s="116" t="str">
        <f>IFERROR(IF(VLOOKUP(Table29[[#This Row],[Risiko-id]],Risikolog[[Risiko-id]:[Mitigerende tiltag]],13)=0,"",VLOOKUP(Table29[[#This Row],[Risiko-id]],Risikolog[[Risiko-id]:[Mitigerende tiltag]],13)),"")</f>
        <v/>
      </c>
      <c r="J11" s="116" t="str">
        <f>IFERROR(IF(VLOOKUP(Table29[[#This Row],[Risiko-id]],Risikolog[[Risiko-id]:[Status]],14)=0,"",VLOOKUP(Table29[[#This Row],[Risiko-id]],Risikolog[[Risiko-id]:[Status]],14)),"")</f>
        <v/>
      </c>
      <c r="K11" s="116" t="str">
        <f>IFERROR(IF(VLOOKUP(Table29[[#This Row],[Risiko-id]],Risikolog[[Risiko-id]:[Beredskabsplan hvis risiko indtræffer]],20)=0,"",VLOOKUP(Table29[[#This Row],[Risiko-id]],Risikolog[[Risiko-id]:[Beredskabsplan hvis risiko indtræffer]],20)),"")</f>
        <v/>
      </c>
      <c r="L11" s="116" t="str">
        <f>IFERROR(IF(VLOOKUP(Table29[[#This Row],[Risiko-id]],Risikolog[[Risiko-id]:[Mitigerende tiltag]],12)=0,"",VLOOKUP(Table29[[#This Row],[Risiko-id]],Risikolog[[Risiko-id]:[Mitigerende tiltag]],12)),"")</f>
        <v/>
      </c>
    </row>
    <row r="12" spans="2:12" s="143" customFormat="1" x14ac:dyDescent="0.2">
      <c r="B12" s="112" t="str">
        <f>IFERROR(IF(INDEX(Risikolog[Risiko-id],MATCH(Table29[[#This Row],[Risikoværdi]],Risikolog[Risiko-værdi],0))=0,"",INDEX(Risikolog[Risiko-id],MATCH(Table29[[#This Row],[Risikoværdi]],Risikolog[Risiko-værdi],0))),"")</f>
        <v/>
      </c>
      <c r="C12" s="171" t="str">
        <f>IFERROR(IF(VLOOKUP(Table29[[#This Row],[Risiko-id]],Risikolog[[Risiko-id]:[Mitigerende tiltag]],5)=0,"",VLOOKUP(Table29[[#This Row],[Risiko-id]],Risikolog[[Risiko-id]:[Mitigerende tiltag]],5)),"")</f>
        <v/>
      </c>
      <c r="D12" s="171" t="str">
        <f>IFERROR(IF(VLOOKUP(Table29[[#This Row],[Risiko-id]],Risikolog[[Risiko-id]:[Mitigerende tiltag]],6)=0,"",VLOOKUP(Table29[[#This Row],[Risiko-id]],Risikolog[[Risiko-id]:[Mitigerende tiltag]],6)),"")</f>
        <v/>
      </c>
      <c r="E12" s="172" t="str">
        <f>IFERROR(VLOOKUP(Table29[[#This Row],[Risiko-id]],Risikolog[[Risiko-id]:[Mitigerende tiltag]],7),"")</f>
        <v/>
      </c>
      <c r="F12" s="172" t="str">
        <f>IFERROR(VLOOKUP(Table29[[#This Row],[Risiko-id]],Risikolog[[Risiko-id]:[Mitigerende tiltag]],8),"")</f>
        <v/>
      </c>
      <c r="G12" s="145" t="str">
        <f t="array" ref="G12">IFERROR(LARGE(IF(Risikolog[Status]="Risiko",Risikolog[Risiko-værdi]),6),"N/A")</f>
        <v>N/A</v>
      </c>
      <c r="H12" s="115" t="str">
        <f>IFERROR(IF(VLOOKUP(Table29[[#This Row],[Risiko-id]],Risikolog[[Risiko-id]:[Mitigerende tiltag]],10)=0,"",VLOOKUP(Table29[[#This Row],[Risiko-id]],Risikolog[[Risiko-id]:[Mitigerende tiltag]],10)),"")</f>
        <v/>
      </c>
      <c r="I12" s="173" t="str">
        <f>IFERROR(IF(VLOOKUP(Table29[[#This Row],[Risiko-id]],Risikolog[[Risiko-id]:[Mitigerende tiltag]],13)=0,"",VLOOKUP(Table29[[#This Row],[Risiko-id]],Risikolog[[Risiko-id]:[Mitigerende tiltag]],13)),"")</f>
        <v/>
      </c>
      <c r="J12" s="173" t="str">
        <f>IFERROR(IF(VLOOKUP(Table29[[#This Row],[Risiko-id]],Risikolog[[Risiko-id]:[Status]],14)=0,"",VLOOKUP(Table29[[#This Row],[Risiko-id]],Risikolog[[Risiko-id]:[Status]],14)),"")</f>
        <v/>
      </c>
      <c r="K12" s="173" t="str">
        <f>IFERROR(IF(VLOOKUP(Table29[[#This Row],[Risiko-id]],Risikolog[[Risiko-id]:[Beredskabsplan hvis risiko indtræffer]],20)=0,"",VLOOKUP(Table29[[#This Row],[Risiko-id]],Risikolog[[Risiko-id]:[Beredskabsplan hvis risiko indtræffer]],20)),"")</f>
        <v/>
      </c>
      <c r="L12" s="173" t="str">
        <f>IFERROR(IF(VLOOKUP(Table29[[#This Row],[Risiko-id]],Risikolog[[Risiko-id]:[Mitigerende tiltag]],12)=0,"",VLOOKUP(Table29[[#This Row],[Risiko-id]],Risikolog[[Risiko-id]:[Mitigerende tiltag]],12)),"")</f>
        <v/>
      </c>
    </row>
    <row r="13" spans="2:12" s="143" customFormat="1" x14ac:dyDescent="0.2">
      <c r="B13" s="112" t="str">
        <f>IFERROR(IF(INDEX(Risikolog[Risiko-id],MATCH(Table29[[#This Row],[Risikoværdi]],Risikolog[Risiko-værdi],0))=0,"",INDEX(Risikolog[Risiko-id],MATCH(Table29[[#This Row],[Risikoværdi]],Risikolog[Risiko-værdi],0))),"")</f>
        <v/>
      </c>
      <c r="C13" s="171" t="str">
        <f>IFERROR(IF(VLOOKUP(Table29[[#This Row],[Risiko-id]],Risikolog[[Risiko-id]:[Mitigerende tiltag]],5)=0,"",VLOOKUP(Table29[[#This Row],[Risiko-id]],Risikolog[[Risiko-id]:[Mitigerende tiltag]],5)),"")</f>
        <v/>
      </c>
      <c r="D13" s="171" t="str">
        <f>IFERROR(IF(VLOOKUP(Table29[[#This Row],[Risiko-id]],Risikolog[[Risiko-id]:[Mitigerende tiltag]],6)=0,"",VLOOKUP(Table29[[#This Row],[Risiko-id]],Risikolog[[Risiko-id]:[Mitigerende tiltag]],6)),"")</f>
        <v/>
      </c>
      <c r="E13" s="172" t="str">
        <f>IFERROR(VLOOKUP(Table29[[#This Row],[Risiko-id]],Risikolog[[Risiko-id]:[Mitigerende tiltag]],7),"")</f>
        <v/>
      </c>
      <c r="F13" s="172" t="str">
        <f>IFERROR(VLOOKUP(Table29[[#This Row],[Risiko-id]],Risikolog[[Risiko-id]:[Mitigerende tiltag]],8),"")</f>
        <v/>
      </c>
      <c r="G13" s="145" t="str">
        <f t="array" ref="G13">IFERROR(LARGE(IF(Risikolog[Status]="Risiko",Risikolog[Risiko-værdi]),7),"N/A")</f>
        <v>N/A</v>
      </c>
      <c r="H13" s="115" t="str">
        <f>IFERROR(IF(VLOOKUP(Table29[[#This Row],[Risiko-id]],Risikolog[[Risiko-id]:[Mitigerende tiltag]],10)=0,"",VLOOKUP(Table29[[#This Row],[Risiko-id]],Risikolog[[Risiko-id]:[Mitigerende tiltag]],10)),"")</f>
        <v/>
      </c>
      <c r="I13" s="173" t="str">
        <f>IFERROR(IF(VLOOKUP(Table29[[#This Row],[Risiko-id]],Risikolog[[Risiko-id]:[Mitigerende tiltag]],13)=0,"",VLOOKUP(Table29[[#This Row],[Risiko-id]],Risikolog[[Risiko-id]:[Mitigerende tiltag]],13)),"")</f>
        <v/>
      </c>
      <c r="J13" s="173" t="str">
        <f>IFERROR(IF(VLOOKUP(Table29[[#This Row],[Risiko-id]],Risikolog[[Risiko-id]:[Status]],14)=0,"",VLOOKUP(Table29[[#This Row],[Risiko-id]],Risikolog[[Risiko-id]:[Status]],14)),"")</f>
        <v/>
      </c>
      <c r="K13" s="173" t="str">
        <f>IFERROR(IF(VLOOKUP(Table29[[#This Row],[Risiko-id]],Risikolog[[Risiko-id]:[Beredskabsplan hvis risiko indtræffer]],20)=0,"",VLOOKUP(Table29[[#This Row],[Risiko-id]],Risikolog[[Risiko-id]:[Beredskabsplan hvis risiko indtræffer]],20)),"")</f>
        <v/>
      </c>
      <c r="L13" s="173" t="str">
        <f>IFERROR(IF(VLOOKUP(Table29[[#This Row],[Risiko-id]],Risikolog[[Risiko-id]:[Mitigerende tiltag]],12)=0,"",VLOOKUP(Table29[[#This Row],[Risiko-id]],Risikolog[[Risiko-id]:[Mitigerende tiltag]],12)),"")</f>
        <v/>
      </c>
    </row>
    <row r="14" spans="2:12" s="143" customFormat="1" x14ac:dyDescent="0.2">
      <c r="B14" s="112" t="str">
        <f>IFERROR(IF(INDEX(Risikolog[Risiko-id],MATCH(Table29[[#This Row],[Risikoværdi]],Risikolog[Risiko-værdi],0))=0,"",INDEX(Risikolog[Risiko-id],MATCH(Table29[[#This Row],[Risikoværdi]],Risikolog[Risiko-værdi],0))),"")</f>
        <v/>
      </c>
      <c r="C14" s="171" t="str">
        <f>IFERROR(IF(VLOOKUP(Table29[[#This Row],[Risiko-id]],Risikolog[[Risiko-id]:[Mitigerende tiltag]],5)=0,"",VLOOKUP(Table29[[#This Row],[Risiko-id]],Risikolog[[Risiko-id]:[Mitigerende tiltag]],5)),"")</f>
        <v/>
      </c>
      <c r="D14" s="171" t="str">
        <f>IFERROR(IF(VLOOKUP(Table29[[#This Row],[Risiko-id]],Risikolog[[Risiko-id]:[Mitigerende tiltag]],6)=0,"",VLOOKUP(Table29[[#This Row],[Risiko-id]],Risikolog[[Risiko-id]:[Mitigerende tiltag]],6)),"")</f>
        <v/>
      </c>
      <c r="E14" s="172" t="str">
        <f>IFERROR(VLOOKUP(Table29[[#This Row],[Risiko-id]],Risikolog[[Risiko-id]:[Mitigerende tiltag]],7),"")</f>
        <v/>
      </c>
      <c r="F14" s="172" t="str">
        <f>IFERROR(VLOOKUP(Table29[[#This Row],[Risiko-id]],Risikolog[[Risiko-id]:[Mitigerende tiltag]],8),"")</f>
        <v/>
      </c>
      <c r="G14" s="145" t="str">
        <f t="array" ref="G14">IFERROR(LARGE(IF(Risikolog[Status]="Risiko",Risikolog[Risiko-værdi]),8),"N/A")</f>
        <v>N/A</v>
      </c>
      <c r="H14" s="115" t="str">
        <f>IFERROR(IF(VLOOKUP(Table29[[#This Row],[Risiko-id]],Risikolog[[Risiko-id]:[Mitigerende tiltag]],10)=0,"",VLOOKUP(Table29[[#This Row],[Risiko-id]],Risikolog[[Risiko-id]:[Mitigerende tiltag]],10)),"")</f>
        <v/>
      </c>
      <c r="I14" s="173" t="str">
        <f>IFERROR(IF(VLOOKUP(Table29[[#This Row],[Risiko-id]],Risikolog[[Risiko-id]:[Mitigerende tiltag]],13)=0,"",VLOOKUP(Table29[[#This Row],[Risiko-id]],Risikolog[[Risiko-id]:[Mitigerende tiltag]],13)),"")</f>
        <v/>
      </c>
      <c r="J14" s="173" t="str">
        <f>IFERROR(IF(VLOOKUP(Table29[[#This Row],[Risiko-id]],Risikolog[[Risiko-id]:[Status]],14)=0,"",VLOOKUP(Table29[[#This Row],[Risiko-id]],Risikolog[[Risiko-id]:[Status]],14)),"")</f>
        <v/>
      </c>
      <c r="K14" s="173" t="str">
        <f>IFERROR(IF(VLOOKUP(Table29[[#This Row],[Risiko-id]],Risikolog[[Risiko-id]:[Beredskabsplan hvis risiko indtræffer]],20)=0,"",VLOOKUP(Table29[[#This Row],[Risiko-id]],Risikolog[[Risiko-id]:[Beredskabsplan hvis risiko indtræffer]],20)),"")</f>
        <v/>
      </c>
      <c r="L14" s="173" t="str">
        <f>IFERROR(IF(VLOOKUP(Table29[[#This Row],[Risiko-id]],Risikolog[[Risiko-id]:[Mitigerende tiltag]],12)=0,"",VLOOKUP(Table29[[#This Row],[Risiko-id]],Risikolog[[Risiko-id]:[Mitigerende tiltag]],12)),"")</f>
        <v/>
      </c>
    </row>
    <row r="15" spans="2:12" s="143" customFormat="1" x14ac:dyDescent="0.2">
      <c r="B15" s="112" t="str">
        <f>IFERROR(IF(INDEX(Risikolog[Risiko-id],MATCH(Table29[[#This Row],[Risikoværdi]],Risikolog[Risiko-værdi],0))=0,"",INDEX(Risikolog[Risiko-id],MATCH(Table29[[#This Row],[Risikoværdi]],Risikolog[Risiko-værdi],0))),"")</f>
        <v/>
      </c>
      <c r="C15" s="171" t="str">
        <f>IFERROR(IF(VLOOKUP(Table29[[#This Row],[Risiko-id]],Risikolog[[Risiko-id]:[Mitigerende tiltag]],5)=0,"",VLOOKUP(Table29[[#This Row],[Risiko-id]],Risikolog[[Risiko-id]:[Mitigerende tiltag]],5)),"")</f>
        <v/>
      </c>
      <c r="D15" s="171" t="str">
        <f>IFERROR(IF(VLOOKUP(Table29[[#This Row],[Risiko-id]],Risikolog[[Risiko-id]:[Mitigerende tiltag]],6)=0,"",VLOOKUP(Table29[[#This Row],[Risiko-id]],Risikolog[[Risiko-id]:[Mitigerende tiltag]],6)),"")</f>
        <v/>
      </c>
      <c r="E15" s="172" t="str">
        <f>IFERROR(VLOOKUP(Table29[[#This Row],[Risiko-id]],Risikolog[[Risiko-id]:[Mitigerende tiltag]],7),"")</f>
        <v/>
      </c>
      <c r="F15" s="172" t="str">
        <f>IFERROR(VLOOKUP(Table29[[#This Row],[Risiko-id]],Risikolog[[Risiko-id]:[Mitigerende tiltag]],8),"")</f>
        <v/>
      </c>
      <c r="G15" s="145" t="str">
        <f t="array" ref="G15">IFERROR(LARGE(IF(Risikolog[Status]="Risiko",Risikolog[Risiko-værdi]),9),"N/A")</f>
        <v>N/A</v>
      </c>
      <c r="H15" s="115" t="str">
        <f>IFERROR(IF(VLOOKUP(Table29[[#This Row],[Risiko-id]],Risikolog[[Risiko-id]:[Mitigerende tiltag]],10)=0,"",VLOOKUP(Table29[[#This Row],[Risiko-id]],Risikolog[[Risiko-id]:[Mitigerende tiltag]],10)),"")</f>
        <v/>
      </c>
      <c r="I15" s="173" t="str">
        <f>IFERROR(IF(VLOOKUP(Table29[[#This Row],[Risiko-id]],Risikolog[[Risiko-id]:[Mitigerende tiltag]],13)=0,"",VLOOKUP(Table29[[#This Row],[Risiko-id]],Risikolog[[Risiko-id]:[Mitigerende tiltag]],13)),"")</f>
        <v/>
      </c>
      <c r="J15" s="173" t="str">
        <f>IFERROR(IF(VLOOKUP(Table29[[#This Row],[Risiko-id]],Risikolog[[Risiko-id]:[Status]],14)=0,"",VLOOKUP(Table29[[#This Row],[Risiko-id]],Risikolog[[Risiko-id]:[Status]],14)),"")</f>
        <v/>
      </c>
      <c r="K15" s="173" t="str">
        <f>IFERROR(IF(VLOOKUP(Table29[[#This Row],[Risiko-id]],Risikolog[[Risiko-id]:[Beredskabsplan hvis risiko indtræffer]],20)=0,"",VLOOKUP(Table29[[#This Row],[Risiko-id]],Risikolog[[Risiko-id]:[Beredskabsplan hvis risiko indtræffer]],20)),"")</f>
        <v/>
      </c>
      <c r="L15" s="173" t="str">
        <f>IFERROR(IF(VLOOKUP(Table29[[#This Row],[Risiko-id]],Risikolog[[Risiko-id]:[Mitigerende tiltag]],12)=0,"",VLOOKUP(Table29[[#This Row],[Risiko-id]],Risikolog[[Risiko-id]:[Mitigerende tiltag]],12)),"")</f>
        <v/>
      </c>
    </row>
    <row r="16" spans="2:12" s="143" customFormat="1" x14ac:dyDescent="0.2">
      <c r="B16" s="112" t="str">
        <f>IFERROR(IF(INDEX(Risikolog[Risiko-id],MATCH(Table29[[#This Row],[Risikoværdi]],Risikolog[Risiko-værdi],0))=0,"",INDEX(Risikolog[Risiko-id],MATCH(Table29[[#This Row],[Risikoværdi]],Risikolog[Risiko-værdi],0))),"")</f>
        <v/>
      </c>
      <c r="C16" s="171" t="str">
        <f>IFERROR(IF(VLOOKUP(Table29[[#This Row],[Risiko-id]],Risikolog[[Risiko-id]:[Mitigerende tiltag]],5)=0,"",VLOOKUP(Table29[[#This Row],[Risiko-id]],Risikolog[[Risiko-id]:[Mitigerende tiltag]],5)),"")</f>
        <v/>
      </c>
      <c r="D16" s="171" t="str">
        <f>IFERROR(IF(VLOOKUP(Table29[[#This Row],[Risiko-id]],Risikolog[[Risiko-id]:[Mitigerende tiltag]],6)=0,"",VLOOKUP(Table29[[#This Row],[Risiko-id]],Risikolog[[Risiko-id]:[Mitigerende tiltag]],6)),"")</f>
        <v/>
      </c>
      <c r="E16" s="172" t="str">
        <f>IFERROR(VLOOKUP(Table29[[#This Row],[Risiko-id]],Risikolog[[Risiko-id]:[Mitigerende tiltag]],7),"")</f>
        <v/>
      </c>
      <c r="F16" s="172" t="str">
        <f>IFERROR(VLOOKUP(Table29[[#This Row],[Risiko-id]],Risikolog[[Risiko-id]:[Mitigerende tiltag]],8),"")</f>
        <v/>
      </c>
      <c r="G16" s="145" t="str">
        <f t="array" ref="G16">IFERROR(LARGE(IF(Risikolog[Status]="Risiko",Risikolog[Risiko-værdi]),10),"N/A")</f>
        <v>N/A</v>
      </c>
      <c r="H16" s="115" t="str">
        <f>IFERROR(IF(VLOOKUP(Table29[[#This Row],[Risiko-id]],Risikolog[[Risiko-id]:[Mitigerende tiltag]],10)=0,"",VLOOKUP(Table29[[#This Row],[Risiko-id]],Risikolog[[Risiko-id]:[Mitigerende tiltag]],10)),"")</f>
        <v/>
      </c>
      <c r="I16" s="173" t="str">
        <f>IFERROR(IF(VLOOKUP(Table29[[#This Row],[Risiko-id]],Risikolog[[Risiko-id]:[Mitigerende tiltag]],13)=0,"",VLOOKUP(Table29[[#This Row],[Risiko-id]],Risikolog[[Risiko-id]:[Mitigerende tiltag]],13)),"")</f>
        <v/>
      </c>
      <c r="J16" s="173" t="str">
        <f>IFERROR(IF(VLOOKUP(Table29[[#This Row],[Risiko-id]],Risikolog[[Risiko-id]:[Status]],14)=0,"",VLOOKUP(Table29[[#This Row],[Risiko-id]],Risikolog[[Risiko-id]:[Status]],14)),"")</f>
        <v/>
      </c>
      <c r="K16" s="173" t="str">
        <f>IFERROR(IF(VLOOKUP(Table29[[#This Row],[Risiko-id]],Risikolog[[Risiko-id]:[Beredskabsplan hvis risiko indtræffer]],20)=0,"",VLOOKUP(Table29[[#This Row],[Risiko-id]],Risikolog[[Risiko-id]:[Beredskabsplan hvis risiko indtræffer]],20)),"")</f>
        <v/>
      </c>
      <c r="L16" s="173" t="str">
        <f>IFERROR(IF(VLOOKUP(Table29[[#This Row],[Risiko-id]],Risikolog[[Risiko-id]:[Mitigerende tiltag]],12)=0,"",VLOOKUP(Table29[[#This Row],[Risiko-id]],Risikolog[[Risiko-id]:[Mitigerende tiltag]],12)),"")</f>
        <v/>
      </c>
    </row>
    <row r="17" spans="2:12" x14ac:dyDescent="0.2"/>
    <row r="18" spans="2:12" ht="39" x14ac:dyDescent="0.6">
      <c r="B18" s="72" t="s">
        <v>160</v>
      </c>
    </row>
    <row r="19" spans="2:12" outlineLevel="1" x14ac:dyDescent="0.2">
      <c r="B19" s="71" t="s">
        <v>231</v>
      </c>
    </row>
    <row r="20" spans="2:12" x14ac:dyDescent="0.2"/>
    <row r="21" spans="2:12" ht="15" x14ac:dyDescent="0.25">
      <c r="B21" s="75"/>
      <c r="L21" s="73"/>
    </row>
    <row r="22" spans="2:12" ht="38.25" x14ac:dyDescent="0.2">
      <c r="B22" s="118" t="s">
        <v>40</v>
      </c>
      <c r="C22" s="118" t="s">
        <v>71</v>
      </c>
      <c r="D22" s="118" t="s">
        <v>96</v>
      </c>
      <c r="E22" s="118" t="s">
        <v>154</v>
      </c>
      <c r="F22" s="118" t="s">
        <v>62</v>
      </c>
      <c r="G22" s="118" t="s">
        <v>63</v>
      </c>
      <c r="H22" s="118" t="s">
        <v>104</v>
      </c>
      <c r="I22" s="118" t="s">
        <v>69</v>
      </c>
      <c r="J22" s="118" t="s">
        <v>161</v>
      </c>
      <c r="K22" s="118" t="s">
        <v>70</v>
      </c>
      <c r="L22" s="118" t="s">
        <v>59</v>
      </c>
    </row>
    <row r="23" spans="2:12" s="143" customFormat="1" x14ac:dyDescent="0.2">
      <c r="B23" s="112" t="str">
        <f>IFERROR(IF(INDEX(Risikolog[Risiko-id],MATCH(Table293[[#This Row],[Risikoværdi efter tiltag]],Risikolog[Risikoværdi efter tiltag],0))=0,"",INDEX(Risikolog[Risiko-id],MATCH(Table293[[#This Row],[Risikoværdi efter tiltag]],Risikolog[Risikoværdi efter tiltag],0))),"")</f>
        <v/>
      </c>
      <c r="C23" s="113" t="str">
        <f>IFERROR(IF(VLOOKUP(Table293[[#This Row],[Risiko-id]],Risikolog[[Risiko-id]:[Mitigerende tiltag]],5)=0,"",VLOOKUP(Table293[[#This Row],[Risiko-id]],Risikolog[[Risiko-id]:[Mitigerende tiltag]],5)),"")</f>
        <v/>
      </c>
      <c r="D23" s="113" t="str">
        <f>IFERROR(IF(VLOOKUP(Table293[[#This Row],[Risiko-id]],Risikolog[[Risiko-id]:[Mitigerende tiltag]],6)=0,"",VLOOKUP(Table293[[#This Row],[Risiko-id]],Risikolog[[Risiko-id]:[Mitigerende tiltag]],6)),"")</f>
        <v/>
      </c>
      <c r="E23" s="114" t="str">
        <f>IFERROR(VLOOKUP(Table293[[#This Row],[Risiko-id]],Risikolog[[Risiko-id]:[Konse-kvens efter tiltag]],17),"")</f>
        <v/>
      </c>
      <c r="F23" s="114" t="str">
        <f>IFERROR(VLOOKUP(Table293[[#This Row],[Risiko-id]],Risikolog[[Risiko-id]:[Konse-kvens efter tiltag]],18),"")</f>
        <v/>
      </c>
      <c r="G23" s="145" t="str">
        <f t="array" ref="G23">IFERROR(LARGE(IF(Risikolog[Status]="Risiko",Risikolog[Risikoværdi efter tiltag]),1),"N/A")</f>
        <v>N/A</v>
      </c>
      <c r="H23" s="115" t="str">
        <f>IFERROR(IF(VLOOKUP(Table293[[#This Row],[Risiko-id]],Risikolog[[Risiko-id]:[Mitigerende tiltag]],10)=0,"",VLOOKUP(Table293[[#This Row],[Risiko-id]],Risikolog[[Risiko-id]:[Mitigerende tiltag]],10)),"")</f>
        <v/>
      </c>
      <c r="I23" s="116" t="str">
        <f>IFERROR(IF(VLOOKUP(Table293[[#This Row],[Risiko-id]],Risikolog[[Risiko-id]:[Mitigerende tiltag]],13)=0,"",VLOOKUP(Table293[[#This Row],[Risiko-id]],Risikolog[[Risiko-id]:[Mitigerende tiltag]],13)),"")</f>
        <v/>
      </c>
      <c r="J23" s="116" t="str">
        <f>IFERROR(IF(VLOOKUP(Table293[[#This Row],[Risiko-id]],Risikolog[[Risiko-id]:[Status]],14)=0,"",VLOOKUP(Table293[[#This Row],[Risiko-id]],Risikolog[[Risiko-id]:[Status]],14)),"")</f>
        <v/>
      </c>
      <c r="K23" s="116" t="str">
        <f>IFERROR(IF(VLOOKUP(Table293[[#This Row],[Risiko-id]],Risikolog[[Risiko-id]:[Beredskabsplan hvis risiko indtræffer]],20)=0,"",VLOOKUP(Table293[[#This Row],[Risiko-id]],Risikolog[[Risiko-id]:[Beredskabsplan hvis risiko indtræffer]],20)),"")</f>
        <v/>
      </c>
      <c r="L23" s="116" t="str">
        <f>IFERROR(IF(VLOOKUP(Table293[[#This Row],[Risiko-id]],Risikolog[[Risiko-id]:[Mitigerende tiltag]],12)=0,"",VLOOKUP(Table293[[#This Row],[Risiko-id]],Risikolog[[Risiko-id]:[Mitigerende tiltag]],12)),"")</f>
        <v/>
      </c>
    </row>
    <row r="24" spans="2:12" s="143" customFormat="1" x14ac:dyDescent="0.2">
      <c r="B24" s="112" t="str">
        <f>IFERROR(IF(INDEX(Risikolog[Risiko-id],MATCH(Table293[[#This Row],[Risikoværdi efter tiltag]],Risikolog[Risikoværdi efter tiltag],0))=0,"",INDEX(Risikolog[Risiko-id],MATCH(Table293[[#This Row],[Risikoværdi efter tiltag]],Risikolog[Risikoværdi efter tiltag],0))),"")</f>
        <v/>
      </c>
      <c r="C24" s="113" t="str">
        <f>IFERROR(IF(VLOOKUP(Table293[[#This Row],[Risiko-id]],Risikolog[[Risiko-id]:[Mitigerende tiltag]],5)=0,"",VLOOKUP(Table293[[#This Row],[Risiko-id]],Risikolog[[Risiko-id]:[Mitigerende tiltag]],5)),"")</f>
        <v/>
      </c>
      <c r="D24" s="113" t="str">
        <f>IFERROR(IF(VLOOKUP(Table293[[#This Row],[Risiko-id]],Risikolog[[Risiko-id]:[Mitigerende tiltag]],6)=0,"",VLOOKUP(Table293[[#This Row],[Risiko-id]],Risikolog[[Risiko-id]:[Mitigerende tiltag]],6)),"")</f>
        <v/>
      </c>
      <c r="E24" s="114" t="str">
        <f>IFERROR(VLOOKUP(Table293[[#This Row],[Risiko-id]],Risikolog[[Risiko-id]:[Konse-kvens efter tiltag]],17),"")</f>
        <v/>
      </c>
      <c r="F24" s="114" t="str">
        <f>IFERROR(VLOOKUP(Table293[[#This Row],[Risiko-id]],Risikolog[[Risiko-id]:[Konse-kvens efter tiltag]],18),"")</f>
        <v/>
      </c>
      <c r="G24" s="145" t="str">
        <f t="array" ref="G24">IFERROR(LARGE(IF(Risikolog[Status]="Risiko",Risikolog[Risikoværdi efter tiltag]),2),"N/A")</f>
        <v>N/A</v>
      </c>
      <c r="H24" s="115" t="str">
        <f>IFERROR(IF(VLOOKUP(Table293[[#This Row],[Risiko-id]],Risikolog[[Risiko-id]:[Mitigerende tiltag]],10)=0,"",VLOOKUP(Table293[[#This Row],[Risiko-id]],Risikolog[[Risiko-id]:[Mitigerende tiltag]],10)),"")</f>
        <v/>
      </c>
      <c r="I24" s="116" t="str">
        <f>IFERROR(IF(VLOOKUP(Table293[[#This Row],[Risiko-id]],Risikolog[[Risiko-id]:[Mitigerende tiltag]],13)=0,"",VLOOKUP(Table293[[#This Row],[Risiko-id]],Risikolog[[Risiko-id]:[Mitigerende tiltag]],13)),"")</f>
        <v/>
      </c>
      <c r="J24" s="116" t="str">
        <f>IFERROR(IF(VLOOKUP(Table293[[#This Row],[Risiko-id]],Risikolog[[Risiko-id]:[Status]],14)=0,"",VLOOKUP(Table293[[#This Row],[Risiko-id]],Risikolog[[Risiko-id]:[Status]],14)),"")</f>
        <v/>
      </c>
      <c r="K24" s="116" t="str">
        <f>IFERROR(IF(VLOOKUP(Table293[[#This Row],[Risiko-id]],Risikolog[[Risiko-id]:[Beredskabsplan hvis risiko indtræffer]],20)=0,"",VLOOKUP(Table293[[#This Row],[Risiko-id]],Risikolog[[Risiko-id]:[Beredskabsplan hvis risiko indtræffer]],20)),"")</f>
        <v/>
      </c>
      <c r="L24" s="116" t="str">
        <f>IFERROR(IF(VLOOKUP(Table293[[#This Row],[Risiko-id]],Risikolog[[Risiko-id]:[Mitigerende tiltag]],12)=0,"",VLOOKUP(Table293[[#This Row],[Risiko-id]],Risikolog[[Risiko-id]:[Mitigerende tiltag]],12)),"")</f>
        <v/>
      </c>
    </row>
    <row r="25" spans="2:12" s="143" customFormat="1" x14ac:dyDescent="0.2">
      <c r="B25" s="112" t="str">
        <f>IFERROR(IF(INDEX(Risikolog[Risiko-id],MATCH(Table293[[#This Row],[Risikoværdi efter tiltag]],Risikolog[Risikoværdi efter tiltag],0))=0,"",INDEX(Risikolog[Risiko-id],MATCH(Table293[[#This Row],[Risikoværdi efter tiltag]],Risikolog[Risikoværdi efter tiltag],0))),"")</f>
        <v/>
      </c>
      <c r="C25" s="113" t="str">
        <f>IFERROR(IF(VLOOKUP(Table293[[#This Row],[Risiko-id]],Risikolog[[Risiko-id]:[Mitigerende tiltag]],5)=0,"",VLOOKUP(Table293[[#This Row],[Risiko-id]],Risikolog[[Risiko-id]:[Mitigerende tiltag]],5)),"")</f>
        <v/>
      </c>
      <c r="D25" s="113" t="str">
        <f>IFERROR(IF(VLOOKUP(Table293[[#This Row],[Risiko-id]],Risikolog[[Risiko-id]:[Mitigerende tiltag]],6)=0,"",VLOOKUP(Table293[[#This Row],[Risiko-id]],Risikolog[[Risiko-id]:[Mitigerende tiltag]],6)),"")</f>
        <v/>
      </c>
      <c r="E25" s="114" t="str">
        <f>IFERROR(VLOOKUP(Table293[[#This Row],[Risiko-id]],Risikolog[[Risiko-id]:[Konse-kvens efter tiltag]],17),"")</f>
        <v/>
      </c>
      <c r="F25" s="114" t="str">
        <f>IFERROR(VLOOKUP(Table293[[#This Row],[Risiko-id]],Risikolog[[Risiko-id]:[Konse-kvens efter tiltag]],18),"")</f>
        <v/>
      </c>
      <c r="G25" s="145" t="str">
        <f t="array" ref="G25">IFERROR(LARGE(IF(Risikolog[Status]="Risiko",Risikolog[Risikoværdi efter tiltag]),3),"N/A")</f>
        <v>N/A</v>
      </c>
      <c r="H25" s="115" t="str">
        <f>IFERROR(IF(VLOOKUP(Table293[[#This Row],[Risiko-id]],Risikolog[[Risiko-id]:[Mitigerende tiltag]],10)=0,"",VLOOKUP(Table293[[#This Row],[Risiko-id]],Risikolog[[Risiko-id]:[Mitigerende tiltag]],10)),"")</f>
        <v/>
      </c>
      <c r="I25" s="116" t="str">
        <f>IFERROR(IF(VLOOKUP(Table293[[#This Row],[Risiko-id]],Risikolog[[Risiko-id]:[Mitigerende tiltag]],13)=0,"",VLOOKUP(Table293[[#This Row],[Risiko-id]],Risikolog[[Risiko-id]:[Mitigerende tiltag]],13)),"")</f>
        <v/>
      </c>
      <c r="J25" s="116" t="str">
        <f>IFERROR(IF(VLOOKUP(Table293[[#This Row],[Risiko-id]],Risikolog[[Risiko-id]:[Status]],14)=0,"",VLOOKUP(Table293[[#This Row],[Risiko-id]],Risikolog[[Risiko-id]:[Status]],14)),"")</f>
        <v/>
      </c>
      <c r="K25" s="116" t="str">
        <f>IFERROR(IF(VLOOKUP(Table293[[#This Row],[Risiko-id]],Risikolog[[Risiko-id]:[Beredskabsplan hvis risiko indtræffer]],20)=0,"",VLOOKUP(Table293[[#This Row],[Risiko-id]],Risikolog[[Risiko-id]:[Beredskabsplan hvis risiko indtræffer]],20)),"")</f>
        <v/>
      </c>
      <c r="L25" s="116" t="str">
        <f>IFERROR(IF(VLOOKUP(Table293[[#This Row],[Risiko-id]],Risikolog[[Risiko-id]:[Mitigerende tiltag]],12)=0,"",VLOOKUP(Table293[[#This Row],[Risiko-id]],Risikolog[[Risiko-id]:[Mitigerende tiltag]],12)),"")</f>
        <v/>
      </c>
    </row>
    <row r="26" spans="2:12" s="143" customFormat="1" x14ac:dyDescent="0.2">
      <c r="B26" s="112" t="str">
        <f>IFERROR(IF(INDEX(Risikolog[Risiko-id],MATCH(Table293[[#This Row],[Risikoværdi efter tiltag]],Risikolog[Risikoværdi efter tiltag],0))=0,"",INDEX(Risikolog[Risiko-id],MATCH(Table293[[#This Row],[Risikoværdi efter tiltag]],Risikolog[Risikoværdi efter tiltag],0))),"")</f>
        <v/>
      </c>
      <c r="C26" s="113" t="str">
        <f>IFERROR(IF(VLOOKUP(Table293[[#This Row],[Risiko-id]],Risikolog[[Risiko-id]:[Mitigerende tiltag]],5)=0,"",VLOOKUP(Table293[[#This Row],[Risiko-id]],Risikolog[[Risiko-id]:[Mitigerende tiltag]],5)),"")</f>
        <v/>
      </c>
      <c r="D26" s="113" t="str">
        <f>IFERROR(IF(VLOOKUP(Table293[[#This Row],[Risiko-id]],Risikolog[[Risiko-id]:[Mitigerende tiltag]],6)=0,"",VLOOKUP(Table293[[#This Row],[Risiko-id]],Risikolog[[Risiko-id]:[Mitigerende tiltag]],6)),"")</f>
        <v/>
      </c>
      <c r="E26" s="114" t="str">
        <f>IFERROR(VLOOKUP(Table293[[#This Row],[Risiko-id]],Risikolog[[Risiko-id]:[Konse-kvens efter tiltag]],17),"")</f>
        <v/>
      </c>
      <c r="F26" s="114" t="str">
        <f>IFERROR(VLOOKUP(Table293[[#This Row],[Risiko-id]],Risikolog[[Risiko-id]:[Konse-kvens efter tiltag]],18),"")</f>
        <v/>
      </c>
      <c r="G26" s="145" t="str">
        <f t="array" ref="G26">IFERROR(LARGE(IF(Risikolog[Status]="Risiko",Risikolog[Risikoværdi efter tiltag]),4),"N/A")</f>
        <v>N/A</v>
      </c>
      <c r="H26" s="115" t="str">
        <f>IFERROR(IF(VLOOKUP(Table293[[#This Row],[Risiko-id]],Risikolog[[Risiko-id]:[Mitigerende tiltag]],10)=0,"",VLOOKUP(Table293[[#This Row],[Risiko-id]],Risikolog[[Risiko-id]:[Mitigerende tiltag]],10)),"")</f>
        <v/>
      </c>
      <c r="I26" s="116" t="str">
        <f>IFERROR(IF(VLOOKUP(Table293[[#This Row],[Risiko-id]],Risikolog[[Risiko-id]:[Mitigerende tiltag]],13)=0,"",VLOOKUP(Table293[[#This Row],[Risiko-id]],Risikolog[[Risiko-id]:[Mitigerende tiltag]],13)),"")</f>
        <v/>
      </c>
      <c r="J26" s="116" t="str">
        <f>IFERROR(IF(VLOOKUP(Table293[[#This Row],[Risiko-id]],Risikolog[[Risiko-id]:[Status]],14)=0,"",VLOOKUP(Table293[[#This Row],[Risiko-id]],Risikolog[[Risiko-id]:[Status]],14)),"")</f>
        <v/>
      </c>
      <c r="K26" s="116" t="str">
        <f>IFERROR(IF(VLOOKUP(Table293[[#This Row],[Risiko-id]],Risikolog[[Risiko-id]:[Beredskabsplan hvis risiko indtræffer]],20)=0,"",VLOOKUP(Table293[[#This Row],[Risiko-id]],Risikolog[[Risiko-id]:[Beredskabsplan hvis risiko indtræffer]],20)),"")</f>
        <v/>
      </c>
      <c r="L26" s="116" t="str">
        <f>IFERROR(IF(VLOOKUP(Table293[[#This Row],[Risiko-id]],Risikolog[[Risiko-id]:[Mitigerende tiltag]],12)=0,"",VLOOKUP(Table293[[#This Row],[Risiko-id]],Risikolog[[Risiko-id]:[Mitigerende tiltag]],12)),"")</f>
        <v/>
      </c>
    </row>
    <row r="27" spans="2:12" s="143" customFormat="1" x14ac:dyDescent="0.2">
      <c r="B27" s="112" t="str">
        <f>IFERROR(IF(INDEX(Risikolog[Risiko-id],MATCH(Table293[[#This Row],[Risikoværdi efter tiltag]],Risikolog[Risikoværdi efter tiltag],0))=0,"",INDEX(Risikolog[Risiko-id],MATCH(Table293[[#This Row],[Risikoværdi efter tiltag]],Risikolog[Risikoværdi efter tiltag],0))),"")</f>
        <v/>
      </c>
      <c r="C27" s="113" t="str">
        <f>IFERROR(IF(VLOOKUP(Table293[[#This Row],[Risiko-id]],Risikolog[[Risiko-id]:[Mitigerende tiltag]],5)=0,"",VLOOKUP(Table293[[#This Row],[Risiko-id]],Risikolog[[Risiko-id]:[Mitigerende tiltag]],5)),"")</f>
        <v/>
      </c>
      <c r="D27" s="113" t="str">
        <f>IFERROR(IF(VLOOKUP(Table293[[#This Row],[Risiko-id]],Risikolog[[Risiko-id]:[Mitigerende tiltag]],6)=0,"",VLOOKUP(Table293[[#This Row],[Risiko-id]],Risikolog[[Risiko-id]:[Mitigerende tiltag]],6)),"")</f>
        <v/>
      </c>
      <c r="E27" s="114" t="str">
        <f>IFERROR(VLOOKUP(Table293[[#This Row],[Risiko-id]],Risikolog[[Risiko-id]:[Konse-kvens efter tiltag]],17),"")</f>
        <v/>
      </c>
      <c r="F27" s="114" t="str">
        <f>IFERROR(VLOOKUP(Table293[[#This Row],[Risiko-id]],Risikolog[[Risiko-id]:[Konse-kvens efter tiltag]],18),"")</f>
        <v/>
      </c>
      <c r="G27" s="145" t="str">
        <f t="array" ref="G27">IFERROR(LARGE(IF(Risikolog[Status]="Risiko",Risikolog[Risikoværdi efter tiltag]),5),"N/A")</f>
        <v>N/A</v>
      </c>
      <c r="H27" s="115" t="str">
        <f>IFERROR(IF(VLOOKUP(Table293[[#This Row],[Risiko-id]],Risikolog[[Risiko-id]:[Mitigerende tiltag]],10)=0,"",VLOOKUP(Table293[[#This Row],[Risiko-id]],Risikolog[[Risiko-id]:[Mitigerende tiltag]],10)),"")</f>
        <v/>
      </c>
      <c r="I27" s="116" t="str">
        <f>IFERROR(IF(VLOOKUP(Table293[[#This Row],[Risiko-id]],Risikolog[[Risiko-id]:[Mitigerende tiltag]],13)=0,"",VLOOKUP(Table293[[#This Row],[Risiko-id]],Risikolog[[Risiko-id]:[Mitigerende tiltag]],13)),"")</f>
        <v/>
      </c>
      <c r="J27" s="116" t="str">
        <f>IFERROR(IF(VLOOKUP(Table293[[#This Row],[Risiko-id]],Risikolog[[Risiko-id]:[Status]],14)=0,"",VLOOKUP(Table293[[#This Row],[Risiko-id]],Risikolog[[Risiko-id]:[Status]],14)),"")</f>
        <v/>
      </c>
      <c r="K27" s="116" t="str">
        <f>IFERROR(IF(VLOOKUP(Table293[[#This Row],[Risiko-id]],Risikolog[[Risiko-id]:[Beredskabsplan hvis risiko indtræffer]],20)=0,"",VLOOKUP(Table293[[#This Row],[Risiko-id]],Risikolog[[Risiko-id]:[Beredskabsplan hvis risiko indtræffer]],20)),"")</f>
        <v/>
      </c>
      <c r="L27" s="116" t="str">
        <f>IFERROR(IF(VLOOKUP(Table293[[#This Row],[Risiko-id]],Risikolog[[Risiko-id]:[Mitigerende tiltag]],12)=0,"",VLOOKUP(Table293[[#This Row],[Risiko-id]],Risikolog[[Risiko-id]:[Mitigerende tiltag]],12)),"")</f>
        <v/>
      </c>
    </row>
    <row r="28" spans="2:12" x14ac:dyDescent="0.2">
      <c r="B28" s="167" t="str">
        <f>IFERROR(IF(INDEX(Risikolog[Risiko-id],MATCH(Table293[[#This Row],[Risikoværdi efter tiltag]],Risikolog[Risikoværdi efter tiltag],0))=0,"",INDEX(Risikolog[Risiko-id],MATCH(Table293[[#This Row],[Risikoværdi efter tiltag]],Risikolog[Risikoværdi efter tiltag],0))),"")</f>
        <v/>
      </c>
      <c r="C28" s="168" t="str">
        <f>IFERROR(IF(VLOOKUP(Table293[[#This Row],[Risiko-id]],Risikolog[[Risiko-id]:[Mitigerende tiltag]],5)=0,"",VLOOKUP(Table293[[#This Row],[Risiko-id]],Risikolog[[Risiko-id]:[Mitigerende tiltag]],5)),"")</f>
        <v/>
      </c>
      <c r="D28" s="168" t="str">
        <f>IFERROR(IF(VLOOKUP(Table293[[#This Row],[Risiko-id]],Risikolog[[Risiko-id]:[Mitigerende tiltag]],6)=0,"",VLOOKUP(Table293[[#This Row],[Risiko-id]],Risikolog[[Risiko-id]:[Mitigerende tiltag]],6)),"")</f>
        <v/>
      </c>
      <c r="E28" s="169" t="str">
        <f>IFERROR(VLOOKUP(Table293[[#This Row],[Risiko-id]],Risikolog[[Risiko-id]:[Konse-kvens efter tiltag]],17),"")</f>
        <v/>
      </c>
      <c r="F28" s="169" t="str">
        <f>IFERROR(VLOOKUP(Table293[[#This Row],[Risiko-id]],Risikolog[[Risiko-id]:[Konse-kvens efter tiltag]],18),"")</f>
        <v/>
      </c>
      <c r="G28" s="110" t="str">
        <f t="array" ref="G28">IFERROR(LARGE(IF(Risikolog[Status]="Risiko",Risikolog[Risikoværdi efter tiltag]),6),"N/A")</f>
        <v>N/A</v>
      </c>
      <c r="H28" s="121" t="str">
        <f>IFERROR(IF(VLOOKUP(Table293[[#This Row],[Risiko-id]],Risikolog[[Risiko-id]:[Mitigerende tiltag]],10)=0,"",VLOOKUP(Table293[[#This Row],[Risiko-id]],Risikolog[[Risiko-id]:[Mitigerende tiltag]],10)),"")</f>
        <v/>
      </c>
      <c r="I28" s="170" t="str">
        <f>IFERROR(IF(VLOOKUP(Table293[[#This Row],[Risiko-id]],Risikolog[[Risiko-id]:[Mitigerende tiltag]],13)=0,"",VLOOKUP(Table293[[#This Row],[Risiko-id]],Risikolog[[Risiko-id]:[Mitigerende tiltag]],13)),"")</f>
        <v/>
      </c>
      <c r="J28" s="170" t="str">
        <f>IFERROR(IF(VLOOKUP(Table293[[#This Row],[Risiko-id]],Risikolog[[Risiko-id]:[Status]],14)=0,"",VLOOKUP(Table293[[#This Row],[Risiko-id]],Risikolog[[Risiko-id]:[Status]],14)),"")</f>
        <v/>
      </c>
      <c r="K28" s="170" t="str">
        <f>IFERROR(IF(VLOOKUP(Table293[[#This Row],[Risiko-id]],Risikolog[[Risiko-id]:[Beredskabsplan hvis risiko indtræffer]],20)=0,"",VLOOKUP(Table293[[#This Row],[Risiko-id]],Risikolog[[Risiko-id]:[Beredskabsplan hvis risiko indtræffer]],20)),"")</f>
        <v/>
      </c>
      <c r="L28" s="170" t="str">
        <f>IFERROR(IF(VLOOKUP(Table293[[#This Row],[Risiko-id]],Risikolog[[Risiko-id]:[Mitigerende tiltag]],12)=0,"",VLOOKUP(Table293[[#This Row],[Risiko-id]],Risikolog[[Risiko-id]:[Mitigerende tiltag]],12)),"")</f>
        <v/>
      </c>
    </row>
    <row r="29" spans="2:12" x14ac:dyDescent="0.2">
      <c r="B29" s="167" t="str">
        <f>IFERROR(IF(INDEX(Risikolog[Risiko-id],MATCH(Table293[[#This Row],[Risikoværdi efter tiltag]],Risikolog[Risikoværdi efter tiltag],0))=0,"",INDEX(Risikolog[Risiko-id],MATCH(Table293[[#This Row],[Risikoværdi efter tiltag]],Risikolog[Risikoværdi efter tiltag],0))),"")</f>
        <v/>
      </c>
      <c r="C29" s="168" t="str">
        <f>IFERROR(IF(VLOOKUP(Table293[[#This Row],[Risiko-id]],Risikolog[[Risiko-id]:[Mitigerende tiltag]],5)=0,"",VLOOKUP(Table293[[#This Row],[Risiko-id]],Risikolog[[Risiko-id]:[Mitigerende tiltag]],5)),"")</f>
        <v/>
      </c>
      <c r="D29" s="168" t="str">
        <f>IFERROR(IF(VLOOKUP(Table293[[#This Row],[Risiko-id]],Risikolog[[Risiko-id]:[Mitigerende tiltag]],6)=0,"",VLOOKUP(Table293[[#This Row],[Risiko-id]],Risikolog[[Risiko-id]:[Mitigerende tiltag]],6)),"")</f>
        <v/>
      </c>
      <c r="E29" s="169" t="str">
        <f>IFERROR(VLOOKUP(Table293[[#This Row],[Risiko-id]],Risikolog[[Risiko-id]:[Konse-kvens efter tiltag]],17),"")</f>
        <v/>
      </c>
      <c r="F29" s="169" t="str">
        <f>IFERROR(VLOOKUP(Table293[[#This Row],[Risiko-id]],Risikolog[[Risiko-id]:[Konse-kvens efter tiltag]],18),"")</f>
        <v/>
      </c>
      <c r="G29" s="110" t="str">
        <f t="array" ref="G29">IFERROR(LARGE(IF(Risikolog[Status]="Risiko",Risikolog[Risikoværdi efter tiltag]),7),"N/A")</f>
        <v>N/A</v>
      </c>
      <c r="H29" s="121" t="str">
        <f>IFERROR(IF(VLOOKUP(Table293[[#This Row],[Risiko-id]],Risikolog[[Risiko-id]:[Mitigerende tiltag]],10)=0,"",VLOOKUP(Table293[[#This Row],[Risiko-id]],Risikolog[[Risiko-id]:[Mitigerende tiltag]],10)),"")</f>
        <v/>
      </c>
      <c r="I29" s="170" t="str">
        <f>IFERROR(IF(VLOOKUP(Table293[[#This Row],[Risiko-id]],Risikolog[[Risiko-id]:[Mitigerende tiltag]],13)=0,"",VLOOKUP(Table293[[#This Row],[Risiko-id]],Risikolog[[Risiko-id]:[Mitigerende tiltag]],13)),"")</f>
        <v/>
      </c>
      <c r="J29" s="170" t="str">
        <f>IFERROR(IF(VLOOKUP(Table293[[#This Row],[Risiko-id]],Risikolog[[Risiko-id]:[Status]],14)=0,"",VLOOKUP(Table293[[#This Row],[Risiko-id]],Risikolog[[Risiko-id]:[Status]],14)),"")</f>
        <v/>
      </c>
      <c r="K29" s="170" t="str">
        <f>IFERROR(IF(VLOOKUP(Table293[[#This Row],[Risiko-id]],Risikolog[[Risiko-id]:[Beredskabsplan hvis risiko indtræffer]],20)=0,"",VLOOKUP(Table293[[#This Row],[Risiko-id]],Risikolog[[Risiko-id]:[Beredskabsplan hvis risiko indtræffer]],20)),"")</f>
        <v/>
      </c>
      <c r="L29" s="170" t="str">
        <f>IFERROR(IF(VLOOKUP(Table293[[#This Row],[Risiko-id]],Risikolog[[Risiko-id]:[Mitigerende tiltag]],12)=0,"",VLOOKUP(Table293[[#This Row],[Risiko-id]],Risikolog[[Risiko-id]:[Mitigerende tiltag]],12)),"")</f>
        <v/>
      </c>
    </row>
    <row r="30" spans="2:12" x14ac:dyDescent="0.2">
      <c r="B30" s="167" t="str">
        <f>IFERROR(IF(INDEX(Risikolog[Risiko-id],MATCH(Table293[[#This Row],[Risikoværdi efter tiltag]],Risikolog[Risikoværdi efter tiltag],0))=0,"",INDEX(Risikolog[Risiko-id],MATCH(Table293[[#This Row],[Risikoværdi efter tiltag]],Risikolog[Risikoværdi efter tiltag],0))),"")</f>
        <v/>
      </c>
      <c r="C30" s="168" t="str">
        <f>IFERROR(IF(VLOOKUP(Table293[[#This Row],[Risiko-id]],Risikolog[[Risiko-id]:[Mitigerende tiltag]],5)=0,"",VLOOKUP(Table293[[#This Row],[Risiko-id]],Risikolog[[Risiko-id]:[Mitigerende tiltag]],5)),"")</f>
        <v/>
      </c>
      <c r="D30" s="168" t="str">
        <f>IFERROR(IF(VLOOKUP(Table293[[#This Row],[Risiko-id]],Risikolog[[Risiko-id]:[Mitigerende tiltag]],6)=0,"",VLOOKUP(Table293[[#This Row],[Risiko-id]],Risikolog[[Risiko-id]:[Mitigerende tiltag]],6)),"")</f>
        <v/>
      </c>
      <c r="E30" s="169" t="str">
        <f>IFERROR(VLOOKUP(Table293[[#This Row],[Risiko-id]],Risikolog[[Risiko-id]:[Konse-kvens efter tiltag]],17),"")</f>
        <v/>
      </c>
      <c r="F30" s="169" t="str">
        <f>IFERROR(VLOOKUP(Table293[[#This Row],[Risiko-id]],Risikolog[[Risiko-id]:[Konse-kvens efter tiltag]],18),"")</f>
        <v/>
      </c>
      <c r="G30" s="110" t="str">
        <f t="array" ref="G30">IFERROR(LARGE(IF(Risikolog[Status]="Risiko",Risikolog[Risikoværdi efter tiltag]),8),"N/A")</f>
        <v>N/A</v>
      </c>
      <c r="H30" s="121" t="str">
        <f>IFERROR(IF(VLOOKUP(Table293[[#This Row],[Risiko-id]],Risikolog[[Risiko-id]:[Mitigerende tiltag]],10)=0,"",VLOOKUP(Table293[[#This Row],[Risiko-id]],Risikolog[[Risiko-id]:[Mitigerende tiltag]],10)),"")</f>
        <v/>
      </c>
      <c r="I30" s="170" t="str">
        <f>IFERROR(IF(VLOOKUP(Table293[[#This Row],[Risiko-id]],Risikolog[[Risiko-id]:[Mitigerende tiltag]],13)=0,"",VLOOKUP(Table293[[#This Row],[Risiko-id]],Risikolog[[Risiko-id]:[Mitigerende tiltag]],13)),"")</f>
        <v/>
      </c>
      <c r="J30" s="170" t="str">
        <f>IFERROR(IF(VLOOKUP(Table293[[#This Row],[Risiko-id]],Risikolog[[Risiko-id]:[Status]],14)=0,"",VLOOKUP(Table293[[#This Row],[Risiko-id]],Risikolog[[Risiko-id]:[Status]],14)),"")</f>
        <v/>
      </c>
      <c r="K30" s="170" t="str">
        <f>IFERROR(IF(VLOOKUP(Table293[[#This Row],[Risiko-id]],Risikolog[[Risiko-id]:[Beredskabsplan hvis risiko indtræffer]],20)=0,"",VLOOKUP(Table293[[#This Row],[Risiko-id]],Risikolog[[Risiko-id]:[Beredskabsplan hvis risiko indtræffer]],20)),"")</f>
        <v/>
      </c>
      <c r="L30" s="170" t="str">
        <f>IFERROR(IF(VLOOKUP(Table293[[#This Row],[Risiko-id]],Risikolog[[Risiko-id]:[Mitigerende tiltag]],12)=0,"",VLOOKUP(Table293[[#This Row],[Risiko-id]],Risikolog[[Risiko-id]:[Mitigerende tiltag]],12)),"")</f>
        <v/>
      </c>
    </row>
    <row r="31" spans="2:12" x14ac:dyDescent="0.2">
      <c r="B31" s="167" t="str">
        <f>IFERROR(IF(INDEX(Risikolog[Risiko-id],MATCH(Table293[[#This Row],[Risikoværdi efter tiltag]],Risikolog[Risikoværdi efter tiltag],0))=0,"",INDEX(Risikolog[Risiko-id],MATCH(Table293[[#This Row],[Risikoværdi efter tiltag]],Risikolog[Risikoværdi efter tiltag],0))),"")</f>
        <v/>
      </c>
      <c r="C31" s="168" t="str">
        <f>IFERROR(IF(VLOOKUP(Table293[[#This Row],[Risiko-id]],Risikolog[[Risiko-id]:[Mitigerende tiltag]],5)=0,"",VLOOKUP(Table293[[#This Row],[Risiko-id]],Risikolog[[Risiko-id]:[Mitigerende tiltag]],5)),"")</f>
        <v/>
      </c>
      <c r="D31" s="168" t="str">
        <f>IFERROR(IF(VLOOKUP(Table293[[#This Row],[Risiko-id]],Risikolog[[Risiko-id]:[Mitigerende tiltag]],6)=0,"",VLOOKUP(Table293[[#This Row],[Risiko-id]],Risikolog[[Risiko-id]:[Mitigerende tiltag]],6)),"")</f>
        <v/>
      </c>
      <c r="E31" s="169" t="str">
        <f>IFERROR(VLOOKUP(Table293[[#This Row],[Risiko-id]],Risikolog[[Risiko-id]:[Konse-kvens efter tiltag]],17),"")</f>
        <v/>
      </c>
      <c r="F31" s="169" t="str">
        <f>IFERROR(VLOOKUP(Table293[[#This Row],[Risiko-id]],Risikolog[[Risiko-id]:[Konse-kvens efter tiltag]],18),"")</f>
        <v/>
      </c>
      <c r="G31" s="110" t="str">
        <f t="array" ref="G31">IFERROR(LARGE(IF(Risikolog[Status]="Risiko",Risikolog[Risikoværdi efter tiltag]),9),"N/A")</f>
        <v>N/A</v>
      </c>
      <c r="H31" s="121" t="str">
        <f>IFERROR(IF(VLOOKUP(Table293[[#This Row],[Risiko-id]],Risikolog[[Risiko-id]:[Mitigerende tiltag]],10)=0,"",VLOOKUP(Table293[[#This Row],[Risiko-id]],Risikolog[[Risiko-id]:[Mitigerende tiltag]],10)),"")</f>
        <v/>
      </c>
      <c r="I31" s="170" t="str">
        <f>IFERROR(IF(VLOOKUP(Table293[[#This Row],[Risiko-id]],Risikolog[[Risiko-id]:[Mitigerende tiltag]],13)=0,"",VLOOKUP(Table293[[#This Row],[Risiko-id]],Risikolog[[Risiko-id]:[Mitigerende tiltag]],13)),"")</f>
        <v/>
      </c>
      <c r="J31" s="170" t="str">
        <f>IFERROR(IF(VLOOKUP(Table293[[#This Row],[Risiko-id]],Risikolog[[Risiko-id]:[Status]],14)=0,"",VLOOKUP(Table293[[#This Row],[Risiko-id]],Risikolog[[Risiko-id]:[Status]],14)),"")</f>
        <v/>
      </c>
      <c r="K31" s="170" t="str">
        <f>IFERROR(IF(VLOOKUP(Table293[[#This Row],[Risiko-id]],Risikolog[[Risiko-id]:[Beredskabsplan hvis risiko indtræffer]],20)=0,"",VLOOKUP(Table293[[#This Row],[Risiko-id]],Risikolog[[Risiko-id]:[Beredskabsplan hvis risiko indtræffer]],20)),"")</f>
        <v/>
      </c>
      <c r="L31" s="170" t="str">
        <f>IFERROR(IF(VLOOKUP(Table293[[#This Row],[Risiko-id]],Risikolog[[Risiko-id]:[Mitigerende tiltag]],12)=0,"",VLOOKUP(Table293[[#This Row],[Risiko-id]],Risikolog[[Risiko-id]:[Mitigerende tiltag]],12)),"")</f>
        <v/>
      </c>
    </row>
    <row r="32" spans="2:12" x14ac:dyDescent="0.2">
      <c r="B32" s="167" t="str">
        <f>IFERROR(IF(INDEX(Risikolog[Risiko-id],MATCH(Table293[[#This Row],[Risikoværdi efter tiltag]],Risikolog[Risikoværdi efter tiltag],0))=0,"",INDEX(Risikolog[Risiko-id],MATCH(Table293[[#This Row],[Risikoværdi efter tiltag]],Risikolog[Risikoværdi efter tiltag],0))),"")</f>
        <v/>
      </c>
      <c r="C32" s="168" t="str">
        <f>IFERROR(IF(VLOOKUP(Table293[[#This Row],[Risiko-id]],Risikolog[[Risiko-id]:[Mitigerende tiltag]],5)=0,"",VLOOKUP(Table293[[#This Row],[Risiko-id]],Risikolog[[Risiko-id]:[Mitigerende tiltag]],5)),"")</f>
        <v/>
      </c>
      <c r="D32" s="168" t="str">
        <f>IFERROR(IF(VLOOKUP(Table293[[#This Row],[Risiko-id]],Risikolog[[Risiko-id]:[Mitigerende tiltag]],6)=0,"",VLOOKUP(Table293[[#This Row],[Risiko-id]],Risikolog[[Risiko-id]:[Mitigerende tiltag]],6)),"")</f>
        <v/>
      </c>
      <c r="E32" s="169" t="str">
        <f>IFERROR(VLOOKUP(Table293[[#This Row],[Risiko-id]],Risikolog[[Risiko-id]:[Konse-kvens efter tiltag]],17),"")</f>
        <v/>
      </c>
      <c r="F32" s="169" t="str">
        <f>IFERROR(VLOOKUP(Table293[[#This Row],[Risiko-id]],Risikolog[[Risiko-id]:[Konse-kvens efter tiltag]],18),"")</f>
        <v/>
      </c>
      <c r="G32" s="110" t="str">
        <f t="array" ref="G32">IFERROR(LARGE(IF(Risikolog[Status]="Risiko",Risikolog[Risikoværdi efter tiltag]),10),"N/A")</f>
        <v>N/A</v>
      </c>
      <c r="H32" s="121" t="str">
        <f>IFERROR(IF(VLOOKUP(Table293[[#This Row],[Risiko-id]],Risikolog[[Risiko-id]:[Mitigerende tiltag]],10)=0,"",VLOOKUP(Table293[[#This Row],[Risiko-id]],Risikolog[[Risiko-id]:[Mitigerende tiltag]],10)),"")</f>
        <v/>
      </c>
      <c r="I32" s="170" t="str">
        <f>IFERROR(IF(VLOOKUP(Table293[[#This Row],[Risiko-id]],Risikolog[[Risiko-id]:[Mitigerende tiltag]],13)=0,"",VLOOKUP(Table293[[#This Row],[Risiko-id]],Risikolog[[Risiko-id]:[Mitigerende tiltag]],13)),"")</f>
        <v/>
      </c>
      <c r="J32" s="170" t="str">
        <f>IFERROR(IF(VLOOKUP(Table293[[#This Row],[Risiko-id]],Risikolog[[Risiko-id]:[Status]],14)=0,"",VLOOKUP(Table293[[#This Row],[Risiko-id]],Risikolog[[Risiko-id]:[Status]],14)),"")</f>
        <v/>
      </c>
      <c r="K32" s="170" t="str">
        <f>IFERROR(IF(VLOOKUP(Table293[[#This Row],[Risiko-id]],Risikolog[[Risiko-id]:[Beredskabsplan hvis risiko indtræffer]],20)=0,"",VLOOKUP(Table293[[#This Row],[Risiko-id]],Risikolog[[Risiko-id]:[Beredskabsplan hvis risiko indtræffer]],20)),"")</f>
        <v/>
      </c>
      <c r="L32" s="170" t="str">
        <f>IFERROR(IF(VLOOKUP(Table293[[#This Row],[Risiko-id]],Risikolog[[Risiko-id]:[Mitigerende tiltag]],12)=0,"",VLOOKUP(Table293[[#This Row],[Risiko-id]],Risikolog[[Risiko-id]:[Mitigerende tiltag]],12)),"")</f>
        <v/>
      </c>
    </row>
    <row r="33" x14ac:dyDescent="0.2"/>
    <row r="34" x14ac:dyDescent="0.2"/>
  </sheetData>
  <sheetProtection sheet="1" objects="1" scenarios="1" formatCells="0" formatColumns="0" formatRows="0"/>
  <pageMargins left="0.7" right="0.7" top="0.75" bottom="0.75" header="0.3" footer="0.3"/>
  <pageSetup paperSize="9" scale="58" orientation="landscape" r:id="rId1"/>
  <ignoredErrors>
    <ignoredError sqref="G6 G7:G16 G23:G32"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7"/>
  <sheetViews>
    <sheetView zoomScaleNormal="100" workbookViewId="0">
      <selection activeCell="H31" sqref="H31"/>
    </sheetView>
  </sheetViews>
  <sheetFormatPr defaultColWidth="0" defaultRowHeight="14.25" zeroHeight="1" outlineLevelRow="1" x14ac:dyDescent="0.2"/>
  <cols>
    <col min="1" max="1" width="9" style="71" customWidth="1"/>
    <col min="2" max="2" width="6.75" style="71" customWidth="1"/>
    <col min="3" max="3" width="23.25" style="71" bestFit="1" customWidth="1"/>
    <col min="4" max="4" width="21.625" style="71" customWidth="1"/>
    <col min="5" max="5" width="11.625" style="71" bestFit="1" customWidth="1"/>
    <col min="6" max="7" width="8.625" style="71" customWidth="1"/>
    <col min="8" max="8" width="13" style="71" customWidth="1"/>
    <col min="9" max="9" width="26.125" style="71" customWidth="1"/>
    <col min="10" max="10" width="15.125" style="71" customWidth="1"/>
    <col min="11" max="11" width="17.625" style="71" customWidth="1"/>
    <col min="12" max="12" width="10.125" style="71" bestFit="1" customWidth="1"/>
    <col min="13" max="13" width="17.625" style="71" customWidth="1"/>
    <col min="14" max="16384" width="9" style="71" hidden="1"/>
  </cols>
  <sheetData>
    <row r="1" spans="2:12" x14ac:dyDescent="0.2"/>
    <row r="2" spans="2:12" ht="39" x14ac:dyDescent="0.6">
      <c r="B2" s="72" t="s">
        <v>97</v>
      </c>
    </row>
    <row r="3" spans="2:12" outlineLevel="1" x14ac:dyDescent="0.2">
      <c r="B3" s="179" t="s">
        <v>232</v>
      </c>
    </row>
    <row r="4" spans="2:12" x14ac:dyDescent="0.2"/>
    <row r="5" spans="2:12" ht="38.25" x14ac:dyDescent="0.2">
      <c r="B5" s="111" t="s">
        <v>40</v>
      </c>
      <c r="C5" s="111" t="s">
        <v>71</v>
      </c>
      <c r="D5" s="111" t="s">
        <v>96</v>
      </c>
      <c r="E5" s="111" t="s">
        <v>72</v>
      </c>
      <c r="F5" s="111" t="s">
        <v>66</v>
      </c>
      <c r="G5" s="111" t="s">
        <v>64</v>
      </c>
      <c r="H5" s="111" t="s">
        <v>65</v>
      </c>
      <c r="I5" s="111" t="s">
        <v>69</v>
      </c>
      <c r="J5" s="111" t="s">
        <v>161</v>
      </c>
      <c r="K5" s="111" t="s">
        <v>70</v>
      </c>
      <c r="L5" s="111" t="s">
        <v>59</v>
      </c>
    </row>
    <row r="6" spans="2:12" x14ac:dyDescent="0.2">
      <c r="B6" s="119" t="str">
        <f>Styringsgrundlag!F4</f>
        <v/>
      </c>
      <c r="C6" s="120" t="str">
        <f>IFERROR(IF(VLOOKUP(Table246816[[#This Row],[Risiko-id]],Risikolog[[Risiko-id]:[Mitigerende tiltag]],5)=0,"",VLOOKUP(Table246816[[#This Row],[Risiko-id]],Risikolog[[Risiko-id]:[Mitigerende tiltag]],5)),"")</f>
        <v/>
      </c>
      <c r="D6" s="120" t="str">
        <f>IFERROR(IF(VLOOKUP(Table246816[[#This Row],[Risiko-id]],Risikolog[[Risiko-id]:[Mitigerende tiltag]],6)=0,"",VLOOKUP(Table246816[[#This Row],[Risiko-id]],Risikolog[[Risiko-id]:[Mitigerende tiltag]],6)),"")</f>
        <v/>
      </c>
      <c r="E6" s="109" t="str">
        <f>IFERROR(VLOOKUP(Table246816[[#This Row],[Risiko-id]],Risikolog[[Risiko-id]:[Mitigerende tiltag]],7),"")</f>
        <v/>
      </c>
      <c r="F6" s="109" t="str">
        <f>IFERROR(VLOOKUP(Table246816[[#This Row],[Risiko-id]],Risikolog[[Risiko-id]:[Mitigerende tiltag]],8),"")</f>
        <v/>
      </c>
      <c r="G6" s="109" t="str">
        <f>IFERROR(Table246816[[#This Row],[Sandsynlighed]]*Table246816[[#This Row],[Konsekvens]],"")</f>
        <v/>
      </c>
      <c r="H6" s="121" t="str">
        <f>IFERROR(IF(VLOOKUP(Table246816[[#This Row],[Risiko-id]],Risikolog[[Risiko-id]:[Mitigerende tiltag]],10)=0,"",VLOOKUP(Table246816[[#This Row],[Risiko-id]],Risikolog[[Risiko-id]:[Mitigerende tiltag]],10)),"")</f>
        <v/>
      </c>
      <c r="I6" s="122" t="str">
        <f>IFERROR(IF(VLOOKUP(Table246816[[#This Row],[Risiko-id]],Risikolog[[Risiko-id]:[Mitigerende tiltag]],13)=0,"",VLOOKUP(Table246816[[#This Row],[Risiko-id]],Risikolog[[Risiko-id]:[Mitigerende tiltag]],13)),"")</f>
        <v/>
      </c>
      <c r="J6" s="122" t="str">
        <f>IFERROR(IF(VLOOKUP(Table246816[[#This Row],[Risiko-id]],Risikolog[[Risiko-id]:[Status]],14)=0,"",VLOOKUP(Table246816[[#This Row],[Risiko-id]],Risikolog[[Risiko-id]:[Status]],14)),"")</f>
        <v/>
      </c>
      <c r="K6" s="122" t="str">
        <f>IFERROR(IF(VLOOKUP(Table246816[[#This Row],[Risiko-id]],Risikolog[[Risiko-id]:[Beredskabsplan hvis risiko indtræffer]],20)=0,"",VLOOKUP(Table246816[[#This Row],[Risiko-id]],Risikolog[[Risiko-id]:[Beredskabsplan hvis risiko indtræffer]],20)),"")</f>
        <v/>
      </c>
      <c r="L6" s="122" t="str">
        <f>IFERROR(IF(VLOOKUP(Table246816[[#This Row],[Risiko-id]],Risikolog[[Risiko-id]:[Mitigerende tiltag]],12)=0,"",VLOOKUP(Table246816[[#This Row],[Risiko-id]],Risikolog[[Risiko-id]:[Mitigerende tiltag]],12)),"")</f>
        <v/>
      </c>
    </row>
    <row r="7" spans="2:12" x14ac:dyDescent="0.2">
      <c r="B7" s="119" t="str">
        <f>Styringsgrundlag!F5</f>
        <v/>
      </c>
      <c r="C7" s="120" t="str">
        <f>IFERROR(IF(VLOOKUP(Table246816[[#This Row],[Risiko-id]],Risikolog[[Risiko-id]:[Mitigerende tiltag]],5)=0,"",VLOOKUP(Table246816[[#This Row],[Risiko-id]],Risikolog[[Risiko-id]:[Mitigerende tiltag]],5)),"")</f>
        <v/>
      </c>
      <c r="D7" s="120" t="str">
        <f>IFERROR(IF(VLOOKUP(Table246816[[#This Row],[Risiko-id]],Risikolog[[Risiko-id]:[Mitigerende tiltag]],6)=0,"",VLOOKUP(Table246816[[#This Row],[Risiko-id]],Risikolog[[Risiko-id]:[Mitigerende tiltag]],6)),"")</f>
        <v/>
      </c>
      <c r="E7" s="109" t="str">
        <f>IFERROR(VLOOKUP(Table246816[[#This Row],[Risiko-id]],Risikolog[[Risiko-id]:[Mitigerende tiltag]],7),"")</f>
        <v/>
      </c>
      <c r="F7" s="109" t="str">
        <f>IFERROR(VLOOKUP(Table246816[[#This Row],[Risiko-id]],Risikolog[[Risiko-id]:[Mitigerende tiltag]],8),"")</f>
        <v/>
      </c>
      <c r="G7" s="109" t="str">
        <f>IFERROR(Table246816[[#This Row],[Sandsynlighed]]*Table246816[[#This Row],[Konsekvens]],"")</f>
        <v/>
      </c>
      <c r="H7" s="121" t="str">
        <f>IFERROR(IF(VLOOKUP(Table246816[[#This Row],[Risiko-id]],Risikolog[[Risiko-id]:[Mitigerende tiltag]],10)=0,"",VLOOKUP(Table246816[[#This Row],[Risiko-id]],Risikolog[[Risiko-id]:[Mitigerende tiltag]],10)),"")</f>
        <v/>
      </c>
      <c r="I7" s="122" t="str">
        <f>IFERROR(IF(VLOOKUP(Table246816[[#This Row],[Risiko-id]],Risikolog[[Risiko-id]:[Mitigerende tiltag]],13)=0,"",VLOOKUP(Table246816[[#This Row],[Risiko-id]],Risikolog[[Risiko-id]:[Mitigerende tiltag]],13)),"")</f>
        <v/>
      </c>
      <c r="J7" s="122" t="str">
        <f>IFERROR(IF(VLOOKUP(Table246816[[#This Row],[Risiko-id]],Risikolog[[Risiko-id]:[Status]],14)=0,"",VLOOKUP(Table246816[[#This Row],[Risiko-id]],Risikolog[[Risiko-id]:[Status]],14)),"")</f>
        <v/>
      </c>
      <c r="K7" s="122" t="str">
        <f>IFERROR(IF(VLOOKUP(Table246816[[#This Row],[Risiko-id]],Risikolog[[Risiko-id]:[Beredskabsplan hvis risiko indtræffer]],20)=0,"",VLOOKUP(Table246816[[#This Row],[Risiko-id]],Risikolog[[Risiko-id]:[Beredskabsplan hvis risiko indtræffer]],20)),"")</f>
        <v/>
      </c>
      <c r="L7" s="122" t="str">
        <f>IFERROR(IF(VLOOKUP(Table246816[[#This Row],[Risiko-id]],Risikolog[[Risiko-id]:[Mitigerende tiltag]],12)=0,"",VLOOKUP(Table246816[[#This Row],[Risiko-id]],Risikolog[[Risiko-id]:[Mitigerende tiltag]],12)),"")</f>
        <v/>
      </c>
    </row>
    <row r="8" spans="2:12" x14ac:dyDescent="0.2">
      <c r="B8" s="119" t="str">
        <f>Styringsgrundlag!F6</f>
        <v/>
      </c>
      <c r="C8" s="120" t="str">
        <f>IFERROR(IF(VLOOKUP(Table246816[[#This Row],[Risiko-id]],Risikolog[[Risiko-id]:[Mitigerende tiltag]],5)=0,"",VLOOKUP(Table246816[[#This Row],[Risiko-id]],Risikolog[[Risiko-id]:[Mitigerende tiltag]],5)),"")</f>
        <v/>
      </c>
      <c r="D8" s="120" t="str">
        <f>IFERROR(IF(VLOOKUP(Table246816[[#This Row],[Risiko-id]],Risikolog[[Risiko-id]:[Mitigerende tiltag]],6)=0,"",VLOOKUP(Table246816[[#This Row],[Risiko-id]],Risikolog[[Risiko-id]:[Mitigerende tiltag]],6)),"")</f>
        <v/>
      </c>
      <c r="E8" s="109" t="str">
        <f>IFERROR(VLOOKUP(Table246816[[#This Row],[Risiko-id]],Risikolog[[Risiko-id]:[Mitigerende tiltag]],7),"")</f>
        <v/>
      </c>
      <c r="F8" s="109" t="str">
        <f>IFERROR(VLOOKUP(Table246816[[#This Row],[Risiko-id]],Risikolog[[Risiko-id]:[Mitigerende tiltag]],8),"")</f>
        <v/>
      </c>
      <c r="G8" s="109" t="str">
        <f>IFERROR(Table246816[[#This Row],[Sandsynlighed]]*Table246816[[#This Row],[Konsekvens]],"")</f>
        <v/>
      </c>
      <c r="H8" s="121" t="str">
        <f>IFERROR(IF(VLOOKUP(Table246816[[#This Row],[Risiko-id]],Risikolog[[Risiko-id]:[Mitigerende tiltag]],10)=0,"",VLOOKUP(Table246816[[#This Row],[Risiko-id]],Risikolog[[Risiko-id]:[Mitigerende tiltag]],10)),"")</f>
        <v/>
      </c>
      <c r="I8" s="122" t="str">
        <f>IFERROR(IF(VLOOKUP(Table246816[[#This Row],[Risiko-id]],Risikolog[[Risiko-id]:[Mitigerende tiltag]],13)=0,"",VLOOKUP(Table246816[[#This Row],[Risiko-id]],Risikolog[[Risiko-id]:[Mitigerende tiltag]],13)),"")</f>
        <v/>
      </c>
      <c r="J8" s="122" t="str">
        <f>IFERROR(IF(VLOOKUP(Table246816[[#This Row],[Risiko-id]],Risikolog[[Risiko-id]:[Status]],14)=0,"",VLOOKUP(Table246816[[#This Row],[Risiko-id]],Risikolog[[Risiko-id]:[Status]],14)),"")</f>
        <v/>
      </c>
      <c r="K8" s="122" t="str">
        <f>IFERROR(IF(VLOOKUP(Table246816[[#This Row],[Risiko-id]],Risikolog[[Risiko-id]:[Beredskabsplan hvis risiko indtræffer]],20)=0,"",VLOOKUP(Table246816[[#This Row],[Risiko-id]],Risikolog[[Risiko-id]:[Beredskabsplan hvis risiko indtræffer]],20)),"")</f>
        <v/>
      </c>
      <c r="L8" s="122" t="str">
        <f>IFERROR(IF(VLOOKUP(Table246816[[#This Row],[Risiko-id]],Risikolog[[Risiko-id]:[Mitigerende tiltag]],12)=0,"",VLOOKUP(Table246816[[#This Row],[Risiko-id]],Risikolog[[Risiko-id]:[Mitigerende tiltag]],12)),"")</f>
        <v/>
      </c>
    </row>
    <row r="9" spans="2:12" x14ac:dyDescent="0.2">
      <c r="B9" s="119" t="str">
        <f>Styringsgrundlag!F7</f>
        <v/>
      </c>
      <c r="C9" s="120" t="str">
        <f>IFERROR(IF(VLOOKUP(Table246816[[#This Row],[Risiko-id]],Risikolog[[Risiko-id]:[Mitigerende tiltag]],5)=0,"",VLOOKUP(Table246816[[#This Row],[Risiko-id]],Risikolog[[Risiko-id]:[Mitigerende tiltag]],5)),"")</f>
        <v/>
      </c>
      <c r="D9" s="120" t="str">
        <f>IFERROR(IF(VLOOKUP(Table246816[[#This Row],[Risiko-id]],Risikolog[[Risiko-id]:[Mitigerende tiltag]],6)=0,"",VLOOKUP(Table246816[[#This Row],[Risiko-id]],Risikolog[[Risiko-id]:[Mitigerende tiltag]],6)),"")</f>
        <v/>
      </c>
      <c r="E9" s="109" t="str">
        <f>IFERROR(VLOOKUP(Table246816[[#This Row],[Risiko-id]],Risikolog[[Risiko-id]:[Mitigerende tiltag]],7),"")</f>
        <v/>
      </c>
      <c r="F9" s="109" t="str">
        <f>IFERROR(VLOOKUP(Table246816[[#This Row],[Risiko-id]],Risikolog[[Risiko-id]:[Mitigerende tiltag]],8),"")</f>
        <v/>
      </c>
      <c r="G9" s="109" t="str">
        <f>IFERROR(Table246816[[#This Row],[Sandsynlighed]]*Table246816[[#This Row],[Konsekvens]],"")</f>
        <v/>
      </c>
      <c r="H9" s="121" t="str">
        <f>IFERROR(IF(VLOOKUP(Table246816[[#This Row],[Risiko-id]],Risikolog[[Risiko-id]:[Mitigerende tiltag]],10)=0,"",VLOOKUP(Table246816[[#This Row],[Risiko-id]],Risikolog[[Risiko-id]:[Mitigerende tiltag]],10)),"")</f>
        <v/>
      </c>
      <c r="I9" s="122" t="str">
        <f>IFERROR(IF(VLOOKUP(Table246816[[#This Row],[Risiko-id]],Risikolog[[Risiko-id]:[Mitigerende tiltag]],13)=0,"",VLOOKUP(Table246816[[#This Row],[Risiko-id]],Risikolog[[Risiko-id]:[Mitigerende tiltag]],13)),"")</f>
        <v/>
      </c>
      <c r="J9" s="122" t="str">
        <f>IFERROR(IF(VLOOKUP(Table246816[[#This Row],[Risiko-id]],Risikolog[[Risiko-id]:[Status]],14)=0,"",VLOOKUP(Table246816[[#This Row],[Risiko-id]],Risikolog[[Risiko-id]:[Status]],14)),"")</f>
        <v/>
      </c>
      <c r="K9" s="122" t="str">
        <f>IFERROR(IF(VLOOKUP(Table246816[[#This Row],[Risiko-id]],Risikolog[[Risiko-id]:[Beredskabsplan hvis risiko indtræffer]],20)=0,"",VLOOKUP(Table246816[[#This Row],[Risiko-id]],Risikolog[[Risiko-id]:[Beredskabsplan hvis risiko indtræffer]],20)),"")</f>
        <v/>
      </c>
      <c r="L9" s="122" t="str">
        <f>IFERROR(IF(VLOOKUP(Table246816[[#This Row],[Risiko-id]],Risikolog[[Risiko-id]:[Mitigerende tiltag]],12)=0,"",VLOOKUP(Table246816[[#This Row],[Risiko-id]],Risikolog[[Risiko-id]:[Mitigerende tiltag]],12)),"")</f>
        <v/>
      </c>
    </row>
    <row r="10" spans="2:12" x14ac:dyDescent="0.2">
      <c r="B10" s="119" t="str">
        <f>Styringsgrundlag!F8</f>
        <v/>
      </c>
      <c r="C10" s="120" t="str">
        <f>IFERROR(IF(VLOOKUP(Table246816[[#This Row],[Risiko-id]],Risikolog[[Risiko-id]:[Mitigerende tiltag]],5)=0,"",VLOOKUP(Table246816[[#This Row],[Risiko-id]],Risikolog[[Risiko-id]:[Mitigerende tiltag]],5)),"")</f>
        <v/>
      </c>
      <c r="D10" s="120" t="str">
        <f>IFERROR(IF(VLOOKUP(Table246816[[#This Row],[Risiko-id]],Risikolog[[Risiko-id]:[Mitigerende tiltag]],6)=0,"",VLOOKUP(Table246816[[#This Row],[Risiko-id]],Risikolog[[Risiko-id]:[Mitigerende tiltag]],6)),"")</f>
        <v/>
      </c>
      <c r="E10" s="109" t="str">
        <f>IFERROR(VLOOKUP(Table246816[[#This Row],[Risiko-id]],Risikolog[[Risiko-id]:[Mitigerende tiltag]],7),"")</f>
        <v/>
      </c>
      <c r="F10" s="109" t="str">
        <f>IFERROR(VLOOKUP(Table246816[[#This Row],[Risiko-id]],Risikolog[[Risiko-id]:[Mitigerende tiltag]],8),"")</f>
        <v/>
      </c>
      <c r="G10" s="109" t="str">
        <f>IFERROR(Table246816[[#This Row],[Sandsynlighed]]*Table246816[[#This Row],[Konsekvens]],"")</f>
        <v/>
      </c>
      <c r="H10" s="121" t="str">
        <f>IFERROR(IF(VLOOKUP(Table246816[[#This Row],[Risiko-id]],Risikolog[[Risiko-id]:[Mitigerende tiltag]],10)=0,"",VLOOKUP(Table246816[[#This Row],[Risiko-id]],Risikolog[[Risiko-id]:[Mitigerende tiltag]],10)),"")</f>
        <v/>
      </c>
      <c r="I10" s="122" t="str">
        <f>IFERROR(IF(VLOOKUP(Table246816[[#This Row],[Risiko-id]],Risikolog[[Risiko-id]:[Mitigerende tiltag]],13)=0,"",VLOOKUP(Table246816[[#This Row],[Risiko-id]],Risikolog[[Risiko-id]:[Mitigerende tiltag]],13)),"")</f>
        <v/>
      </c>
      <c r="J10" s="122" t="str">
        <f>IFERROR(IF(VLOOKUP(Table246816[[#This Row],[Risiko-id]],Risikolog[[Risiko-id]:[Status]],14)=0,"",VLOOKUP(Table246816[[#This Row],[Risiko-id]],Risikolog[[Risiko-id]:[Status]],14)),"")</f>
        <v/>
      </c>
      <c r="K10" s="122" t="str">
        <f>IFERROR(IF(VLOOKUP(Table246816[[#This Row],[Risiko-id]],Risikolog[[Risiko-id]:[Beredskabsplan hvis risiko indtræffer]],20)=0,"",VLOOKUP(Table246816[[#This Row],[Risiko-id]],Risikolog[[Risiko-id]:[Beredskabsplan hvis risiko indtræffer]],20)),"")</f>
        <v/>
      </c>
      <c r="L10" s="122" t="str">
        <f>IFERROR(IF(VLOOKUP(Table246816[[#This Row],[Risiko-id]],Risikolog[[Risiko-id]:[Mitigerende tiltag]],12)=0,"",VLOOKUP(Table246816[[#This Row],[Risiko-id]],Risikolog[[Risiko-id]:[Mitigerende tiltag]],12)),"")</f>
        <v/>
      </c>
    </row>
    <row r="11" spans="2:12" x14ac:dyDescent="0.2">
      <c r="B11" s="119" t="str">
        <f>Styringsgrundlag!F9</f>
        <v/>
      </c>
      <c r="C11" s="120" t="str">
        <f>IFERROR(IF(VLOOKUP(Table246816[[#This Row],[Risiko-id]],Risikolog[[Risiko-id]:[Mitigerende tiltag]],5)=0,"",VLOOKUP(Table246816[[#This Row],[Risiko-id]],Risikolog[[Risiko-id]:[Mitigerende tiltag]],5)),"")</f>
        <v/>
      </c>
      <c r="D11" s="120" t="str">
        <f>IFERROR(IF(VLOOKUP(Table246816[[#This Row],[Risiko-id]],Risikolog[[Risiko-id]:[Mitigerende tiltag]],6)=0,"",VLOOKUP(Table246816[[#This Row],[Risiko-id]],Risikolog[[Risiko-id]:[Mitigerende tiltag]],6)),"")</f>
        <v/>
      </c>
      <c r="E11" s="109" t="str">
        <f>IFERROR(VLOOKUP(Table246816[[#This Row],[Risiko-id]],Risikolog[[Risiko-id]:[Mitigerende tiltag]],7),"")</f>
        <v/>
      </c>
      <c r="F11" s="109" t="str">
        <f>IFERROR(VLOOKUP(Table246816[[#This Row],[Risiko-id]],Risikolog[[Risiko-id]:[Mitigerende tiltag]],8),"")</f>
        <v/>
      </c>
      <c r="G11" s="109" t="str">
        <f>IFERROR(Table246816[[#This Row],[Sandsynlighed]]*Table246816[[#This Row],[Konsekvens]],"")</f>
        <v/>
      </c>
      <c r="H11" s="121" t="str">
        <f>IFERROR(IF(VLOOKUP(Table246816[[#This Row],[Risiko-id]],Risikolog[[Risiko-id]:[Mitigerende tiltag]],10)=0,"",VLOOKUP(Table246816[[#This Row],[Risiko-id]],Risikolog[[Risiko-id]:[Mitigerende tiltag]],10)),"")</f>
        <v/>
      </c>
      <c r="I11" s="122" t="str">
        <f>IFERROR(IF(VLOOKUP(Table246816[[#This Row],[Risiko-id]],Risikolog[[Risiko-id]:[Mitigerende tiltag]],13)=0,"",VLOOKUP(Table246816[[#This Row],[Risiko-id]],Risikolog[[Risiko-id]:[Mitigerende tiltag]],13)),"")</f>
        <v/>
      </c>
      <c r="J11" s="122" t="str">
        <f>IFERROR(IF(VLOOKUP(Table246816[[#This Row],[Risiko-id]],Risikolog[[Risiko-id]:[Status]],14)=0,"",VLOOKUP(Table246816[[#This Row],[Risiko-id]],Risikolog[[Risiko-id]:[Status]],14)),"")</f>
        <v/>
      </c>
      <c r="K11" s="122" t="str">
        <f>IFERROR(IF(VLOOKUP(Table246816[[#This Row],[Risiko-id]],Risikolog[[Risiko-id]:[Beredskabsplan hvis risiko indtræffer]],20)=0,"",VLOOKUP(Table246816[[#This Row],[Risiko-id]],Risikolog[[Risiko-id]:[Beredskabsplan hvis risiko indtræffer]],20)),"")</f>
        <v/>
      </c>
      <c r="L11" s="122" t="str">
        <f>IFERROR(IF(VLOOKUP(Table246816[[#This Row],[Risiko-id]],Risikolog[[Risiko-id]:[Mitigerende tiltag]],12)=0,"",VLOOKUP(Table246816[[#This Row],[Risiko-id]],Risikolog[[Risiko-id]:[Mitigerende tiltag]],12)),"")</f>
        <v/>
      </c>
    </row>
    <row r="12" spans="2:12" x14ac:dyDescent="0.2">
      <c r="B12" s="119" t="str">
        <f>Styringsgrundlag!F10</f>
        <v/>
      </c>
      <c r="C12" s="120" t="str">
        <f>IFERROR(IF(VLOOKUP(Table246816[[#This Row],[Risiko-id]],Risikolog[[Risiko-id]:[Mitigerende tiltag]],5)=0,"",VLOOKUP(Table246816[[#This Row],[Risiko-id]],Risikolog[[Risiko-id]:[Mitigerende tiltag]],5)),"")</f>
        <v/>
      </c>
      <c r="D12" s="120" t="str">
        <f>IFERROR(IF(VLOOKUP(Table246816[[#This Row],[Risiko-id]],Risikolog[[Risiko-id]:[Mitigerende tiltag]],6)=0,"",VLOOKUP(Table246816[[#This Row],[Risiko-id]],Risikolog[[Risiko-id]:[Mitigerende tiltag]],6)),"")</f>
        <v/>
      </c>
      <c r="E12" s="109" t="str">
        <f>IFERROR(VLOOKUP(Table246816[[#This Row],[Risiko-id]],Risikolog[[Risiko-id]:[Mitigerende tiltag]],7),"")</f>
        <v/>
      </c>
      <c r="F12" s="109" t="str">
        <f>IFERROR(VLOOKUP(Table246816[[#This Row],[Risiko-id]],Risikolog[[Risiko-id]:[Mitigerende tiltag]],8),"")</f>
        <v/>
      </c>
      <c r="G12" s="109" t="str">
        <f>IFERROR(Table246816[[#This Row],[Sandsynlighed]]*Table246816[[#This Row],[Konsekvens]],"")</f>
        <v/>
      </c>
      <c r="H12" s="121" t="str">
        <f>IFERROR(IF(VLOOKUP(Table246816[[#This Row],[Risiko-id]],Risikolog[[Risiko-id]:[Mitigerende tiltag]],10)=0,"",VLOOKUP(Table246816[[#This Row],[Risiko-id]],Risikolog[[Risiko-id]:[Mitigerende tiltag]],10)),"")</f>
        <v/>
      </c>
      <c r="I12" s="122" t="str">
        <f>IFERROR(IF(VLOOKUP(Table246816[[#This Row],[Risiko-id]],Risikolog[[Risiko-id]:[Mitigerende tiltag]],13)=0,"",VLOOKUP(Table246816[[#This Row],[Risiko-id]],Risikolog[[Risiko-id]:[Mitigerende tiltag]],13)),"")</f>
        <v/>
      </c>
      <c r="J12" s="122" t="str">
        <f>IFERROR(IF(VLOOKUP(Table246816[[#This Row],[Risiko-id]],Risikolog[[Risiko-id]:[Status]],14)=0,"",VLOOKUP(Table246816[[#This Row],[Risiko-id]],Risikolog[[Risiko-id]:[Status]],14)),"")</f>
        <v/>
      </c>
      <c r="K12" s="122" t="str">
        <f>IFERROR(IF(VLOOKUP(Table246816[[#This Row],[Risiko-id]],Risikolog[[Risiko-id]:[Beredskabsplan hvis risiko indtræffer]],20)=0,"",VLOOKUP(Table246816[[#This Row],[Risiko-id]],Risikolog[[Risiko-id]:[Beredskabsplan hvis risiko indtræffer]],20)),"")</f>
        <v/>
      </c>
      <c r="L12" s="122" t="str">
        <f>IFERROR(IF(VLOOKUP(Table246816[[#This Row],[Risiko-id]],Risikolog[[Risiko-id]:[Mitigerende tiltag]],12)=0,"",VLOOKUP(Table246816[[#This Row],[Risiko-id]],Risikolog[[Risiko-id]:[Mitigerende tiltag]],12)),"")</f>
        <v/>
      </c>
    </row>
    <row r="13" spans="2:12" x14ac:dyDescent="0.2">
      <c r="B13" s="119" t="str">
        <f>Styringsgrundlag!F11</f>
        <v/>
      </c>
      <c r="C13" s="120" t="str">
        <f>IFERROR(IF(VLOOKUP(Table246816[[#This Row],[Risiko-id]],Risikolog[[Risiko-id]:[Mitigerende tiltag]],5)=0,"",VLOOKUP(Table246816[[#This Row],[Risiko-id]],Risikolog[[Risiko-id]:[Mitigerende tiltag]],5)),"")</f>
        <v/>
      </c>
      <c r="D13" s="120" t="str">
        <f>IFERROR(IF(VLOOKUP(Table246816[[#This Row],[Risiko-id]],Risikolog[[Risiko-id]:[Mitigerende tiltag]],6)=0,"",VLOOKUP(Table246816[[#This Row],[Risiko-id]],Risikolog[[Risiko-id]:[Mitigerende tiltag]],6)),"")</f>
        <v/>
      </c>
      <c r="E13" s="109" t="str">
        <f>IFERROR(VLOOKUP(Table246816[[#This Row],[Risiko-id]],Risikolog[[Risiko-id]:[Mitigerende tiltag]],7),"")</f>
        <v/>
      </c>
      <c r="F13" s="109" t="str">
        <f>IFERROR(VLOOKUP(Table246816[[#This Row],[Risiko-id]],Risikolog[[Risiko-id]:[Mitigerende tiltag]],8),"")</f>
        <v/>
      </c>
      <c r="G13" s="109" t="str">
        <f>IFERROR(Table246816[[#This Row],[Sandsynlighed]]*Table246816[[#This Row],[Konsekvens]],"")</f>
        <v/>
      </c>
      <c r="H13" s="121" t="str">
        <f>IFERROR(IF(VLOOKUP(Table246816[[#This Row],[Risiko-id]],Risikolog[[Risiko-id]:[Mitigerende tiltag]],10)=0,"",VLOOKUP(Table246816[[#This Row],[Risiko-id]],Risikolog[[Risiko-id]:[Mitigerende tiltag]],10)),"")</f>
        <v/>
      </c>
      <c r="I13" s="122" t="str">
        <f>IFERROR(IF(VLOOKUP(Table246816[[#This Row],[Risiko-id]],Risikolog[[Risiko-id]:[Mitigerende tiltag]],13)=0,"",VLOOKUP(Table246816[[#This Row],[Risiko-id]],Risikolog[[Risiko-id]:[Mitigerende tiltag]],13)),"")</f>
        <v/>
      </c>
      <c r="J13" s="122" t="str">
        <f>IFERROR(IF(VLOOKUP(Table246816[[#This Row],[Risiko-id]],Risikolog[[Risiko-id]:[Status]],14)=0,"",VLOOKUP(Table246816[[#This Row],[Risiko-id]],Risikolog[[Risiko-id]:[Status]],14)),"")</f>
        <v/>
      </c>
      <c r="K13" s="122" t="str">
        <f>IFERROR(IF(VLOOKUP(Table246816[[#This Row],[Risiko-id]],Risikolog[[Risiko-id]:[Beredskabsplan hvis risiko indtræffer]],20)=0,"",VLOOKUP(Table246816[[#This Row],[Risiko-id]],Risikolog[[Risiko-id]:[Beredskabsplan hvis risiko indtræffer]],20)),"")</f>
        <v/>
      </c>
      <c r="L13" s="122" t="str">
        <f>IFERROR(IF(VLOOKUP(Table246816[[#This Row],[Risiko-id]],Risikolog[[Risiko-id]:[Mitigerende tiltag]],12)=0,"",VLOOKUP(Table246816[[#This Row],[Risiko-id]],Risikolog[[Risiko-id]:[Mitigerende tiltag]],12)),"")</f>
        <v/>
      </c>
    </row>
    <row r="14" spans="2:12" x14ac:dyDescent="0.2">
      <c r="B14" s="119" t="str">
        <f>Styringsgrundlag!F12</f>
        <v/>
      </c>
      <c r="C14" s="120" t="str">
        <f>IFERROR(IF(VLOOKUP(Table246816[[#This Row],[Risiko-id]],Risikolog[[Risiko-id]:[Mitigerende tiltag]],5)=0,"",VLOOKUP(Table246816[[#This Row],[Risiko-id]],Risikolog[[Risiko-id]:[Mitigerende tiltag]],5)),"")</f>
        <v/>
      </c>
      <c r="D14" s="120" t="str">
        <f>IFERROR(IF(VLOOKUP(Table246816[[#This Row],[Risiko-id]],Risikolog[[Risiko-id]:[Mitigerende tiltag]],6)=0,"",VLOOKUP(Table246816[[#This Row],[Risiko-id]],Risikolog[[Risiko-id]:[Mitigerende tiltag]],6)),"")</f>
        <v/>
      </c>
      <c r="E14" s="109" t="str">
        <f>IFERROR(VLOOKUP(Table246816[[#This Row],[Risiko-id]],Risikolog[[Risiko-id]:[Mitigerende tiltag]],7),"")</f>
        <v/>
      </c>
      <c r="F14" s="109" t="str">
        <f>IFERROR(VLOOKUP(Table246816[[#This Row],[Risiko-id]],Risikolog[[Risiko-id]:[Mitigerende tiltag]],8),"")</f>
        <v/>
      </c>
      <c r="G14" s="109" t="str">
        <f>IFERROR(Table246816[[#This Row],[Sandsynlighed]]*Table246816[[#This Row],[Konsekvens]],"")</f>
        <v/>
      </c>
      <c r="H14" s="121" t="str">
        <f>IFERROR(IF(VLOOKUP(Table246816[[#This Row],[Risiko-id]],Risikolog[[Risiko-id]:[Mitigerende tiltag]],10)=0,"",VLOOKUP(Table246816[[#This Row],[Risiko-id]],Risikolog[[Risiko-id]:[Mitigerende tiltag]],10)),"")</f>
        <v/>
      </c>
      <c r="I14" s="122" t="str">
        <f>IFERROR(IF(VLOOKUP(Table246816[[#This Row],[Risiko-id]],Risikolog[[Risiko-id]:[Mitigerende tiltag]],13)=0,"",VLOOKUP(Table246816[[#This Row],[Risiko-id]],Risikolog[[Risiko-id]:[Mitigerende tiltag]],13)),"")</f>
        <v/>
      </c>
      <c r="J14" s="122" t="str">
        <f>IFERROR(IF(VLOOKUP(Table246816[[#This Row],[Risiko-id]],Risikolog[[Risiko-id]:[Status]],14)=0,"",VLOOKUP(Table246816[[#This Row],[Risiko-id]],Risikolog[[Risiko-id]:[Status]],14)),"")</f>
        <v/>
      </c>
      <c r="K14" s="122" t="str">
        <f>IFERROR(IF(VLOOKUP(Table246816[[#This Row],[Risiko-id]],Risikolog[[Risiko-id]:[Beredskabsplan hvis risiko indtræffer]],20)=0,"",VLOOKUP(Table246816[[#This Row],[Risiko-id]],Risikolog[[Risiko-id]:[Beredskabsplan hvis risiko indtræffer]],20)),"")</f>
        <v/>
      </c>
      <c r="L14" s="122" t="str">
        <f>IFERROR(IF(VLOOKUP(Table246816[[#This Row],[Risiko-id]],Risikolog[[Risiko-id]:[Mitigerende tiltag]],12)=0,"",VLOOKUP(Table246816[[#This Row],[Risiko-id]],Risikolog[[Risiko-id]:[Mitigerende tiltag]],12)),"")</f>
        <v/>
      </c>
    </row>
    <row r="15" spans="2:12" x14ac:dyDescent="0.2">
      <c r="B15" s="119" t="str">
        <f>Styringsgrundlag!F13</f>
        <v/>
      </c>
      <c r="C15" s="120" t="str">
        <f>IFERROR(IF(VLOOKUP(Table246816[[#This Row],[Risiko-id]],Risikolog[[Risiko-id]:[Mitigerende tiltag]],5)=0,"",VLOOKUP(Table246816[[#This Row],[Risiko-id]],Risikolog[[Risiko-id]:[Mitigerende tiltag]],5)),"")</f>
        <v/>
      </c>
      <c r="D15" s="120" t="str">
        <f>IFERROR(IF(VLOOKUP(Table246816[[#This Row],[Risiko-id]],Risikolog[[Risiko-id]:[Mitigerende tiltag]],6)=0,"",VLOOKUP(Table246816[[#This Row],[Risiko-id]],Risikolog[[Risiko-id]:[Mitigerende tiltag]],6)),"")</f>
        <v/>
      </c>
      <c r="E15" s="109" t="str">
        <f>IFERROR(VLOOKUP(Table246816[[#This Row],[Risiko-id]],Risikolog[[Risiko-id]:[Mitigerende tiltag]],7),"")</f>
        <v/>
      </c>
      <c r="F15" s="109" t="str">
        <f>IFERROR(VLOOKUP(Table246816[[#This Row],[Risiko-id]],Risikolog[[Risiko-id]:[Mitigerende tiltag]],8),"")</f>
        <v/>
      </c>
      <c r="G15" s="109" t="str">
        <f>IFERROR(Table246816[[#This Row],[Sandsynlighed]]*Table246816[[#This Row],[Konsekvens]],"")</f>
        <v/>
      </c>
      <c r="H15" s="121" t="str">
        <f>IFERROR(IF(VLOOKUP(Table246816[[#This Row],[Risiko-id]],Risikolog[[Risiko-id]:[Mitigerende tiltag]],10)=0,"",VLOOKUP(Table246816[[#This Row],[Risiko-id]],Risikolog[[Risiko-id]:[Mitigerende tiltag]],10)),"")</f>
        <v/>
      </c>
      <c r="I15" s="122" t="str">
        <f>IFERROR(IF(VLOOKUP(Table246816[[#This Row],[Risiko-id]],Risikolog[[Risiko-id]:[Mitigerende tiltag]],13)=0,"",VLOOKUP(Table246816[[#This Row],[Risiko-id]],Risikolog[[Risiko-id]:[Mitigerende tiltag]],13)),"")</f>
        <v/>
      </c>
      <c r="J15" s="122" t="str">
        <f>IFERROR(IF(VLOOKUP(Table246816[[#This Row],[Risiko-id]],Risikolog[[Risiko-id]:[Status]],14)=0,"",VLOOKUP(Table246816[[#This Row],[Risiko-id]],Risikolog[[Risiko-id]:[Status]],14)),"")</f>
        <v/>
      </c>
      <c r="K15" s="122" t="str">
        <f>IFERROR(IF(VLOOKUP(Table246816[[#This Row],[Risiko-id]],Risikolog[[Risiko-id]:[Beredskabsplan hvis risiko indtræffer]],20)=0,"",VLOOKUP(Table246816[[#This Row],[Risiko-id]],Risikolog[[Risiko-id]:[Beredskabsplan hvis risiko indtræffer]],20)),"")</f>
        <v/>
      </c>
      <c r="L15" s="122" t="str">
        <f>IFERROR(IF(VLOOKUP(Table246816[[#This Row],[Risiko-id]],Risikolog[[Risiko-id]:[Mitigerende tiltag]],12)=0,"",VLOOKUP(Table246816[[#This Row],[Risiko-id]],Risikolog[[Risiko-id]:[Mitigerende tiltag]],12)),"")</f>
        <v/>
      </c>
    </row>
    <row r="16" spans="2:12" x14ac:dyDescent="0.2">
      <c r="B16" s="119" t="str">
        <f>Styringsgrundlag!F14</f>
        <v/>
      </c>
      <c r="C16" s="120" t="str">
        <f>IFERROR(IF(VLOOKUP(Table246816[[#This Row],[Risiko-id]],Risikolog[[Risiko-id]:[Mitigerende tiltag]],5)=0,"",VLOOKUP(Table246816[[#This Row],[Risiko-id]],Risikolog[[Risiko-id]:[Mitigerende tiltag]],5)),"")</f>
        <v/>
      </c>
      <c r="D16" s="120" t="str">
        <f>IFERROR(IF(VLOOKUP(Table246816[[#This Row],[Risiko-id]],Risikolog[[Risiko-id]:[Mitigerende tiltag]],6)=0,"",VLOOKUP(Table246816[[#This Row],[Risiko-id]],Risikolog[[Risiko-id]:[Mitigerende tiltag]],6)),"")</f>
        <v/>
      </c>
      <c r="E16" s="109" t="str">
        <f>IFERROR(VLOOKUP(Table246816[[#This Row],[Risiko-id]],Risikolog[[Risiko-id]:[Mitigerende tiltag]],7),"")</f>
        <v/>
      </c>
      <c r="F16" s="109" t="str">
        <f>IFERROR(VLOOKUP(Table246816[[#This Row],[Risiko-id]],Risikolog[[Risiko-id]:[Mitigerende tiltag]],8),"")</f>
        <v/>
      </c>
      <c r="G16" s="109" t="str">
        <f>IFERROR(Table246816[[#This Row],[Sandsynlighed]]*Table246816[[#This Row],[Konsekvens]],"")</f>
        <v/>
      </c>
      <c r="H16" s="121" t="str">
        <f>IFERROR(IF(VLOOKUP(Table246816[[#This Row],[Risiko-id]],Risikolog[[Risiko-id]:[Mitigerende tiltag]],10)=0,"",VLOOKUP(Table246816[[#This Row],[Risiko-id]],Risikolog[[Risiko-id]:[Mitigerende tiltag]],10)),"")</f>
        <v/>
      </c>
      <c r="I16" s="122" t="str">
        <f>IFERROR(IF(VLOOKUP(Table246816[[#This Row],[Risiko-id]],Risikolog[[Risiko-id]:[Mitigerende tiltag]],13)=0,"",VLOOKUP(Table246816[[#This Row],[Risiko-id]],Risikolog[[Risiko-id]:[Mitigerende tiltag]],13)),"")</f>
        <v/>
      </c>
      <c r="J16" s="122" t="str">
        <f>IFERROR(IF(VLOOKUP(Table246816[[#This Row],[Risiko-id]],Risikolog[[Risiko-id]:[Status]],14)=0,"",VLOOKUP(Table246816[[#This Row],[Risiko-id]],Risikolog[[Risiko-id]:[Status]],14)),"")</f>
        <v/>
      </c>
      <c r="K16" s="122" t="str">
        <f>IFERROR(IF(VLOOKUP(Table246816[[#This Row],[Risiko-id]],Risikolog[[Risiko-id]:[Beredskabsplan hvis risiko indtræffer]],20)=0,"",VLOOKUP(Table246816[[#This Row],[Risiko-id]],Risikolog[[Risiko-id]:[Beredskabsplan hvis risiko indtræffer]],20)),"")</f>
        <v/>
      </c>
      <c r="L16" s="122" t="str">
        <f>IFERROR(IF(VLOOKUP(Table246816[[#This Row],[Risiko-id]],Risikolog[[Risiko-id]:[Mitigerende tiltag]],12)=0,"",VLOOKUP(Table246816[[#This Row],[Risiko-id]],Risikolog[[Risiko-id]:[Mitigerende tiltag]],12)),"")</f>
        <v/>
      </c>
    </row>
    <row r="17" spans="2:13" x14ac:dyDescent="0.2">
      <c r="B17" s="119" t="str">
        <f>Styringsgrundlag!F15</f>
        <v/>
      </c>
      <c r="C17" s="120" t="str">
        <f>IFERROR(IF(VLOOKUP(Table246816[[#This Row],[Risiko-id]],Risikolog[[Risiko-id]:[Mitigerende tiltag]],5)=0,"",VLOOKUP(Table246816[[#This Row],[Risiko-id]],Risikolog[[Risiko-id]:[Mitigerende tiltag]],5)),"")</f>
        <v/>
      </c>
      <c r="D17" s="120" t="str">
        <f>IFERROR(IF(VLOOKUP(Table246816[[#This Row],[Risiko-id]],Risikolog[[Risiko-id]:[Mitigerende tiltag]],6)=0,"",VLOOKUP(Table246816[[#This Row],[Risiko-id]],Risikolog[[Risiko-id]:[Mitigerende tiltag]],6)),"")</f>
        <v/>
      </c>
      <c r="E17" s="109" t="str">
        <f>IFERROR(VLOOKUP(Table246816[[#This Row],[Risiko-id]],Risikolog[[Risiko-id]:[Mitigerende tiltag]],7),"")</f>
        <v/>
      </c>
      <c r="F17" s="109" t="str">
        <f>IFERROR(VLOOKUP(Table246816[[#This Row],[Risiko-id]],Risikolog[[Risiko-id]:[Mitigerende tiltag]],8),"")</f>
        <v/>
      </c>
      <c r="G17" s="109" t="str">
        <f>IFERROR(Table246816[[#This Row],[Sandsynlighed]]*Table246816[[#This Row],[Konsekvens]],"")</f>
        <v/>
      </c>
      <c r="H17" s="121" t="str">
        <f>IFERROR(IF(VLOOKUP(Table246816[[#This Row],[Risiko-id]],Risikolog[[Risiko-id]:[Mitigerende tiltag]],10)=0,"",VLOOKUP(Table246816[[#This Row],[Risiko-id]],Risikolog[[Risiko-id]:[Mitigerende tiltag]],10)),"")</f>
        <v/>
      </c>
      <c r="I17" s="122" t="str">
        <f>IFERROR(IF(VLOOKUP(Table246816[[#This Row],[Risiko-id]],Risikolog[[Risiko-id]:[Mitigerende tiltag]],13)=0,"",VLOOKUP(Table246816[[#This Row],[Risiko-id]],Risikolog[[Risiko-id]:[Mitigerende tiltag]],13)),"")</f>
        <v/>
      </c>
      <c r="J17" s="122" t="str">
        <f>IFERROR(IF(VLOOKUP(Table246816[[#This Row],[Risiko-id]],Risikolog[[Risiko-id]:[Status]],14)=0,"",VLOOKUP(Table246816[[#This Row],[Risiko-id]],Risikolog[[Risiko-id]:[Status]],14)),"")</f>
        <v/>
      </c>
      <c r="K17" s="122" t="str">
        <f>IFERROR(IF(VLOOKUP(Table246816[[#This Row],[Risiko-id]],Risikolog[[Risiko-id]:[Beredskabsplan hvis risiko indtræffer]],20)=0,"",VLOOKUP(Table246816[[#This Row],[Risiko-id]],Risikolog[[Risiko-id]:[Beredskabsplan hvis risiko indtræffer]],20)),"")</f>
        <v/>
      </c>
      <c r="L17" s="122" t="str">
        <f>IFERROR(IF(VLOOKUP(Table246816[[#This Row],[Risiko-id]],Risikolog[[Risiko-id]:[Mitigerende tiltag]],12)=0,"",VLOOKUP(Table246816[[#This Row],[Risiko-id]],Risikolog[[Risiko-id]:[Mitigerende tiltag]],12)),"")</f>
        <v/>
      </c>
    </row>
    <row r="18" spans="2:13" x14ac:dyDescent="0.2">
      <c r="B18" s="143"/>
      <c r="C18" s="143"/>
      <c r="D18" s="143"/>
      <c r="E18" s="143"/>
      <c r="F18" s="143"/>
      <c r="G18" s="143"/>
      <c r="H18" s="143"/>
      <c r="I18" s="143"/>
      <c r="J18" s="143"/>
      <c r="K18" s="143"/>
      <c r="L18" s="143"/>
      <c r="M18" s="143"/>
    </row>
    <row r="19" spans="2:13" ht="39" x14ac:dyDescent="0.6">
      <c r="B19" s="72" t="s">
        <v>108</v>
      </c>
    </row>
    <row r="20" spans="2:13" outlineLevel="1" x14ac:dyDescent="0.2">
      <c r="B20" s="179" t="s">
        <v>170</v>
      </c>
    </row>
    <row r="21" spans="2:13" x14ac:dyDescent="0.2"/>
    <row r="22" spans="2:13" ht="38.25" x14ac:dyDescent="0.2">
      <c r="B22" s="111" t="s">
        <v>40</v>
      </c>
      <c r="C22" s="111" t="s">
        <v>71</v>
      </c>
      <c r="D22" s="111" t="s">
        <v>96</v>
      </c>
      <c r="E22" s="111" t="s">
        <v>72</v>
      </c>
      <c r="F22" s="111" t="s">
        <v>66</v>
      </c>
      <c r="G22" s="111" t="s">
        <v>64</v>
      </c>
      <c r="H22" s="111" t="s">
        <v>65</v>
      </c>
      <c r="I22" s="111" t="s">
        <v>69</v>
      </c>
      <c r="J22" s="118" t="s">
        <v>161</v>
      </c>
      <c r="K22" s="111" t="s">
        <v>70</v>
      </c>
      <c r="L22" s="111" t="s">
        <v>59</v>
      </c>
    </row>
    <row r="23" spans="2:13" x14ac:dyDescent="0.2">
      <c r="B23" s="119" t="str">
        <f>Styringsgrundlag!M4</f>
        <v/>
      </c>
      <c r="C23" s="120" t="str">
        <f>IF(Table2468717[[#This Row],[Risiko-id]]="","",IF(VLOOKUP(Table2468717[[#This Row],[Risiko-id]],Risikolog[[Risiko-id]:[Mitigerende tiltag]],5)=0,"",VLOOKUP(Table2468717[[#This Row],[Risiko-id]],Risikolog[[Risiko-id]:[Mitigerende tiltag]],5)))</f>
        <v/>
      </c>
      <c r="D23" s="120" t="str">
        <f>IFERROR(IF(VLOOKUP(Table2468717[[#This Row],[Risiko-id]],Risikolog[[Risiko-id]:[Mitigerende tiltag]],6)=0,"",VLOOKUP(Table2468717[[#This Row],[Risiko-id]],Risikolog[[Risiko-id]:[Mitigerende tiltag]],6)),"")</f>
        <v/>
      </c>
      <c r="E23" s="109" t="str">
        <f>IFERROR(VLOOKUP(Table2468717[[#This Row],[Risiko-id]],Risikolog[[Risiko-id]:[Mitigerende tiltag]],7),"")</f>
        <v/>
      </c>
      <c r="F23" s="109" t="str">
        <f>IF(Table2468717[[#This Row],[Risiko-id]]="","",VLOOKUP(Table2468717[[#This Row],[Risiko-id]],Risikolog[[Risiko-id]:[Mitigerende tiltag]],8))</f>
        <v/>
      </c>
      <c r="G23" s="109" t="str">
        <f>IFERROR(Table2468717[[#This Row],[Sandsynlighed]]*Table2468717[[#This Row],[Konsekvens]],"")</f>
        <v/>
      </c>
      <c r="H23" s="121" t="str">
        <f>IFERROR(IF(VLOOKUP(Table2468717[[#This Row],[Risiko-id]],Risikolog[[Risiko-id]:[Mitigerende tiltag]],10)=0,"",VLOOKUP(Table2468717[[#This Row],[Risiko-id]],Risikolog[[Risiko-id]:[Mitigerende tiltag]],10)),"")</f>
        <v/>
      </c>
      <c r="I23" s="122" t="str">
        <f>IFERROR(IF(VLOOKUP(Table2468717[[#This Row],[Risiko-id]],Risikolog[[Risiko-id]:[Mitigerende tiltag]],13)=0,"",VLOOKUP(Table2468717[[#This Row],[Risiko-id]],Risikolog[[Risiko-id]:[Mitigerende tiltag]],13)),"")</f>
        <v/>
      </c>
      <c r="J23" s="122" t="str">
        <f>IFERROR(IF(VLOOKUP(Table2468717[[#This Row],[Risiko-id]],Risikolog[[Risiko-id]:[Status]],14)=0,"",VLOOKUP(Table2468717[[#This Row],[Risiko-id]],Risikolog[[Risiko-id]:[Status]],14)),"")</f>
        <v/>
      </c>
      <c r="K23" s="122" t="str">
        <f>IFERROR(IF(VLOOKUP(Table2468717[[#This Row],[Risiko-id]],Risikolog[[Risiko-id]:[Beredskabsplan hvis risiko indtræffer]],20)=0,"",VLOOKUP(Table2468717[[#This Row],[Risiko-id]],Risikolog[[Risiko-id]:[Beredskabsplan hvis risiko indtræffer]],20)),"")</f>
        <v/>
      </c>
      <c r="L23" s="122" t="str">
        <f>IFERROR(IF(VLOOKUP(Table2468717[[#This Row],[Risiko-id]],Risikolog[[Risiko-id]:[Mitigerende tiltag]],12)=0,"",VLOOKUP(Table2468717[[#This Row],[Risiko-id]],Risikolog[[Risiko-id]:[Mitigerende tiltag]],12)),"")</f>
        <v/>
      </c>
    </row>
    <row r="24" spans="2:13" x14ac:dyDescent="0.2">
      <c r="B24" s="119" t="str">
        <f>Styringsgrundlag!M5</f>
        <v/>
      </c>
      <c r="C24" s="120" t="str">
        <f>IF(Table2468717[[#This Row],[Risiko-id]]="","",IF(VLOOKUP(Table2468717[[#This Row],[Risiko-id]],Risikolog[[Risiko-id]:[Mitigerende tiltag]],5)=0,"",VLOOKUP(Table2468717[[#This Row],[Risiko-id]],Risikolog[[Risiko-id]:[Mitigerende tiltag]],5)))</f>
        <v/>
      </c>
      <c r="D24" s="120" t="str">
        <f>IFERROR(IF(VLOOKUP(Table2468717[[#This Row],[Risiko-id]],Risikolog[[Risiko-id]:[Mitigerende tiltag]],6)=0,"",VLOOKUP(Table2468717[[#This Row],[Risiko-id]],Risikolog[[Risiko-id]:[Mitigerende tiltag]],6)),"")</f>
        <v/>
      </c>
      <c r="E24" s="109" t="str">
        <f>IFERROR(VLOOKUP(Table2468717[[#This Row],[Risiko-id]],Risikolog[[Risiko-id]:[Mitigerende tiltag]],7),"")</f>
        <v/>
      </c>
      <c r="F24" s="109" t="str">
        <f>IF(Table2468717[[#This Row],[Risiko-id]]="","",VLOOKUP(Table2468717[[#This Row],[Risiko-id]],Risikolog[[Risiko-id]:[Mitigerende tiltag]],8))</f>
        <v/>
      </c>
      <c r="G24" s="109" t="str">
        <f>IFERROR(Table2468717[[#This Row],[Sandsynlighed]]*Table2468717[[#This Row],[Konsekvens]],"")</f>
        <v/>
      </c>
      <c r="H24" s="121" t="str">
        <f>IFERROR(IF(VLOOKUP(Table2468717[[#This Row],[Risiko-id]],Risikolog[[Risiko-id]:[Mitigerende tiltag]],10)=0,"",VLOOKUP(Table2468717[[#This Row],[Risiko-id]],Risikolog[[Risiko-id]:[Mitigerende tiltag]],10)),"")</f>
        <v/>
      </c>
      <c r="I24" s="122" t="str">
        <f>IFERROR(IF(VLOOKUP(Table2468717[[#This Row],[Risiko-id]],Risikolog[[Risiko-id]:[Mitigerende tiltag]],13)=0,"",VLOOKUP(Table2468717[[#This Row],[Risiko-id]],Risikolog[[Risiko-id]:[Mitigerende tiltag]],13)),"")</f>
        <v/>
      </c>
      <c r="J24" s="122" t="str">
        <f>IFERROR(IF(VLOOKUP(Table2468717[[#This Row],[Risiko-id]],Risikolog[[Risiko-id]:[Status]],14)=0,"",VLOOKUP(Table2468717[[#This Row],[Risiko-id]],Risikolog[[Risiko-id]:[Status]],14)),"")</f>
        <v/>
      </c>
      <c r="K24" s="122" t="str">
        <f>IFERROR(IF(VLOOKUP(Table2468717[[#This Row],[Risiko-id]],Risikolog[[Risiko-id]:[Beredskabsplan hvis risiko indtræffer]],20)=0,"",VLOOKUP(Table2468717[[#This Row],[Risiko-id]],Risikolog[[Risiko-id]:[Beredskabsplan hvis risiko indtræffer]],20)),"")</f>
        <v/>
      </c>
      <c r="L24" s="122" t="str">
        <f>IFERROR(IF(VLOOKUP(Table2468717[[#This Row],[Risiko-id]],Risikolog[[Risiko-id]:[Mitigerende tiltag]],12)=0,"",VLOOKUP(Table2468717[[#This Row],[Risiko-id]],Risikolog[[Risiko-id]:[Mitigerende tiltag]],12)),"")</f>
        <v/>
      </c>
    </row>
    <row r="25" spans="2:13" x14ac:dyDescent="0.2">
      <c r="B25" s="119" t="str">
        <f>Styringsgrundlag!M6</f>
        <v/>
      </c>
      <c r="C25" s="120" t="str">
        <f>IF(Table2468717[[#This Row],[Risiko-id]]="","",IF(VLOOKUP(Table2468717[[#This Row],[Risiko-id]],Risikolog[[Risiko-id]:[Mitigerende tiltag]],5)=0,"",VLOOKUP(Table2468717[[#This Row],[Risiko-id]],Risikolog[[Risiko-id]:[Mitigerende tiltag]],5)))</f>
        <v/>
      </c>
      <c r="D25" s="120" t="str">
        <f>IFERROR(IF(VLOOKUP(Table2468717[[#This Row],[Risiko-id]],Risikolog[[Risiko-id]:[Mitigerende tiltag]],6)=0,"",VLOOKUP(Table2468717[[#This Row],[Risiko-id]],Risikolog[[Risiko-id]:[Mitigerende tiltag]],6)),"")</f>
        <v/>
      </c>
      <c r="E25" s="109" t="str">
        <f>IFERROR(VLOOKUP(Table2468717[[#This Row],[Risiko-id]],Risikolog[[Risiko-id]:[Mitigerende tiltag]],7),"")</f>
        <v/>
      </c>
      <c r="F25" s="109" t="str">
        <f>IF(Table2468717[[#This Row],[Risiko-id]]="","",VLOOKUP(Table2468717[[#This Row],[Risiko-id]],Risikolog[[Risiko-id]:[Mitigerende tiltag]],8))</f>
        <v/>
      </c>
      <c r="G25" s="109" t="str">
        <f>IFERROR(Table2468717[[#This Row],[Sandsynlighed]]*Table2468717[[#This Row],[Konsekvens]],"")</f>
        <v/>
      </c>
      <c r="H25" s="121" t="str">
        <f>IFERROR(IF(VLOOKUP(Table2468717[[#This Row],[Risiko-id]],Risikolog[[Risiko-id]:[Mitigerende tiltag]],10)=0,"",VLOOKUP(Table2468717[[#This Row],[Risiko-id]],Risikolog[[Risiko-id]:[Mitigerende tiltag]],10)),"")</f>
        <v/>
      </c>
      <c r="I25" s="122" t="str">
        <f>IFERROR(IF(VLOOKUP(Table2468717[[#This Row],[Risiko-id]],Risikolog[[Risiko-id]:[Mitigerende tiltag]],13)=0,"",VLOOKUP(Table2468717[[#This Row],[Risiko-id]],Risikolog[[Risiko-id]:[Mitigerende tiltag]],13)),"")</f>
        <v/>
      </c>
      <c r="J25" s="122" t="str">
        <f>IFERROR(IF(VLOOKUP(Table2468717[[#This Row],[Risiko-id]],Risikolog[[Risiko-id]:[Status]],14)=0,"",VLOOKUP(Table2468717[[#This Row],[Risiko-id]],Risikolog[[Risiko-id]:[Status]],14)),"")</f>
        <v/>
      </c>
      <c r="K25" s="122" t="str">
        <f>IFERROR(IF(VLOOKUP(Table2468717[[#This Row],[Risiko-id]],Risikolog[[Risiko-id]:[Beredskabsplan hvis risiko indtræffer]],20)=0,"",VLOOKUP(Table2468717[[#This Row],[Risiko-id]],Risikolog[[Risiko-id]:[Beredskabsplan hvis risiko indtræffer]],20)),"")</f>
        <v/>
      </c>
      <c r="L25" s="122" t="str">
        <f>IFERROR(IF(VLOOKUP(Table2468717[[#This Row],[Risiko-id]],Risikolog[[Risiko-id]:[Mitigerende tiltag]],12)=0,"",VLOOKUP(Table2468717[[#This Row],[Risiko-id]],Risikolog[[Risiko-id]:[Mitigerende tiltag]],12)),"")</f>
        <v/>
      </c>
    </row>
    <row r="26" spans="2:13" x14ac:dyDescent="0.2">
      <c r="B26" s="119" t="str">
        <f>Styringsgrundlag!M7</f>
        <v/>
      </c>
      <c r="C26" s="120" t="str">
        <f>IF(Table2468717[[#This Row],[Risiko-id]]="","",IF(VLOOKUP(Table2468717[[#This Row],[Risiko-id]],Risikolog[[Risiko-id]:[Mitigerende tiltag]],5)=0,"",VLOOKUP(Table2468717[[#This Row],[Risiko-id]],Risikolog[[Risiko-id]:[Mitigerende tiltag]],5)))</f>
        <v/>
      </c>
      <c r="D26" s="120" t="str">
        <f>IFERROR(IF(VLOOKUP(Table2468717[[#This Row],[Risiko-id]],Risikolog[[Risiko-id]:[Mitigerende tiltag]],6)=0,"",VLOOKUP(Table2468717[[#This Row],[Risiko-id]],Risikolog[[Risiko-id]:[Mitigerende tiltag]],6)),"")</f>
        <v/>
      </c>
      <c r="E26" s="109" t="str">
        <f>IFERROR(VLOOKUP(Table2468717[[#This Row],[Risiko-id]],Risikolog[[Risiko-id]:[Mitigerende tiltag]],7),"")</f>
        <v/>
      </c>
      <c r="F26" s="109" t="str">
        <f>IF(Table2468717[[#This Row],[Risiko-id]]="","",VLOOKUP(Table2468717[[#This Row],[Risiko-id]],Risikolog[[Risiko-id]:[Mitigerende tiltag]],8))</f>
        <v/>
      </c>
      <c r="G26" s="109" t="str">
        <f>IFERROR(Table2468717[[#This Row],[Sandsynlighed]]*Table2468717[[#This Row],[Konsekvens]],"")</f>
        <v/>
      </c>
      <c r="H26" s="121" t="str">
        <f>IFERROR(IF(VLOOKUP(Table2468717[[#This Row],[Risiko-id]],Risikolog[[Risiko-id]:[Mitigerende tiltag]],10)=0,"",VLOOKUP(Table2468717[[#This Row],[Risiko-id]],Risikolog[[Risiko-id]:[Mitigerende tiltag]],10)),"")</f>
        <v/>
      </c>
      <c r="I26" s="122" t="str">
        <f>IFERROR(IF(VLOOKUP(Table2468717[[#This Row],[Risiko-id]],Risikolog[[Risiko-id]:[Mitigerende tiltag]],13)=0,"",VLOOKUP(Table2468717[[#This Row],[Risiko-id]],Risikolog[[Risiko-id]:[Mitigerende tiltag]],13)),"")</f>
        <v/>
      </c>
      <c r="J26" s="122" t="str">
        <f>IFERROR(IF(VLOOKUP(Table2468717[[#This Row],[Risiko-id]],Risikolog[[Risiko-id]:[Status]],14)=0,"",VLOOKUP(Table2468717[[#This Row],[Risiko-id]],Risikolog[[Risiko-id]:[Status]],14)),"")</f>
        <v/>
      </c>
      <c r="K26" s="122" t="str">
        <f>IFERROR(IF(VLOOKUP(Table2468717[[#This Row],[Risiko-id]],Risikolog[[Risiko-id]:[Beredskabsplan hvis risiko indtræffer]],20)=0,"",VLOOKUP(Table2468717[[#This Row],[Risiko-id]],Risikolog[[Risiko-id]:[Beredskabsplan hvis risiko indtræffer]],20)),"")</f>
        <v/>
      </c>
      <c r="L26" s="122" t="str">
        <f>IFERROR(IF(VLOOKUP(Table2468717[[#This Row],[Risiko-id]],Risikolog[[Risiko-id]:[Mitigerende tiltag]],12)=0,"",VLOOKUP(Table2468717[[#This Row],[Risiko-id]],Risikolog[[Risiko-id]:[Mitigerende tiltag]],12)),"")</f>
        <v/>
      </c>
    </row>
    <row r="27" spans="2:13" x14ac:dyDescent="0.2">
      <c r="B27" s="119" t="str">
        <f>Styringsgrundlag!M8</f>
        <v/>
      </c>
      <c r="C27" s="120" t="str">
        <f>IF(Table2468717[[#This Row],[Risiko-id]]="","",IF(VLOOKUP(Table2468717[[#This Row],[Risiko-id]],Risikolog[[Risiko-id]:[Mitigerende tiltag]],5)=0,"",VLOOKUP(Table2468717[[#This Row],[Risiko-id]],Risikolog[[Risiko-id]:[Mitigerende tiltag]],5)))</f>
        <v/>
      </c>
      <c r="D27" s="120" t="str">
        <f>IFERROR(IF(VLOOKUP(Table2468717[[#This Row],[Risiko-id]],Risikolog[[Risiko-id]:[Mitigerende tiltag]],6)=0,"",VLOOKUP(Table2468717[[#This Row],[Risiko-id]],Risikolog[[Risiko-id]:[Mitigerende tiltag]],6)),"")</f>
        <v/>
      </c>
      <c r="E27" s="109" t="str">
        <f>IFERROR(VLOOKUP(Table2468717[[#This Row],[Risiko-id]],Risikolog[[Risiko-id]:[Mitigerende tiltag]],7),"")</f>
        <v/>
      </c>
      <c r="F27" s="109" t="str">
        <f>IF(Table2468717[[#This Row],[Risiko-id]]="","",VLOOKUP(Table2468717[[#This Row],[Risiko-id]],Risikolog[[Risiko-id]:[Mitigerende tiltag]],8))</f>
        <v/>
      </c>
      <c r="G27" s="109" t="str">
        <f>IFERROR(Table2468717[[#This Row],[Sandsynlighed]]*Table2468717[[#This Row],[Konsekvens]],"")</f>
        <v/>
      </c>
      <c r="H27" s="121" t="str">
        <f>IFERROR(IF(VLOOKUP(Table2468717[[#This Row],[Risiko-id]],Risikolog[[Risiko-id]:[Mitigerende tiltag]],10)=0,"",VLOOKUP(Table2468717[[#This Row],[Risiko-id]],Risikolog[[Risiko-id]:[Mitigerende tiltag]],10)),"")</f>
        <v/>
      </c>
      <c r="I27" s="122" t="str">
        <f>IFERROR(IF(VLOOKUP(Table2468717[[#This Row],[Risiko-id]],Risikolog[[Risiko-id]:[Mitigerende tiltag]],13)=0,"",VLOOKUP(Table2468717[[#This Row],[Risiko-id]],Risikolog[[Risiko-id]:[Mitigerende tiltag]],13)),"")</f>
        <v/>
      </c>
      <c r="J27" s="122" t="str">
        <f>IFERROR(IF(VLOOKUP(Table2468717[[#This Row],[Risiko-id]],Risikolog[[Risiko-id]:[Status]],14)=0,"",VLOOKUP(Table2468717[[#This Row],[Risiko-id]],Risikolog[[Risiko-id]:[Status]],14)),"")</f>
        <v/>
      </c>
      <c r="K27" s="122" t="str">
        <f>IFERROR(IF(VLOOKUP(Table2468717[[#This Row],[Risiko-id]],Risikolog[[Risiko-id]:[Beredskabsplan hvis risiko indtræffer]],20)=0,"",VLOOKUP(Table2468717[[#This Row],[Risiko-id]],Risikolog[[Risiko-id]:[Beredskabsplan hvis risiko indtræffer]],20)),"")</f>
        <v/>
      </c>
      <c r="L27" s="122" t="str">
        <f>IFERROR(IF(VLOOKUP(Table2468717[[#This Row],[Risiko-id]],Risikolog[[Risiko-id]:[Mitigerende tiltag]],12)=0,"",VLOOKUP(Table2468717[[#This Row],[Risiko-id]],Risikolog[[Risiko-id]:[Mitigerende tiltag]],12)),"")</f>
        <v/>
      </c>
    </row>
    <row r="28" spans="2:13" x14ac:dyDescent="0.2">
      <c r="B28" s="119" t="str">
        <f>Styringsgrundlag!M9</f>
        <v/>
      </c>
      <c r="C28" s="120" t="str">
        <f>IF(Table2468717[[#This Row],[Risiko-id]]="","",IF(VLOOKUP(Table2468717[[#This Row],[Risiko-id]],Risikolog[[Risiko-id]:[Mitigerende tiltag]],5)=0,"",VLOOKUP(Table2468717[[#This Row],[Risiko-id]],Risikolog[[Risiko-id]:[Mitigerende tiltag]],5)))</f>
        <v/>
      </c>
      <c r="D28" s="120" t="str">
        <f>IFERROR(IF(VLOOKUP(Table2468717[[#This Row],[Risiko-id]],Risikolog[[Risiko-id]:[Mitigerende tiltag]],6)=0,"",VLOOKUP(Table2468717[[#This Row],[Risiko-id]],Risikolog[[Risiko-id]:[Mitigerende tiltag]],6)),"")</f>
        <v/>
      </c>
      <c r="E28" s="109" t="str">
        <f>IFERROR(VLOOKUP(Table2468717[[#This Row],[Risiko-id]],Risikolog[[Risiko-id]:[Mitigerende tiltag]],7),"")</f>
        <v/>
      </c>
      <c r="F28" s="109" t="str">
        <f>IF(Table2468717[[#This Row],[Risiko-id]]="","",VLOOKUP(Table2468717[[#This Row],[Risiko-id]],Risikolog[[Risiko-id]:[Mitigerende tiltag]],8))</f>
        <v/>
      </c>
      <c r="G28" s="109" t="str">
        <f>IFERROR(Table2468717[[#This Row],[Sandsynlighed]]*Table2468717[[#This Row],[Konsekvens]],"")</f>
        <v/>
      </c>
      <c r="H28" s="121" t="str">
        <f>IFERROR(IF(VLOOKUP(Table2468717[[#This Row],[Risiko-id]],Risikolog[[Risiko-id]:[Mitigerende tiltag]],10)=0,"",VLOOKUP(Table2468717[[#This Row],[Risiko-id]],Risikolog[[Risiko-id]:[Mitigerende tiltag]],10)),"")</f>
        <v/>
      </c>
      <c r="I28" s="122" t="str">
        <f>IFERROR(IF(VLOOKUP(Table2468717[[#This Row],[Risiko-id]],Risikolog[[Risiko-id]:[Mitigerende tiltag]],13)=0,"",VLOOKUP(Table2468717[[#This Row],[Risiko-id]],Risikolog[[Risiko-id]:[Mitigerende tiltag]],13)),"")</f>
        <v/>
      </c>
      <c r="J28" s="122" t="str">
        <f>IFERROR(IF(VLOOKUP(Table2468717[[#This Row],[Risiko-id]],Risikolog[[Risiko-id]:[Status]],14)=0,"",VLOOKUP(Table2468717[[#This Row],[Risiko-id]],Risikolog[[Risiko-id]:[Status]],14)),"")</f>
        <v/>
      </c>
      <c r="K28" s="122" t="str">
        <f>IFERROR(IF(VLOOKUP(Table2468717[[#This Row],[Risiko-id]],Risikolog[[Risiko-id]:[Beredskabsplan hvis risiko indtræffer]],20)=0,"",VLOOKUP(Table2468717[[#This Row],[Risiko-id]],Risikolog[[Risiko-id]:[Beredskabsplan hvis risiko indtræffer]],20)),"")</f>
        <v/>
      </c>
      <c r="L28" s="122" t="str">
        <f>IFERROR(IF(VLOOKUP(Table2468717[[#This Row],[Risiko-id]],Risikolog[[Risiko-id]:[Mitigerende tiltag]],12)=0,"",VLOOKUP(Table2468717[[#This Row],[Risiko-id]],Risikolog[[Risiko-id]:[Mitigerende tiltag]],12)),"")</f>
        <v/>
      </c>
    </row>
    <row r="29" spans="2:13" x14ac:dyDescent="0.2">
      <c r="B29" s="119" t="str">
        <f>Styringsgrundlag!M10</f>
        <v/>
      </c>
      <c r="C29" s="120" t="str">
        <f>IF(Table2468717[[#This Row],[Risiko-id]]="","",IF(VLOOKUP(Table2468717[[#This Row],[Risiko-id]],Risikolog[[Risiko-id]:[Mitigerende tiltag]],5)=0,"",VLOOKUP(Table2468717[[#This Row],[Risiko-id]],Risikolog[[Risiko-id]:[Mitigerende tiltag]],5)))</f>
        <v/>
      </c>
      <c r="D29" s="120" t="str">
        <f>IFERROR(IF(VLOOKUP(Table2468717[[#This Row],[Risiko-id]],Risikolog[[Risiko-id]:[Mitigerende tiltag]],6)=0,"",VLOOKUP(Table2468717[[#This Row],[Risiko-id]],Risikolog[[Risiko-id]:[Mitigerende tiltag]],6)),"")</f>
        <v/>
      </c>
      <c r="E29" s="109" t="str">
        <f>IFERROR(VLOOKUP(Table2468717[[#This Row],[Risiko-id]],Risikolog[[Risiko-id]:[Mitigerende tiltag]],7),"")</f>
        <v/>
      </c>
      <c r="F29" s="109" t="str">
        <f>IF(Table2468717[[#This Row],[Risiko-id]]="","",VLOOKUP(Table2468717[[#This Row],[Risiko-id]],Risikolog[[Risiko-id]:[Mitigerende tiltag]],8))</f>
        <v/>
      </c>
      <c r="G29" s="109" t="str">
        <f>IFERROR(Table2468717[[#This Row],[Sandsynlighed]]*Table2468717[[#This Row],[Konsekvens]],"")</f>
        <v/>
      </c>
      <c r="H29" s="121" t="str">
        <f>IFERROR(IF(VLOOKUP(Table2468717[[#This Row],[Risiko-id]],Risikolog[[Risiko-id]:[Mitigerende tiltag]],10)=0,"",VLOOKUP(Table2468717[[#This Row],[Risiko-id]],Risikolog[[Risiko-id]:[Mitigerende tiltag]],10)),"")</f>
        <v/>
      </c>
      <c r="I29" s="122" t="str">
        <f>IFERROR(IF(VLOOKUP(Table2468717[[#This Row],[Risiko-id]],Risikolog[[Risiko-id]:[Mitigerende tiltag]],13)=0,"",VLOOKUP(Table2468717[[#This Row],[Risiko-id]],Risikolog[[Risiko-id]:[Mitigerende tiltag]],13)),"")</f>
        <v/>
      </c>
      <c r="J29" s="122" t="str">
        <f>IFERROR(IF(VLOOKUP(Table2468717[[#This Row],[Risiko-id]],Risikolog[[Risiko-id]:[Status]],14)=0,"",VLOOKUP(Table2468717[[#This Row],[Risiko-id]],Risikolog[[Risiko-id]:[Status]],14)),"")</f>
        <v/>
      </c>
      <c r="K29" s="122" t="str">
        <f>IFERROR(IF(VLOOKUP(Table2468717[[#This Row],[Risiko-id]],Risikolog[[Risiko-id]:[Beredskabsplan hvis risiko indtræffer]],20)=0,"",VLOOKUP(Table2468717[[#This Row],[Risiko-id]],Risikolog[[Risiko-id]:[Beredskabsplan hvis risiko indtræffer]],20)),"")</f>
        <v/>
      </c>
      <c r="L29" s="122" t="str">
        <f>IFERROR(IF(VLOOKUP(Table2468717[[#This Row],[Risiko-id]],Risikolog[[Risiko-id]:[Mitigerende tiltag]],12)=0,"",VLOOKUP(Table2468717[[#This Row],[Risiko-id]],Risikolog[[Risiko-id]:[Mitigerende tiltag]],12)),"")</f>
        <v/>
      </c>
    </row>
    <row r="30" spans="2:13" x14ac:dyDescent="0.2">
      <c r="B30" s="119" t="str">
        <f>Styringsgrundlag!M11</f>
        <v/>
      </c>
      <c r="C30" s="120" t="str">
        <f>IF(Table2468717[[#This Row],[Risiko-id]]="","",IF(VLOOKUP(Table2468717[[#This Row],[Risiko-id]],Risikolog[[Risiko-id]:[Mitigerende tiltag]],5)=0,"",VLOOKUP(Table2468717[[#This Row],[Risiko-id]],Risikolog[[Risiko-id]:[Mitigerende tiltag]],5)))</f>
        <v/>
      </c>
      <c r="D30" s="120" t="str">
        <f>IFERROR(IF(VLOOKUP(Table2468717[[#This Row],[Risiko-id]],Risikolog[[Risiko-id]:[Mitigerende tiltag]],6)=0,"",VLOOKUP(Table2468717[[#This Row],[Risiko-id]],Risikolog[[Risiko-id]:[Mitigerende tiltag]],6)),"")</f>
        <v/>
      </c>
      <c r="E30" s="109" t="str">
        <f>IFERROR(VLOOKUP(Table2468717[[#This Row],[Risiko-id]],Risikolog[[Risiko-id]:[Mitigerende tiltag]],7),"")</f>
        <v/>
      </c>
      <c r="F30" s="109" t="str">
        <f>IF(Table2468717[[#This Row],[Risiko-id]]="","",VLOOKUP(Table2468717[[#This Row],[Risiko-id]],Risikolog[[Risiko-id]:[Mitigerende tiltag]],8))</f>
        <v/>
      </c>
      <c r="G30" s="109" t="str">
        <f>IFERROR(Table2468717[[#This Row],[Sandsynlighed]]*Table2468717[[#This Row],[Konsekvens]],"")</f>
        <v/>
      </c>
      <c r="H30" s="121" t="str">
        <f>IFERROR(IF(VLOOKUP(Table2468717[[#This Row],[Risiko-id]],Risikolog[[Risiko-id]:[Mitigerende tiltag]],10)=0,"",VLOOKUP(Table2468717[[#This Row],[Risiko-id]],Risikolog[[Risiko-id]:[Mitigerende tiltag]],10)),"")</f>
        <v/>
      </c>
      <c r="I30" s="122" t="str">
        <f>IFERROR(IF(VLOOKUP(Table2468717[[#This Row],[Risiko-id]],Risikolog[[Risiko-id]:[Mitigerende tiltag]],13)=0,"",VLOOKUP(Table2468717[[#This Row],[Risiko-id]],Risikolog[[Risiko-id]:[Mitigerende tiltag]],13)),"")</f>
        <v/>
      </c>
      <c r="J30" s="122" t="str">
        <f>IFERROR(IF(VLOOKUP(Table2468717[[#This Row],[Risiko-id]],Risikolog[[Risiko-id]:[Status]],14)=0,"",VLOOKUP(Table2468717[[#This Row],[Risiko-id]],Risikolog[[Risiko-id]:[Status]],14)),"")</f>
        <v/>
      </c>
      <c r="K30" s="122" t="str">
        <f>IFERROR(IF(VLOOKUP(Table2468717[[#This Row],[Risiko-id]],Risikolog[[Risiko-id]:[Beredskabsplan hvis risiko indtræffer]],20)=0,"",VLOOKUP(Table2468717[[#This Row],[Risiko-id]],Risikolog[[Risiko-id]:[Beredskabsplan hvis risiko indtræffer]],20)),"")</f>
        <v/>
      </c>
      <c r="L30" s="122" t="str">
        <f>IFERROR(IF(VLOOKUP(Table2468717[[#This Row],[Risiko-id]],Risikolog[[Risiko-id]:[Mitigerende tiltag]],12)=0,"",VLOOKUP(Table2468717[[#This Row],[Risiko-id]],Risikolog[[Risiko-id]:[Mitigerende tiltag]],12)),"")</f>
        <v/>
      </c>
    </row>
    <row r="31" spans="2:13" x14ac:dyDescent="0.2">
      <c r="B31" s="119" t="str">
        <f>Styringsgrundlag!M12</f>
        <v/>
      </c>
      <c r="C31" s="120" t="str">
        <f>IF(Table2468717[[#This Row],[Risiko-id]]="","",IF(VLOOKUP(Table2468717[[#This Row],[Risiko-id]],Risikolog[[Risiko-id]:[Mitigerende tiltag]],5)=0,"",VLOOKUP(Table2468717[[#This Row],[Risiko-id]],Risikolog[[Risiko-id]:[Mitigerende tiltag]],5)))</f>
        <v/>
      </c>
      <c r="D31" s="120" t="str">
        <f>IFERROR(IF(VLOOKUP(Table2468717[[#This Row],[Risiko-id]],Risikolog[[Risiko-id]:[Mitigerende tiltag]],6)=0,"",VLOOKUP(Table2468717[[#This Row],[Risiko-id]],Risikolog[[Risiko-id]:[Mitigerende tiltag]],6)),"")</f>
        <v/>
      </c>
      <c r="E31" s="109" t="str">
        <f>IFERROR(VLOOKUP(Table2468717[[#This Row],[Risiko-id]],Risikolog[[Risiko-id]:[Mitigerende tiltag]],7),"")</f>
        <v/>
      </c>
      <c r="F31" s="109" t="str">
        <f>IF(Table2468717[[#This Row],[Risiko-id]]="","",VLOOKUP(Table2468717[[#This Row],[Risiko-id]],Risikolog[[Risiko-id]:[Mitigerende tiltag]],8))</f>
        <v/>
      </c>
      <c r="G31" s="109" t="str">
        <f>IFERROR(Table2468717[[#This Row],[Sandsynlighed]]*Table2468717[[#This Row],[Konsekvens]],"")</f>
        <v/>
      </c>
      <c r="H31" s="121" t="str">
        <f>IFERROR(IF(VLOOKUP(Table2468717[[#This Row],[Risiko-id]],Risikolog[[Risiko-id]:[Mitigerende tiltag]],10)=0,"",VLOOKUP(Table2468717[[#This Row],[Risiko-id]],Risikolog[[Risiko-id]:[Mitigerende tiltag]],10)),"")</f>
        <v/>
      </c>
      <c r="I31" s="122" t="str">
        <f>IFERROR(IF(VLOOKUP(Table2468717[[#This Row],[Risiko-id]],Risikolog[[Risiko-id]:[Mitigerende tiltag]],13)=0,"",VLOOKUP(Table2468717[[#This Row],[Risiko-id]],Risikolog[[Risiko-id]:[Mitigerende tiltag]],13)),"")</f>
        <v/>
      </c>
      <c r="J31" s="122" t="str">
        <f>IFERROR(IF(VLOOKUP(Table2468717[[#This Row],[Risiko-id]],Risikolog[[Risiko-id]:[Status]],14)=0,"",VLOOKUP(Table2468717[[#This Row],[Risiko-id]],Risikolog[[Risiko-id]:[Status]],14)),"")</f>
        <v/>
      </c>
      <c r="K31" s="122" t="str">
        <f>IFERROR(IF(VLOOKUP(Table2468717[[#This Row],[Risiko-id]],Risikolog[[Risiko-id]:[Beredskabsplan hvis risiko indtræffer]],20)=0,"",VLOOKUP(Table2468717[[#This Row],[Risiko-id]],Risikolog[[Risiko-id]:[Beredskabsplan hvis risiko indtræffer]],20)),"")</f>
        <v/>
      </c>
      <c r="L31" s="122" t="str">
        <f>IFERROR(IF(VLOOKUP(Table2468717[[#This Row],[Risiko-id]],Risikolog[[Risiko-id]:[Mitigerende tiltag]],12)=0,"",VLOOKUP(Table2468717[[#This Row],[Risiko-id]],Risikolog[[Risiko-id]:[Mitigerende tiltag]],12)),"")</f>
        <v/>
      </c>
    </row>
    <row r="32" spans="2:13" x14ac:dyDescent="0.2">
      <c r="B32" s="119" t="str">
        <f>Styringsgrundlag!M13</f>
        <v/>
      </c>
      <c r="C32" s="120" t="str">
        <f>IF(Table2468717[[#This Row],[Risiko-id]]="","",IF(VLOOKUP(Table2468717[[#This Row],[Risiko-id]],Risikolog[[Risiko-id]:[Mitigerende tiltag]],5)=0,"",VLOOKUP(Table2468717[[#This Row],[Risiko-id]],Risikolog[[Risiko-id]:[Mitigerende tiltag]],5)))</f>
        <v/>
      </c>
      <c r="D32" s="120" t="str">
        <f>IFERROR(IF(VLOOKUP(Table2468717[[#This Row],[Risiko-id]],Risikolog[[Risiko-id]:[Mitigerende tiltag]],6)=0,"",VLOOKUP(Table2468717[[#This Row],[Risiko-id]],Risikolog[[Risiko-id]:[Mitigerende tiltag]],6)),"")</f>
        <v/>
      </c>
      <c r="E32" s="109" t="str">
        <f>IFERROR(VLOOKUP(Table2468717[[#This Row],[Risiko-id]],Risikolog[[Risiko-id]:[Mitigerende tiltag]],7),"")</f>
        <v/>
      </c>
      <c r="F32" s="109" t="str">
        <f>IF(Table2468717[[#This Row],[Risiko-id]]="","",VLOOKUP(Table2468717[[#This Row],[Risiko-id]],Risikolog[[Risiko-id]:[Mitigerende tiltag]],8))</f>
        <v/>
      </c>
      <c r="G32" s="109" t="str">
        <f>IFERROR(Table2468717[[#This Row],[Sandsynlighed]]*Table2468717[[#This Row],[Konsekvens]],"")</f>
        <v/>
      </c>
      <c r="H32" s="121" t="str">
        <f>IFERROR(IF(VLOOKUP(Table2468717[[#This Row],[Risiko-id]],Risikolog[[Risiko-id]:[Mitigerende tiltag]],10)=0,"",VLOOKUP(Table2468717[[#This Row],[Risiko-id]],Risikolog[[Risiko-id]:[Mitigerende tiltag]],10)),"")</f>
        <v/>
      </c>
      <c r="I32" s="122" t="str">
        <f>IFERROR(IF(VLOOKUP(Table2468717[[#This Row],[Risiko-id]],Risikolog[[Risiko-id]:[Mitigerende tiltag]],13)=0,"",VLOOKUP(Table2468717[[#This Row],[Risiko-id]],Risikolog[[Risiko-id]:[Mitigerende tiltag]],13)),"")</f>
        <v/>
      </c>
      <c r="J32" s="122" t="str">
        <f>IFERROR(IF(VLOOKUP(Table2468717[[#This Row],[Risiko-id]],Risikolog[[Risiko-id]:[Status]],14)=0,"",VLOOKUP(Table2468717[[#This Row],[Risiko-id]],Risikolog[[Risiko-id]:[Status]],14)),"")</f>
        <v/>
      </c>
      <c r="K32" s="122" t="str">
        <f>IFERROR(IF(VLOOKUP(Table2468717[[#This Row],[Risiko-id]],Risikolog[[Risiko-id]:[Beredskabsplan hvis risiko indtræffer]],20)=0,"",VLOOKUP(Table2468717[[#This Row],[Risiko-id]],Risikolog[[Risiko-id]:[Beredskabsplan hvis risiko indtræffer]],20)),"")</f>
        <v/>
      </c>
      <c r="L32" s="122" t="str">
        <f>IFERROR(IF(VLOOKUP(Table2468717[[#This Row],[Risiko-id]],Risikolog[[Risiko-id]:[Mitigerende tiltag]],12)=0,"",VLOOKUP(Table2468717[[#This Row],[Risiko-id]],Risikolog[[Risiko-id]:[Mitigerende tiltag]],12)),"")</f>
        <v/>
      </c>
    </row>
    <row r="33" spans="2:12" x14ac:dyDescent="0.2">
      <c r="B33" s="119" t="str">
        <f>Styringsgrundlag!M14</f>
        <v/>
      </c>
      <c r="C33" s="120" t="str">
        <f>IF(Table2468717[[#This Row],[Risiko-id]]="","",IF(VLOOKUP(Table2468717[[#This Row],[Risiko-id]],Risikolog[[Risiko-id]:[Mitigerende tiltag]],5)=0,"",VLOOKUP(Table2468717[[#This Row],[Risiko-id]],Risikolog[[Risiko-id]:[Mitigerende tiltag]],5)))</f>
        <v/>
      </c>
      <c r="D33" s="120" t="str">
        <f>IFERROR(IF(VLOOKUP(Table2468717[[#This Row],[Risiko-id]],Risikolog[[Risiko-id]:[Mitigerende tiltag]],6)=0,"",VLOOKUP(Table2468717[[#This Row],[Risiko-id]],Risikolog[[Risiko-id]:[Mitigerende tiltag]],6)),"")</f>
        <v/>
      </c>
      <c r="E33" s="109" t="str">
        <f>IFERROR(VLOOKUP(Table2468717[[#This Row],[Risiko-id]],Risikolog[[Risiko-id]:[Mitigerende tiltag]],7),"")</f>
        <v/>
      </c>
      <c r="F33" s="109" t="str">
        <f>IF(Table2468717[[#This Row],[Risiko-id]]="","",VLOOKUP(Table2468717[[#This Row],[Risiko-id]],Risikolog[[Risiko-id]:[Mitigerende tiltag]],8))</f>
        <v/>
      </c>
      <c r="G33" s="109" t="str">
        <f>IFERROR(Table2468717[[#This Row],[Sandsynlighed]]*Table2468717[[#This Row],[Konsekvens]],"")</f>
        <v/>
      </c>
      <c r="H33" s="121" t="str">
        <f>IFERROR(IF(VLOOKUP(Table2468717[[#This Row],[Risiko-id]],Risikolog[[Risiko-id]:[Mitigerende tiltag]],10)=0,"",VLOOKUP(Table2468717[[#This Row],[Risiko-id]],Risikolog[[Risiko-id]:[Mitigerende tiltag]],10)),"")</f>
        <v/>
      </c>
      <c r="I33" s="122" t="str">
        <f>IFERROR(IF(VLOOKUP(Table2468717[[#This Row],[Risiko-id]],Risikolog[[Risiko-id]:[Mitigerende tiltag]],13)=0,"",VLOOKUP(Table2468717[[#This Row],[Risiko-id]],Risikolog[[Risiko-id]:[Mitigerende tiltag]],13)),"")</f>
        <v/>
      </c>
      <c r="J33" s="122" t="str">
        <f>IFERROR(IF(VLOOKUP(Table2468717[[#This Row],[Risiko-id]],Risikolog[[Risiko-id]:[Status]],14)=0,"",VLOOKUP(Table2468717[[#This Row],[Risiko-id]],Risikolog[[Risiko-id]:[Status]],14)),"")</f>
        <v/>
      </c>
      <c r="K33" s="122" t="str">
        <f>IFERROR(IF(VLOOKUP(Table2468717[[#This Row],[Risiko-id]],Risikolog[[Risiko-id]:[Beredskabsplan hvis risiko indtræffer]],20)=0,"",VLOOKUP(Table2468717[[#This Row],[Risiko-id]],Risikolog[[Risiko-id]:[Beredskabsplan hvis risiko indtræffer]],20)),"")</f>
        <v/>
      </c>
      <c r="L33" s="122" t="str">
        <f>IFERROR(IF(VLOOKUP(Table2468717[[#This Row],[Risiko-id]],Risikolog[[Risiko-id]:[Mitigerende tiltag]],12)=0,"",VLOOKUP(Table2468717[[#This Row],[Risiko-id]],Risikolog[[Risiko-id]:[Mitigerende tiltag]],12)),"")</f>
        <v/>
      </c>
    </row>
    <row r="34" spans="2:12" x14ac:dyDescent="0.2">
      <c r="B34" s="119" t="str">
        <f>Styringsgrundlag!M15</f>
        <v/>
      </c>
      <c r="C34" s="120" t="str">
        <f>IF(Table2468717[[#This Row],[Risiko-id]]="","",IF(VLOOKUP(Table2468717[[#This Row],[Risiko-id]],Risikolog[[Risiko-id]:[Mitigerende tiltag]],5)=0,"",VLOOKUP(Table2468717[[#This Row],[Risiko-id]],Risikolog[[Risiko-id]:[Mitigerende tiltag]],5)))</f>
        <v/>
      </c>
      <c r="D34" s="120" t="str">
        <f>IFERROR(IF(VLOOKUP(Table2468717[[#This Row],[Risiko-id]],Risikolog[[Risiko-id]:[Mitigerende tiltag]],6)=0,"",VLOOKUP(Table2468717[[#This Row],[Risiko-id]],Risikolog[[Risiko-id]:[Mitigerende tiltag]],6)),"")</f>
        <v/>
      </c>
      <c r="E34" s="109" t="str">
        <f>IFERROR(VLOOKUP(Table2468717[[#This Row],[Risiko-id]],Risikolog[[Risiko-id]:[Mitigerende tiltag]],7),"")</f>
        <v/>
      </c>
      <c r="F34" s="109" t="str">
        <f>IF(Table2468717[[#This Row],[Risiko-id]]="","",VLOOKUP(Table2468717[[#This Row],[Risiko-id]],Risikolog[[Risiko-id]:[Mitigerende tiltag]],8))</f>
        <v/>
      </c>
      <c r="G34" s="109" t="str">
        <f>IFERROR(Table2468717[[#This Row],[Sandsynlighed]]*Table2468717[[#This Row],[Konsekvens]],"")</f>
        <v/>
      </c>
      <c r="H34" s="121" t="str">
        <f>IFERROR(IF(VLOOKUP(Table2468717[[#This Row],[Risiko-id]],Risikolog[[Risiko-id]:[Mitigerende tiltag]],10)=0,"",VLOOKUP(Table2468717[[#This Row],[Risiko-id]],Risikolog[[Risiko-id]:[Mitigerende tiltag]],10)),"")</f>
        <v/>
      </c>
      <c r="I34" s="122" t="str">
        <f>IFERROR(IF(VLOOKUP(Table2468717[[#This Row],[Risiko-id]],Risikolog[[Risiko-id]:[Mitigerende tiltag]],13)=0,"",VLOOKUP(Table2468717[[#This Row],[Risiko-id]],Risikolog[[Risiko-id]:[Mitigerende tiltag]],13)),"")</f>
        <v/>
      </c>
      <c r="J34" s="122" t="str">
        <f>IFERROR(IF(VLOOKUP(Table2468717[[#This Row],[Risiko-id]],Risikolog[[Risiko-id]:[Status]],14)=0,"",VLOOKUP(Table2468717[[#This Row],[Risiko-id]],Risikolog[[Risiko-id]:[Status]],14)),"")</f>
        <v/>
      </c>
      <c r="K34" s="122" t="str">
        <f>IFERROR(IF(VLOOKUP(Table2468717[[#This Row],[Risiko-id]],Risikolog[[Risiko-id]:[Beredskabsplan hvis risiko indtræffer]],20)=0,"",VLOOKUP(Table2468717[[#This Row],[Risiko-id]],Risikolog[[Risiko-id]:[Beredskabsplan hvis risiko indtræffer]],20)),"")</f>
        <v/>
      </c>
      <c r="L34" s="122" t="str">
        <f>IFERROR(IF(VLOOKUP(Table2468717[[#This Row],[Risiko-id]],Risikolog[[Risiko-id]:[Mitigerende tiltag]],12)=0,"",VLOOKUP(Table2468717[[#This Row],[Risiko-id]],Risikolog[[Risiko-id]:[Mitigerende tiltag]],12)),"")</f>
        <v/>
      </c>
    </row>
    <row r="35" spans="2:12" x14ac:dyDescent="0.2">
      <c r="B35" s="119" t="str">
        <f>Styringsgrundlag!M16</f>
        <v/>
      </c>
      <c r="C35" s="120" t="str">
        <f>IF(Table2468717[[#This Row],[Risiko-id]]="","",IF(VLOOKUP(Table2468717[[#This Row],[Risiko-id]],Risikolog[[Risiko-id]:[Mitigerende tiltag]],5)=0,"",VLOOKUP(Table2468717[[#This Row],[Risiko-id]],Risikolog[[Risiko-id]:[Mitigerende tiltag]],5)))</f>
        <v/>
      </c>
      <c r="D35" s="120" t="str">
        <f>IFERROR(IF(VLOOKUP(Table2468717[[#This Row],[Risiko-id]],Risikolog[[Risiko-id]:[Mitigerende tiltag]],6)=0,"",VLOOKUP(Table2468717[[#This Row],[Risiko-id]],Risikolog[[Risiko-id]:[Mitigerende tiltag]],6)),"")</f>
        <v/>
      </c>
      <c r="E35" s="109" t="str">
        <f>IFERROR(VLOOKUP(Table2468717[[#This Row],[Risiko-id]],Risikolog[[Risiko-id]:[Mitigerende tiltag]],7),"")</f>
        <v/>
      </c>
      <c r="F35" s="109" t="str">
        <f>IF(Table2468717[[#This Row],[Risiko-id]]="","",VLOOKUP(Table2468717[[#This Row],[Risiko-id]],Risikolog[[Risiko-id]:[Mitigerende tiltag]],8))</f>
        <v/>
      </c>
      <c r="G35" s="109" t="str">
        <f>IFERROR(Table2468717[[#This Row],[Sandsynlighed]]*Table2468717[[#This Row],[Konsekvens]],"")</f>
        <v/>
      </c>
      <c r="H35" s="121" t="str">
        <f>IFERROR(IF(VLOOKUP(Table2468717[[#This Row],[Risiko-id]],Risikolog[[Risiko-id]:[Mitigerende tiltag]],10)=0,"",VLOOKUP(Table2468717[[#This Row],[Risiko-id]],Risikolog[[Risiko-id]:[Mitigerende tiltag]],10)),"")</f>
        <v/>
      </c>
      <c r="I35" s="122" t="str">
        <f>IFERROR(IF(VLOOKUP(Table2468717[[#This Row],[Risiko-id]],Risikolog[[Risiko-id]:[Mitigerende tiltag]],13)=0,"",VLOOKUP(Table2468717[[#This Row],[Risiko-id]],Risikolog[[Risiko-id]:[Mitigerende tiltag]],13)),"")</f>
        <v/>
      </c>
      <c r="J35" s="122" t="str">
        <f>IFERROR(IF(VLOOKUP(Table2468717[[#This Row],[Risiko-id]],Risikolog[[Risiko-id]:[Status]],14)=0,"",VLOOKUP(Table2468717[[#This Row],[Risiko-id]],Risikolog[[Risiko-id]:[Status]],14)),"")</f>
        <v/>
      </c>
      <c r="K35" s="122" t="str">
        <f>IFERROR(IF(VLOOKUP(Table2468717[[#This Row],[Risiko-id]],Risikolog[[Risiko-id]:[Beredskabsplan hvis risiko indtræffer]],20)=0,"",VLOOKUP(Table2468717[[#This Row],[Risiko-id]],Risikolog[[Risiko-id]:[Beredskabsplan hvis risiko indtræffer]],20)),"")</f>
        <v/>
      </c>
      <c r="L35" s="122" t="str">
        <f>IFERROR(IF(VLOOKUP(Table2468717[[#This Row],[Risiko-id]],Risikolog[[Risiko-id]:[Mitigerende tiltag]],12)=0,"",VLOOKUP(Table2468717[[#This Row],[Risiko-id]],Risikolog[[Risiko-id]:[Mitigerende tiltag]],12)),"")</f>
        <v/>
      </c>
    </row>
    <row r="36" spans="2:12" x14ac:dyDescent="0.2"/>
    <row r="37" spans="2:12" x14ac:dyDescent="0.2"/>
  </sheetData>
  <sheetProtection sheet="1" objects="1" scenarios="1" formatCells="0" formatColumns="0" formatRows="0"/>
  <pageMargins left="0.7" right="0.7" top="0.75" bottom="0.75" header="0.3" footer="0.3"/>
  <pageSetup paperSize="9" scale="63"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6"/>
  <sheetViews>
    <sheetView zoomScaleNormal="100" workbookViewId="0">
      <selection activeCell="K17" sqref="K17"/>
    </sheetView>
  </sheetViews>
  <sheetFormatPr defaultColWidth="0" defaultRowHeight="14.25" zeroHeight="1" outlineLevelRow="1" x14ac:dyDescent="0.2"/>
  <cols>
    <col min="1" max="1" width="9" style="71" customWidth="1"/>
    <col min="2" max="2" width="6.75" style="71" customWidth="1"/>
    <col min="3" max="3" width="27.125" style="71" customWidth="1"/>
    <col min="4" max="4" width="26.125" style="71" customWidth="1"/>
    <col min="5" max="5" width="14.625" style="71" customWidth="1"/>
    <col min="6" max="6" width="15.125" style="71" customWidth="1"/>
    <col min="7" max="7" width="15.75" style="71" customWidth="1"/>
    <col min="8" max="8" width="13" style="71" customWidth="1"/>
    <col min="9" max="9" width="26.125" style="71" customWidth="1"/>
    <col min="10" max="10" width="14.875" style="71" customWidth="1"/>
    <col min="11" max="11" width="17.625" style="71" customWidth="1"/>
    <col min="12" max="12" width="9" style="71" customWidth="1"/>
    <col min="13" max="13" width="17.625" style="71" customWidth="1"/>
    <col min="14" max="16384" width="9" style="71" hidden="1"/>
  </cols>
  <sheetData>
    <row r="1" spans="2:13" x14ac:dyDescent="0.2"/>
    <row r="2" spans="2:13" ht="39" x14ac:dyDescent="0.6">
      <c r="B2" s="72" t="s">
        <v>106</v>
      </c>
    </row>
    <row r="3" spans="2:13" outlineLevel="1" x14ac:dyDescent="0.2">
      <c r="B3" s="71" t="s">
        <v>197</v>
      </c>
    </row>
    <row r="4" spans="2:13" ht="15" x14ac:dyDescent="0.25">
      <c r="B4" s="75"/>
      <c r="D4" s="74"/>
      <c r="E4" s="74"/>
      <c r="F4" s="74"/>
      <c r="G4" s="74"/>
      <c r="H4" s="74"/>
      <c r="I4" s="74"/>
      <c r="J4" s="74"/>
      <c r="K4" s="74"/>
    </row>
    <row r="5" spans="2:13" ht="15" x14ac:dyDescent="0.25">
      <c r="B5" s="75" t="s">
        <v>76</v>
      </c>
      <c r="D5" s="74"/>
      <c r="E5" s="74"/>
      <c r="F5" s="74"/>
      <c r="G5" s="74"/>
      <c r="H5" s="74"/>
      <c r="I5" s="74"/>
      <c r="J5" s="74"/>
      <c r="K5" s="74"/>
      <c r="L5" s="125"/>
    </row>
    <row r="6" spans="2:13" ht="38.25" x14ac:dyDescent="0.2">
      <c r="B6" s="111" t="s">
        <v>40</v>
      </c>
      <c r="C6" s="111" t="s">
        <v>71</v>
      </c>
      <c r="D6" s="111" t="s">
        <v>96</v>
      </c>
      <c r="E6" s="111" t="s">
        <v>72</v>
      </c>
      <c r="F6" s="111" t="s">
        <v>66</v>
      </c>
      <c r="G6" s="111" t="s">
        <v>64</v>
      </c>
      <c r="H6" s="111" t="s">
        <v>65</v>
      </c>
      <c r="I6" s="111" t="s">
        <v>69</v>
      </c>
      <c r="J6" s="111" t="s">
        <v>161</v>
      </c>
      <c r="K6" s="111" t="s">
        <v>70</v>
      </c>
      <c r="L6" s="111" t="s">
        <v>59</v>
      </c>
      <c r="M6" s="124"/>
    </row>
    <row r="7" spans="2:13" ht="15" x14ac:dyDescent="0.2">
      <c r="B7" s="144">
        <v>1</v>
      </c>
      <c r="C7" s="120" t="str">
        <f>IF(VLOOKUP(Table24614[[#This Row],[Risiko-id]],Risikolog[[Risiko-id]:[Mitigerende tiltag]],5)=0,"",VLOOKUP(Table24614[[#This Row],[Risiko-id]],Risikolog[[Risiko-id]:[Mitigerende tiltag]],5))</f>
        <v/>
      </c>
      <c r="D7" s="120" t="str">
        <f>IF(VLOOKUP(Table24614[[#This Row],[Risiko-id]],Risikolog[[Risiko-id]:[Mitigerende tiltag]],5)=0,"",VLOOKUP(Table24614[[#This Row],[Risiko-id]],Risikolog[[Risiko-id]:[Mitigerende tiltag]],6))</f>
        <v/>
      </c>
      <c r="E7" s="109">
        <f>VLOOKUP(Table24614[[#This Row],[Risiko-id]],Risikolog[[Risiko-id]:[Mitigerende tiltag]],7)</f>
        <v>0</v>
      </c>
      <c r="F7" s="109">
        <f>VLOOKUP(Table24614[[#This Row],[Risiko-id]],Risikolog[[Risiko-id]:[Mitigerende tiltag]],8)</f>
        <v>0</v>
      </c>
      <c r="G7" s="109">
        <f>Table24614[[#This Row],[Sandsynlighed]]*Table24614[[#This Row],[Konsekvens]]</f>
        <v>0</v>
      </c>
      <c r="H7" s="121" t="str">
        <f>IF(VLOOKUP(Table24614[[#This Row],[Risiko-id]],Risikolog[[Risiko-id]:[Mitigerende tiltag]],10)=0,"",VLOOKUP(Table24614[[#This Row],[Risiko-id]],Risikolog[[Risiko-id]:[Mitigerende tiltag]],10))</f>
        <v/>
      </c>
      <c r="I7" s="122" t="str">
        <f>IF(VLOOKUP(Table24614[[#This Row],[Risiko-id]],Risikolog[[Risiko-id]:[Mitigerende tiltag]],13)=0,"",VLOOKUP(Table24614[[#This Row],[Risiko-id]],Risikolog[[Risiko-id]:[Mitigerende tiltag]],13))</f>
        <v/>
      </c>
      <c r="J7" s="122" t="str">
        <f>IF(VLOOKUP(Table24614[[#This Row],[Risiko-id]],Risikolog[[Risiko-id]:[Status]],14)=0,"",VLOOKUP(Table24614[[#This Row],[Risiko-id]],Risikolog[[Risiko-id]:[Status]],14))</f>
        <v/>
      </c>
      <c r="K7" s="122" t="str">
        <f>IF(VLOOKUP(Table24614[[#This Row],[Risiko-id]],Risikolog[[Risiko-id]:[Beredskabsplan hvis risiko indtræffer]],20)=0,"",VLOOKUP(Table24614[[#This Row],[Risiko-id]],Risikolog[[Risiko-id]:[Beredskabsplan hvis risiko indtræffer]],20))</f>
        <v/>
      </c>
      <c r="L7" s="122" t="str">
        <f>IF(VLOOKUP(Table24614[[#This Row],[Risiko-id]],Risikolog[[Risiko-id]:[Mitigerende tiltag]],12)=0,"",VLOOKUP(Table24614[[#This Row],[Risiko-id]],Risikolog[[Risiko-id]:[Mitigerende tiltag]],12))</f>
        <v/>
      </c>
      <c r="M7" s="124"/>
    </row>
    <row r="8" spans="2:13" ht="15" x14ac:dyDescent="0.2">
      <c r="B8" s="144">
        <v>2</v>
      </c>
      <c r="C8" s="120" t="str">
        <f>IF(VLOOKUP(Table24614[[#This Row],[Risiko-id]],Risikolog[[Risiko-id]:[Mitigerende tiltag]],5)=0,"",VLOOKUP(Table24614[[#This Row],[Risiko-id]],Risikolog[[Risiko-id]:[Mitigerende tiltag]],5))</f>
        <v/>
      </c>
      <c r="D8" s="120" t="str">
        <f>IF(VLOOKUP(Table24614[[#This Row],[Risiko-id]],Risikolog[[Risiko-id]:[Mitigerende tiltag]],5)=0,"",VLOOKUP(Table24614[[#This Row],[Risiko-id]],Risikolog[[Risiko-id]:[Mitigerende tiltag]],6))</f>
        <v/>
      </c>
      <c r="E8" s="109">
        <f>VLOOKUP(Table24614[[#This Row],[Risiko-id]],Risikolog[[Risiko-id]:[Mitigerende tiltag]],7)</f>
        <v>0</v>
      </c>
      <c r="F8" s="109">
        <f>VLOOKUP(Table24614[[#This Row],[Risiko-id]],Risikolog[[Risiko-id]:[Mitigerende tiltag]],8)</f>
        <v>0</v>
      </c>
      <c r="G8" s="109">
        <f>Table24614[[#This Row],[Sandsynlighed]]*Table24614[[#This Row],[Konsekvens]]</f>
        <v>0</v>
      </c>
      <c r="H8" s="121" t="str">
        <f>IF(VLOOKUP(Table24614[[#This Row],[Risiko-id]],Risikolog[[Risiko-id]:[Mitigerende tiltag]],10)=0,"",VLOOKUP(Table24614[[#This Row],[Risiko-id]],Risikolog[[Risiko-id]:[Mitigerende tiltag]],10))</f>
        <v/>
      </c>
      <c r="I8" s="122" t="str">
        <f>IF(VLOOKUP(Table24614[[#This Row],[Risiko-id]],Risikolog[[Risiko-id]:[Mitigerende tiltag]],13)=0,"",VLOOKUP(Table24614[[#This Row],[Risiko-id]],Risikolog[[Risiko-id]:[Mitigerende tiltag]],13))</f>
        <v/>
      </c>
      <c r="J8" s="122" t="str">
        <f>IF(VLOOKUP(Table24614[[#This Row],[Risiko-id]],Risikolog[[Risiko-id]:[Status]],14)=0,"",VLOOKUP(Table24614[[#This Row],[Risiko-id]],Risikolog[[Risiko-id]:[Status]],14))</f>
        <v/>
      </c>
      <c r="K8" s="122" t="str">
        <f>IF(VLOOKUP(Table24614[[#This Row],[Risiko-id]],Risikolog[[Risiko-id]:[Beredskabsplan hvis risiko indtræffer]],20)=0,"",VLOOKUP(Table24614[[#This Row],[Risiko-id]],Risikolog[[Risiko-id]:[Beredskabsplan hvis risiko indtræffer]],20))</f>
        <v/>
      </c>
      <c r="L8" s="122" t="str">
        <f>IF(VLOOKUP(Table24614[[#This Row],[Risiko-id]],Risikolog[[Risiko-id]:[Mitigerende tiltag]],12)=0,"",VLOOKUP(Table24614[[#This Row],[Risiko-id]],Risikolog[[Risiko-id]:[Mitigerende tiltag]],12))</f>
        <v/>
      </c>
      <c r="M8" s="124"/>
    </row>
    <row r="9" spans="2:13" ht="15" x14ac:dyDescent="0.2">
      <c r="B9" s="144">
        <v>3</v>
      </c>
      <c r="C9" s="120" t="str">
        <f>IF(VLOOKUP(Table24614[[#This Row],[Risiko-id]],Risikolog[[Risiko-id]:[Mitigerende tiltag]],5)=0,"",VLOOKUP(Table24614[[#This Row],[Risiko-id]],Risikolog[[Risiko-id]:[Mitigerende tiltag]],5))</f>
        <v/>
      </c>
      <c r="D9" s="120" t="str">
        <f>IF(VLOOKUP(Table24614[[#This Row],[Risiko-id]],Risikolog[[Risiko-id]:[Mitigerende tiltag]],5)=0,"",VLOOKUP(Table24614[[#This Row],[Risiko-id]],Risikolog[[Risiko-id]:[Mitigerende tiltag]],6))</f>
        <v/>
      </c>
      <c r="E9" s="109">
        <f>VLOOKUP(Table24614[[#This Row],[Risiko-id]],Risikolog[[Risiko-id]:[Mitigerende tiltag]],7)</f>
        <v>0</v>
      </c>
      <c r="F9" s="109">
        <f>VLOOKUP(Table24614[[#This Row],[Risiko-id]],Risikolog[[Risiko-id]:[Mitigerende tiltag]],8)</f>
        <v>0</v>
      </c>
      <c r="G9" s="109">
        <f>Table24614[[#This Row],[Sandsynlighed]]*Table24614[[#This Row],[Konsekvens]]</f>
        <v>0</v>
      </c>
      <c r="H9" s="121" t="str">
        <f>IF(VLOOKUP(Table24614[[#This Row],[Risiko-id]],Risikolog[[Risiko-id]:[Mitigerende tiltag]],10)=0,"",VLOOKUP(Table24614[[#This Row],[Risiko-id]],Risikolog[[Risiko-id]:[Mitigerende tiltag]],10))</f>
        <v/>
      </c>
      <c r="I9" s="122" t="str">
        <f>IF(VLOOKUP(Table24614[[#This Row],[Risiko-id]],Risikolog[[Risiko-id]:[Mitigerende tiltag]],13)=0,"",VLOOKUP(Table24614[[#This Row],[Risiko-id]],Risikolog[[Risiko-id]:[Mitigerende tiltag]],13))</f>
        <v/>
      </c>
      <c r="J9" s="122" t="str">
        <f>IF(VLOOKUP(Table24614[[#This Row],[Risiko-id]],Risikolog[[Risiko-id]:[Status]],14)=0,"",VLOOKUP(Table24614[[#This Row],[Risiko-id]],Risikolog[[Risiko-id]:[Status]],14))</f>
        <v/>
      </c>
      <c r="K9" s="122" t="str">
        <f>IF(VLOOKUP(Table24614[[#This Row],[Risiko-id]],Risikolog[[Risiko-id]:[Beredskabsplan hvis risiko indtræffer]],20)=0,"",VLOOKUP(Table24614[[#This Row],[Risiko-id]],Risikolog[[Risiko-id]:[Beredskabsplan hvis risiko indtræffer]],20))</f>
        <v/>
      </c>
      <c r="L9" s="122" t="str">
        <f>IF(VLOOKUP(Table24614[[#This Row],[Risiko-id]],Risikolog[[Risiko-id]:[Mitigerende tiltag]],12)=0,"",VLOOKUP(Table24614[[#This Row],[Risiko-id]],Risikolog[[Risiko-id]:[Mitigerende tiltag]],12))</f>
        <v/>
      </c>
      <c r="M9" s="124"/>
    </row>
    <row r="10" spans="2:13" ht="15" x14ac:dyDescent="0.2">
      <c r="B10" s="144">
        <v>4</v>
      </c>
      <c r="C10" s="120" t="str">
        <f>IF(VLOOKUP(Table24614[[#This Row],[Risiko-id]],Risikolog[[Risiko-id]:[Mitigerende tiltag]],5)=0,"",VLOOKUP(Table24614[[#This Row],[Risiko-id]],Risikolog[[Risiko-id]:[Mitigerende tiltag]],5))</f>
        <v/>
      </c>
      <c r="D10" s="120" t="str">
        <f>IF(VLOOKUP(Table24614[[#This Row],[Risiko-id]],Risikolog[[Risiko-id]:[Mitigerende tiltag]],5)=0,"",VLOOKUP(Table24614[[#This Row],[Risiko-id]],Risikolog[[Risiko-id]:[Mitigerende tiltag]],6))</f>
        <v/>
      </c>
      <c r="E10" s="109">
        <f>VLOOKUP(Table24614[[#This Row],[Risiko-id]],Risikolog[[Risiko-id]:[Mitigerende tiltag]],7)</f>
        <v>0</v>
      </c>
      <c r="F10" s="109">
        <f>VLOOKUP(Table24614[[#This Row],[Risiko-id]],Risikolog[[Risiko-id]:[Mitigerende tiltag]],8)</f>
        <v>0</v>
      </c>
      <c r="G10" s="109">
        <f>Table24614[[#This Row],[Sandsynlighed]]*Table24614[[#This Row],[Konsekvens]]</f>
        <v>0</v>
      </c>
      <c r="H10" s="121" t="str">
        <f>IF(VLOOKUP(Table24614[[#This Row],[Risiko-id]],Risikolog[[Risiko-id]:[Mitigerende tiltag]],10)=0,"",VLOOKUP(Table24614[[#This Row],[Risiko-id]],Risikolog[[Risiko-id]:[Mitigerende tiltag]],10))</f>
        <v/>
      </c>
      <c r="I10" s="122" t="str">
        <f>IF(VLOOKUP(Table24614[[#This Row],[Risiko-id]],Risikolog[[Risiko-id]:[Mitigerende tiltag]],13)=0,"",VLOOKUP(Table24614[[#This Row],[Risiko-id]],Risikolog[[Risiko-id]:[Mitigerende tiltag]],13))</f>
        <v/>
      </c>
      <c r="J10" s="122" t="str">
        <f>IF(VLOOKUP(Table24614[[#This Row],[Risiko-id]],Risikolog[[Risiko-id]:[Status]],14)=0,"",VLOOKUP(Table24614[[#This Row],[Risiko-id]],Risikolog[[Risiko-id]:[Status]],14))</f>
        <v/>
      </c>
      <c r="K10" s="122" t="str">
        <f>IF(VLOOKUP(Table24614[[#This Row],[Risiko-id]],Risikolog[[Risiko-id]:[Beredskabsplan hvis risiko indtræffer]],20)=0,"",VLOOKUP(Table24614[[#This Row],[Risiko-id]],Risikolog[[Risiko-id]:[Beredskabsplan hvis risiko indtræffer]],20))</f>
        <v/>
      </c>
      <c r="L10" s="122" t="str">
        <f>IF(VLOOKUP(Table24614[[#This Row],[Risiko-id]],Risikolog[[Risiko-id]:[Mitigerende tiltag]],12)=0,"",VLOOKUP(Table24614[[#This Row],[Risiko-id]],Risikolog[[Risiko-id]:[Mitigerende tiltag]],12))</f>
        <v/>
      </c>
      <c r="M10" s="124"/>
    </row>
    <row r="11" spans="2:13" x14ac:dyDescent="0.2">
      <c r="B11" s="144">
        <v>5</v>
      </c>
      <c r="C11" s="120" t="str">
        <f>IF(VLOOKUP(Table24614[[#This Row],[Risiko-id]],Risikolog[[Risiko-id]:[Mitigerende tiltag]],5)=0,"",VLOOKUP(Table24614[[#This Row],[Risiko-id]],Risikolog[[Risiko-id]:[Mitigerende tiltag]],5))</f>
        <v/>
      </c>
      <c r="D11" s="120" t="str">
        <f>IF(VLOOKUP(Table24614[[#This Row],[Risiko-id]],Risikolog[[Risiko-id]:[Mitigerende tiltag]],5)=0,"",VLOOKUP(Table24614[[#This Row],[Risiko-id]],Risikolog[[Risiko-id]:[Mitigerende tiltag]],6))</f>
        <v/>
      </c>
      <c r="E11" s="109">
        <f>VLOOKUP(Table24614[[#This Row],[Risiko-id]],Risikolog[[Risiko-id]:[Mitigerende tiltag]],7)</f>
        <v>0</v>
      </c>
      <c r="F11" s="109">
        <f>VLOOKUP(Table24614[[#This Row],[Risiko-id]],Risikolog[[Risiko-id]:[Mitigerende tiltag]],8)</f>
        <v>0</v>
      </c>
      <c r="G11" s="109">
        <f>Table24614[[#This Row],[Sandsynlighed]]*Table24614[[#This Row],[Konsekvens]]</f>
        <v>0</v>
      </c>
      <c r="H11" s="121" t="str">
        <f>IF(VLOOKUP(Table24614[[#This Row],[Risiko-id]],Risikolog[[Risiko-id]:[Mitigerende tiltag]],10)=0,"",VLOOKUP(Table24614[[#This Row],[Risiko-id]],Risikolog[[Risiko-id]:[Mitigerende tiltag]],10))</f>
        <v/>
      </c>
      <c r="I11" s="122" t="str">
        <f>IF(VLOOKUP(Table24614[[#This Row],[Risiko-id]],Risikolog[[Risiko-id]:[Mitigerende tiltag]],13)=0,"",VLOOKUP(Table24614[[#This Row],[Risiko-id]],Risikolog[[Risiko-id]:[Mitigerende tiltag]],13))</f>
        <v/>
      </c>
      <c r="J11" s="122" t="str">
        <f>IF(VLOOKUP(Table24614[[#This Row],[Risiko-id]],Risikolog[[Risiko-id]:[Status]],14)=0,"",VLOOKUP(Table24614[[#This Row],[Risiko-id]],Risikolog[[Risiko-id]:[Status]],14))</f>
        <v/>
      </c>
      <c r="K11" s="122" t="str">
        <f>IF(VLOOKUP(Table24614[[#This Row],[Risiko-id]],Risikolog[[Risiko-id]:[Beredskabsplan hvis risiko indtræffer]],20)=0,"",VLOOKUP(Table24614[[#This Row],[Risiko-id]],Risikolog[[Risiko-id]:[Beredskabsplan hvis risiko indtræffer]],20))</f>
        <v/>
      </c>
      <c r="L11" s="122" t="str">
        <f>IF(VLOOKUP(Table24614[[#This Row],[Risiko-id]],Risikolog[[Risiko-id]:[Mitigerende tiltag]],12)=0,"",VLOOKUP(Table24614[[#This Row],[Risiko-id]],Risikolog[[Risiko-id]:[Mitigerende tiltag]],12))</f>
        <v/>
      </c>
    </row>
    <row r="12" spans="2:13" x14ac:dyDescent="0.2">
      <c r="B12" s="144">
        <v>6</v>
      </c>
      <c r="C12" s="120" t="str">
        <f>IF(VLOOKUP(Table24614[[#This Row],[Risiko-id]],Risikolog[[Risiko-id]:[Mitigerende tiltag]],5)=0,"",VLOOKUP(Table24614[[#This Row],[Risiko-id]],Risikolog[[Risiko-id]:[Mitigerende tiltag]],5))</f>
        <v/>
      </c>
      <c r="D12" s="120" t="str">
        <f>IF(VLOOKUP(Table24614[[#This Row],[Risiko-id]],Risikolog[[Risiko-id]:[Mitigerende tiltag]],5)=0,"",VLOOKUP(Table24614[[#This Row],[Risiko-id]],Risikolog[[Risiko-id]:[Mitigerende tiltag]],6))</f>
        <v/>
      </c>
      <c r="E12" s="109">
        <f>VLOOKUP(Table24614[[#This Row],[Risiko-id]],Risikolog[[Risiko-id]:[Mitigerende tiltag]],7)</f>
        <v>0</v>
      </c>
      <c r="F12" s="109">
        <f>VLOOKUP(Table24614[[#This Row],[Risiko-id]],Risikolog[[Risiko-id]:[Mitigerende tiltag]],8)</f>
        <v>0</v>
      </c>
      <c r="G12" s="109">
        <f>Table24614[[#This Row],[Sandsynlighed]]*Table24614[[#This Row],[Konsekvens]]</f>
        <v>0</v>
      </c>
      <c r="H12" s="121" t="str">
        <f>IF(VLOOKUP(Table24614[[#This Row],[Risiko-id]],Risikolog[[Risiko-id]:[Mitigerende tiltag]],10)=0,"",VLOOKUP(Table24614[[#This Row],[Risiko-id]],Risikolog[[Risiko-id]:[Mitigerende tiltag]],10))</f>
        <v/>
      </c>
      <c r="I12" s="122" t="str">
        <f>IF(VLOOKUP(Table24614[[#This Row],[Risiko-id]],Risikolog[[Risiko-id]:[Mitigerende tiltag]],13)=0,"",VLOOKUP(Table24614[[#This Row],[Risiko-id]],Risikolog[[Risiko-id]:[Mitigerende tiltag]],13))</f>
        <v/>
      </c>
      <c r="J12" s="122" t="str">
        <f>IF(VLOOKUP(Table24614[[#This Row],[Risiko-id]],Risikolog[[Risiko-id]:[Status]],14)=0,"",VLOOKUP(Table24614[[#This Row],[Risiko-id]],Risikolog[[Risiko-id]:[Status]],14))</f>
        <v/>
      </c>
      <c r="K12" s="122" t="str">
        <f>IF(VLOOKUP(Table24614[[#This Row],[Risiko-id]],Risikolog[[Risiko-id]:[Beredskabsplan hvis risiko indtræffer]],20)=0,"",VLOOKUP(Table24614[[#This Row],[Risiko-id]],Risikolog[[Risiko-id]:[Beredskabsplan hvis risiko indtræffer]],20))</f>
        <v/>
      </c>
      <c r="L12" s="122" t="str">
        <f>IF(VLOOKUP(Table24614[[#This Row],[Risiko-id]],Risikolog[[Risiko-id]:[Mitigerende tiltag]],12)=0,"",VLOOKUP(Table24614[[#This Row],[Risiko-id]],Risikolog[[Risiko-id]:[Mitigerende tiltag]],12))</f>
        <v/>
      </c>
    </row>
    <row r="13" spans="2:13" x14ac:dyDescent="0.2">
      <c r="B13" s="144">
        <v>7</v>
      </c>
      <c r="C13" s="120" t="str">
        <f>IF(VLOOKUP(Table24614[[#This Row],[Risiko-id]],Risikolog[[Risiko-id]:[Mitigerende tiltag]],5)=0,"",VLOOKUP(Table24614[[#This Row],[Risiko-id]],Risikolog[[Risiko-id]:[Mitigerende tiltag]],5))</f>
        <v/>
      </c>
      <c r="D13" s="120" t="str">
        <f>IF(VLOOKUP(Table24614[[#This Row],[Risiko-id]],Risikolog[[Risiko-id]:[Mitigerende tiltag]],5)=0,"",VLOOKUP(Table24614[[#This Row],[Risiko-id]],Risikolog[[Risiko-id]:[Mitigerende tiltag]],6))</f>
        <v/>
      </c>
      <c r="E13" s="109">
        <f>VLOOKUP(Table24614[[#This Row],[Risiko-id]],Risikolog[[Risiko-id]:[Mitigerende tiltag]],7)</f>
        <v>0</v>
      </c>
      <c r="F13" s="109">
        <f>VLOOKUP(Table24614[[#This Row],[Risiko-id]],Risikolog[[Risiko-id]:[Mitigerende tiltag]],8)</f>
        <v>0</v>
      </c>
      <c r="G13" s="109">
        <f>Table24614[[#This Row],[Sandsynlighed]]*Table24614[[#This Row],[Konsekvens]]</f>
        <v>0</v>
      </c>
      <c r="H13" s="121" t="str">
        <f>IF(VLOOKUP(Table24614[[#This Row],[Risiko-id]],Risikolog[[Risiko-id]:[Mitigerende tiltag]],10)=0,"",VLOOKUP(Table24614[[#This Row],[Risiko-id]],Risikolog[[Risiko-id]:[Mitigerende tiltag]],10))</f>
        <v/>
      </c>
      <c r="I13" s="122" t="str">
        <f>IF(VLOOKUP(Table24614[[#This Row],[Risiko-id]],Risikolog[[Risiko-id]:[Mitigerende tiltag]],13)=0,"",VLOOKUP(Table24614[[#This Row],[Risiko-id]],Risikolog[[Risiko-id]:[Mitigerende tiltag]],13))</f>
        <v/>
      </c>
      <c r="J13" s="122" t="str">
        <f>IF(VLOOKUP(Table24614[[#This Row],[Risiko-id]],Risikolog[[Risiko-id]:[Status]],14)=0,"",VLOOKUP(Table24614[[#This Row],[Risiko-id]],Risikolog[[Risiko-id]:[Status]],14))</f>
        <v/>
      </c>
      <c r="K13" s="122" t="str">
        <f>IF(VLOOKUP(Table24614[[#This Row],[Risiko-id]],Risikolog[[Risiko-id]:[Beredskabsplan hvis risiko indtræffer]],20)=0,"",VLOOKUP(Table24614[[#This Row],[Risiko-id]],Risikolog[[Risiko-id]:[Beredskabsplan hvis risiko indtræffer]],20))</f>
        <v/>
      </c>
      <c r="L13" s="122" t="str">
        <f>IF(VLOOKUP(Table24614[[#This Row],[Risiko-id]],Risikolog[[Risiko-id]:[Mitigerende tiltag]],12)=0,"",VLOOKUP(Table24614[[#This Row],[Risiko-id]],Risikolog[[Risiko-id]:[Mitigerende tiltag]],12))</f>
        <v/>
      </c>
    </row>
    <row r="14" spans="2:13" x14ac:dyDescent="0.2">
      <c r="B14" s="144">
        <v>8</v>
      </c>
      <c r="C14" s="120" t="str">
        <f>IF(VLOOKUP(Table24614[[#This Row],[Risiko-id]],Risikolog[[Risiko-id]:[Mitigerende tiltag]],5)=0,"",VLOOKUP(Table24614[[#This Row],[Risiko-id]],Risikolog[[Risiko-id]:[Mitigerende tiltag]],5))</f>
        <v/>
      </c>
      <c r="D14" s="120" t="str">
        <f>IF(VLOOKUP(Table24614[[#This Row],[Risiko-id]],Risikolog[[Risiko-id]:[Mitigerende tiltag]],5)=0,"",VLOOKUP(Table24614[[#This Row],[Risiko-id]],Risikolog[[Risiko-id]:[Mitigerende tiltag]],6))</f>
        <v/>
      </c>
      <c r="E14" s="109">
        <f>VLOOKUP(Table24614[[#This Row],[Risiko-id]],Risikolog[[Risiko-id]:[Mitigerende tiltag]],7)</f>
        <v>0</v>
      </c>
      <c r="F14" s="109">
        <f>VLOOKUP(Table24614[[#This Row],[Risiko-id]],Risikolog[[Risiko-id]:[Mitigerende tiltag]],8)</f>
        <v>0</v>
      </c>
      <c r="G14" s="109">
        <f>Table24614[[#This Row],[Sandsynlighed]]*Table24614[[#This Row],[Konsekvens]]</f>
        <v>0</v>
      </c>
      <c r="H14" s="121" t="str">
        <f>IF(VLOOKUP(Table24614[[#This Row],[Risiko-id]],Risikolog[[Risiko-id]:[Mitigerende tiltag]],10)=0,"",VLOOKUP(Table24614[[#This Row],[Risiko-id]],Risikolog[[Risiko-id]:[Mitigerende tiltag]],10))</f>
        <v/>
      </c>
      <c r="I14" s="122" t="str">
        <f>IF(VLOOKUP(Table24614[[#This Row],[Risiko-id]],Risikolog[[Risiko-id]:[Mitigerende tiltag]],13)=0,"",VLOOKUP(Table24614[[#This Row],[Risiko-id]],Risikolog[[Risiko-id]:[Mitigerende tiltag]],13))</f>
        <v/>
      </c>
      <c r="J14" s="122" t="str">
        <f>IF(VLOOKUP(Table24614[[#This Row],[Risiko-id]],Risikolog[[Risiko-id]:[Status]],14)=0,"",VLOOKUP(Table24614[[#This Row],[Risiko-id]],Risikolog[[Risiko-id]:[Status]],14))</f>
        <v/>
      </c>
      <c r="K14" s="122" t="str">
        <f>IF(VLOOKUP(Table24614[[#This Row],[Risiko-id]],Risikolog[[Risiko-id]:[Beredskabsplan hvis risiko indtræffer]],20)=0,"",VLOOKUP(Table24614[[#This Row],[Risiko-id]],Risikolog[[Risiko-id]:[Beredskabsplan hvis risiko indtræffer]],20))</f>
        <v/>
      </c>
      <c r="L14" s="122" t="str">
        <f>IF(VLOOKUP(Table24614[[#This Row],[Risiko-id]],Risikolog[[Risiko-id]:[Mitigerende tiltag]],12)=0,"",VLOOKUP(Table24614[[#This Row],[Risiko-id]],Risikolog[[Risiko-id]:[Mitigerende tiltag]],12))</f>
        <v/>
      </c>
    </row>
    <row r="15" spans="2:13" x14ac:dyDescent="0.2">
      <c r="B15" s="144">
        <v>9</v>
      </c>
      <c r="C15" s="120" t="str">
        <f>IF(VLOOKUP(Table24614[[#This Row],[Risiko-id]],Risikolog[[Risiko-id]:[Mitigerende tiltag]],5)=0,"",VLOOKUP(Table24614[[#This Row],[Risiko-id]],Risikolog[[Risiko-id]:[Mitigerende tiltag]],5))</f>
        <v/>
      </c>
      <c r="D15" s="120" t="str">
        <f>IF(VLOOKUP(Table24614[[#This Row],[Risiko-id]],Risikolog[[Risiko-id]:[Mitigerende tiltag]],5)=0,"",VLOOKUP(Table24614[[#This Row],[Risiko-id]],Risikolog[[Risiko-id]:[Mitigerende tiltag]],6))</f>
        <v/>
      </c>
      <c r="E15" s="109">
        <f>VLOOKUP(Table24614[[#This Row],[Risiko-id]],Risikolog[[Risiko-id]:[Mitigerende tiltag]],7)</f>
        <v>0</v>
      </c>
      <c r="F15" s="109">
        <f>VLOOKUP(Table24614[[#This Row],[Risiko-id]],Risikolog[[Risiko-id]:[Mitigerende tiltag]],8)</f>
        <v>0</v>
      </c>
      <c r="G15" s="109">
        <f>Table24614[[#This Row],[Sandsynlighed]]*Table24614[[#This Row],[Konsekvens]]</f>
        <v>0</v>
      </c>
      <c r="H15" s="121" t="str">
        <f>IF(VLOOKUP(Table24614[[#This Row],[Risiko-id]],Risikolog[[Risiko-id]:[Mitigerende tiltag]],10)=0,"",VLOOKUP(Table24614[[#This Row],[Risiko-id]],Risikolog[[Risiko-id]:[Mitigerende tiltag]],10))</f>
        <v/>
      </c>
      <c r="I15" s="122" t="str">
        <f>IF(VLOOKUP(Table24614[[#This Row],[Risiko-id]],Risikolog[[Risiko-id]:[Mitigerende tiltag]],13)=0,"",VLOOKUP(Table24614[[#This Row],[Risiko-id]],Risikolog[[Risiko-id]:[Mitigerende tiltag]],13))</f>
        <v/>
      </c>
      <c r="J15" s="122" t="str">
        <f>IF(VLOOKUP(Table24614[[#This Row],[Risiko-id]],Risikolog[[Risiko-id]:[Status]],14)=0,"",VLOOKUP(Table24614[[#This Row],[Risiko-id]],Risikolog[[Risiko-id]:[Status]],14))</f>
        <v/>
      </c>
      <c r="K15" s="122" t="str">
        <f>IF(VLOOKUP(Table24614[[#This Row],[Risiko-id]],Risikolog[[Risiko-id]:[Beredskabsplan hvis risiko indtræffer]],20)=0,"",VLOOKUP(Table24614[[#This Row],[Risiko-id]],Risikolog[[Risiko-id]:[Beredskabsplan hvis risiko indtræffer]],20))</f>
        <v/>
      </c>
      <c r="L15" s="122" t="str">
        <f>IF(VLOOKUP(Table24614[[#This Row],[Risiko-id]],Risikolog[[Risiko-id]:[Mitigerende tiltag]],12)=0,"",VLOOKUP(Table24614[[#This Row],[Risiko-id]],Risikolog[[Risiko-id]:[Mitigerende tiltag]],12))</f>
        <v/>
      </c>
    </row>
    <row r="16" spans="2:13" x14ac:dyDescent="0.2">
      <c r="B16" s="144">
        <v>10</v>
      </c>
      <c r="C16" s="120" t="str">
        <f>IF(VLOOKUP(Table24614[[#This Row],[Risiko-id]],Risikolog[[Risiko-id]:[Mitigerende tiltag]],5)=0,"",VLOOKUP(Table24614[[#This Row],[Risiko-id]],Risikolog[[Risiko-id]:[Mitigerende tiltag]],5))</f>
        <v/>
      </c>
      <c r="D16" s="120" t="str">
        <f>IF(VLOOKUP(Table24614[[#This Row],[Risiko-id]],Risikolog[[Risiko-id]:[Mitigerende tiltag]],5)=0,"",VLOOKUP(Table24614[[#This Row],[Risiko-id]],Risikolog[[Risiko-id]:[Mitigerende tiltag]],6))</f>
        <v/>
      </c>
      <c r="E16" s="109">
        <f>VLOOKUP(Table24614[[#This Row],[Risiko-id]],Risikolog[[Risiko-id]:[Mitigerende tiltag]],7)</f>
        <v>0</v>
      </c>
      <c r="F16" s="109">
        <f>VLOOKUP(Table24614[[#This Row],[Risiko-id]],Risikolog[[Risiko-id]:[Mitigerende tiltag]],8)</f>
        <v>0</v>
      </c>
      <c r="G16" s="109">
        <f>Table24614[[#This Row],[Sandsynlighed]]*Table24614[[#This Row],[Konsekvens]]</f>
        <v>0</v>
      </c>
      <c r="H16" s="121" t="str">
        <f>IF(VLOOKUP(Table24614[[#This Row],[Risiko-id]],Risikolog[[Risiko-id]:[Mitigerende tiltag]],10)=0,"",VLOOKUP(Table24614[[#This Row],[Risiko-id]],Risikolog[[Risiko-id]:[Mitigerende tiltag]],10))</f>
        <v/>
      </c>
      <c r="I16" s="122" t="str">
        <f>IF(VLOOKUP(Table24614[[#This Row],[Risiko-id]],Risikolog[[Risiko-id]:[Mitigerende tiltag]],13)=0,"",VLOOKUP(Table24614[[#This Row],[Risiko-id]],Risikolog[[Risiko-id]:[Mitigerende tiltag]],13))</f>
        <v/>
      </c>
      <c r="J16" s="122" t="str">
        <f>IF(VLOOKUP(Table24614[[#This Row],[Risiko-id]],Risikolog[[Risiko-id]:[Status]],14)=0,"",VLOOKUP(Table24614[[#This Row],[Risiko-id]],Risikolog[[Risiko-id]:[Status]],14))</f>
        <v/>
      </c>
      <c r="K16" s="122" t="str">
        <f>IF(VLOOKUP(Table24614[[#This Row],[Risiko-id]],Risikolog[[Risiko-id]:[Beredskabsplan hvis risiko indtræffer]],20)=0,"",VLOOKUP(Table24614[[#This Row],[Risiko-id]],Risikolog[[Risiko-id]:[Beredskabsplan hvis risiko indtræffer]],20))</f>
        <v/>
      </c>
      <c r="L16" s="122" t="str">
        <f>IF(VLOOKUP(Table24614[[#This Row],[Risiko-id]],Risikolog[[Risiko-id]:[Mitigerende tiltag]],12)=0,"",VLOOKUP(Table24614[[#This Row],[Risiko-id]],Risikolog[[Risiko-id]:[Mitigerende tiltag]],12))</f>
        <v/>
      </c>
    </row>
    <row r="17" spans="2:7" x14ac:dyDescent="0.2">
      <c r="D17" s="74"/>
    </row>
    <row r="18" spans="2:7" x14ac:dyDescent="0.2"/>
    <row r="19" spans="2:7" ht="15" x14ac:dyDescent="0.25">
      <c r="B19" s="75" t="s">
        <v>163</v>
      </c>
    </row>
    <row r="20" spans="2:7" ht="38.25" x14ac:dyDescent="0.2">
      <c r="B20" s="111" t="s">
        <v>40</v>
      </c>
      <c r="C20" s="111" t="s">
        <v>71</v>
      </c>
      <c r="D20" s="111" t="s">
        <v>166</v>
      </c>
      <c r="E20" s="111" t="s">
        <v>6</v>
      </c>
      <c r="F20" s="111" t="s">
        <v>165</v>
      </c>
      <c r="G20" s="111" t="s">
        <v>164</v>
      </c>
    </row>
    <row r="21" spans="2:7" x14ac:dyDescent="0.2">
      <c r="B21" s="144">
        <v>1</v>
      </c>
      <c r="C21" s="120" t="str">
        <f>IF(VLOOKUP(Table246144[[#This Row],[Risiko-id]],Risikolog[[Risiko-id]:[Mitigerende tiltag]],5)=0,"",VLOOKUP(Table246144[[#This Row],[Risiko-id]],Risikolog[[Risiko-id]:[Mitigerende tiltag]],5))</f>
        <v/>
      </c>
      <c r="D21" s="120" t="str">
        <f>IF(VLOOKUP(Table246144[[#This Row],[Risiko-id]],Risikolog[[Risiko-id]:[Mitigerende tiltag]],5)=0,"",VLOOKUP(Table246144[[#This Row],[Risiko-id]],Risikolog[[Risiko-id]:[Mitigerende tiltag]],6))</f>
        <v/>
      </c>
      <c r="E21" s="109">
        <f>VLOOKUP(Table246144[[#This Row],[Risiko-id]],Risikolog[[Risiko-id]:[Mitigerende tiltag]],4)</f>
        <v>0</v>
      </c>
      <c r="F21" s="122" t="str">
        <f>IF(VLOOKUP(Table246144[[#This Row],[Risiko-id]],Risikolog[[Risiko-id]:[Mitigerende tiltag]],13)=0,"",VLOOKUP(Table246144[[#This Row],[Risiko-id]],Risikolog[[Risiko-id]:[Mitigerende tiltag]],13))</f>
        <v/>
      </c>
      <c r="G21" s="122" t="str">
        <f>IF(VLOOKUP(Table246144[[#This Row],[Risiko-id]],Risikolog[[Risiko-id]:[Status]],14)=0,"",VLOOKUP(Table246144[[#This Row],[Risiko-id]],Risikolog[[Risiko-id]:[Status]],14))</f>
        <v/>
      </c>
    </row>
    <row r="22" spans="2:7" x14ac:dyDescent="0.2">
      <c r="B22" s="144">
        <v>2</v>
      </c>
      <c r="C22" s="120" t="str">
        <f>IF(VLOOKUP(Table246144[[#This Row],[Risiko-id]],Risikolog[[Risiko-id]:[Mitigerende tiltag]],5)=0,"",VLOOKUP(Table246144[[#This Row],[Risiko-id]],Risikolog[[Risiko-id]:[Mitigerende tiltag]],5))</f>
        <v/>
      </c>
      <c r="D22" s="120" t="str">
        <f>IF(VLOOKUP(Table246144[[#This Row],[Risiko-id]],Risikolog[[Risiko-id]:[Mitigerende tiltag]],5)=0,"",VLOOKUP(Table246144[[#This Row],[Risiko-id]],Risikolog[[Risiko-id]:[Mitigerende tiltag]],6))</f>
        <v/>
      </c>
      <c r="E22" s="109">
        <f>VLOOKUP(Table246144[[#This Row],[Risiko-id]],Risikolog[[Risiko-id]:[Mitigerende tiltag]],4)</f>
        <v>0</v>
      </c>
      <c r="F22" s="122" t="str">
        <f>IF(VLOOKUP(Table246144[[#This Row],[Risiko-id]],Risikolog[[Risiko-id]:[Mitigerende tiltag]],13)=0,"",VLOOKUP(Table246144[[#This Row],[Risiko-id]],Risikolog[[Risiko-id]:[Mitigerende tiltag]],13))</f>
        <v/>
      </c>
      <c r="G22" s="122" t="str">
        <f>IF(VLOOKUP(Table246144[[#This Row],[Risiko-id]],Risikolog[[Risiko-id]:[Status]],14)=0,"",VLOOKUP(Table246144[[#This Row],[Risiko-id]],Risikolog[[Risiko-id]:[Status]],14))</f>
        <v/>
      </c>
    </row>
    <row r="23" spans="2:7" x14ac:dyDescent="0.2">
      <c r="B23" s="144">
        <v>3</v>
      </c>
      <c r="C23" s="120" t="str">
        <f>IF(VLOOKUP(Table246144[[#This Row],[Risiko-id]],Risikolog[[Risiko-id]:[Mitigerende tiltag]],5)=0,"",VLOOKUP(Table246144[[#This Row],[Risiko-id]],Risikolog[[Risiko-id]:[Mitigerende tiltag]],5))</f>
        <v/>
      </c>
      <c r="D23" s="120" t="str">
        <f>IF(VLOOKUP(Table246144[[#This Row],[Risiko-id]],Risikolog[[Risiko-id]:[Mitigerende tiltag]],5)=0,"",VLOOKUP(Table246144[[#This Row],[Risiko-id]],Risikolog[[Risiko-id]:[Mitigerende tiltag]],6))</f>
        <v/>
      </c>
      <c r="E23" s="109">
        <f>VLOOKUP(Table246144[[#This Row],[Risiko-id]],Risikolog[[Risiko-id]:[Mitigerende tiltag]],4)</f>
        <v>0</v>
      </c>
      <c r="F23" s="122" t="str">
        <f>IF(VLOOKUP(Table246144[[#This Row],[Risiko-id]],Risikolog[[Risiko-id]:[Mitigerende tiltag]],13)=0,"",VLOOKUP(Table246144[[#This Row],[Risiko-id]],Risikolog[[Risiko-id]:[Mitigerende tiltag]],13))</f>
        <v/>
      </c>
      <c r="G23" s="122" t="str">
        <f>IF(VLOOKUP(Table246144[[#This Row],[Risiko-id]],Risikolog[[Risiko-id]:[Status]],14)=0,"",VLOOKUP(Table246144[[#This Row],[Risiko-id]],Risikolog[[Risiko-id]:[Status]],14))</f>
        <v/>
      </c>
    </row>
    <row r="24" spans="2:7" x14ac:dyDescent="0.2">
      <c r="B24" s="144">
        <v>4</v>
      </c>
      <c r="C24" s="120" t="str">
        <f>IF(VLOOKUP(Table246144[[#This Row],[Risiko-id]],Risikolog[[Risiko-id]:[Mitigerende tiltag]],5)=0,"",VLOOKUP(Table246144[[#This Row],[Risiko-id]],Risikolog[[Risiko-id]:[Mitigerende tiltag]],5))</f>
        <v/>
      </c>
      <c r="D24" s="120" t="str">
        <f>IF(VLOOKUP(Table246144[[#This Row],[Risiko-id]],Risikolog[[Risiko-id]:[Mitigerende tiltag]],5)=0,"",VLOOKUP(Table246144[[#This Row],[Risiko-id]],Risikolog[[Risiko-id]:[Mitigerende tiltag]],6))</f>
        <v/>
      </c>
      <c r="E24" s="109">
        <f>VLOOKUP(Table246144[[#This Row],[Risiko-id]],Risikolog[[Risiko-id]:[Mitigerende tiltag]],4)</f>
        <v>0</v>
      </c>
      <c r="F24" s="122" t="str">
        <f>IF(VLOOKUP(Table246144[[#This Row],[Risiko-id]],Risikolog[[Risiko-id]:[Mitigerende tiltag]],13)=0,"",VLOOKUP(Table246144[[#This Row],[Risiko-id]],Risikolog[[Risiko-id]:[Mitigerende tiltag]],13))</f>
        <v/>
      </c>
      <c r="G24" s="122" t="str">
        <f>IF(VLOOKUP(Table246144[[#This Row],[Risiko-id]],Risikolog[[Risiko-id]:[Status]],14)=0,"",VLOOKUP(Table246144[[#This Row],[Risiko-id]],Risikolog[[Risiko-id]:[Status]],14))</f>
        <v/>
      </c>
    </row>
    <row r="25" spans="2:7" x14ac:dyDescent="0.2">
      <c r="B25" s="144">
        <v>5</v>
      </c>
      <c r="C25" s="120" t="str">
        <f>IF(VLOOKUP(Table246144[[#This Row],[Risiko-id]],Risikolog[[Risiko-id]:[Mitigerende tiltag]],5)=0,"",VLOOKUP(Table246144[[#This Row],[Risiko-id]],Risikolog[[Risiko-id]:[Mitigerende tiltag]],5))</f>
        <v/>
      </c>
      <c r="D25" s="120" t="str">
        <f>IF(VLOOKUP(Table246144[[#This Row],[Risiko-id]],Risikolog[[Risiko-id]:[Mitigerende tiltag]],5)=0,"",VLOOKUP(Table246144[[#This Row],[Risiko-id]],Risikolog[[Risiko-id]:[Mitigerende tiltag]],6))</f>
        <v/>
      </c>
      <c r="E25" s="109">
        <f>VLOOKUP(Table246144[[#This Row],[Risiko-id]],Risikolog[[Risiko-id]:[Mitigerende tiltag]],4)</f>
        <v>0</v>
      </c>
      <c r="F25" s="122" t="str">
        <f>IF(VLOOKUP(Table246144[[#This Row],[Risiko-id]],Risikolog[[Risiko-id]:[Mitigerende tiltag]],13)=0,"",VLOOKUP(Table246144[[#This Row],[Risiko-id]],Risikolog[[Risiko-id]:[Mitigerende tiltag]],13))</f>
        <v/>
      </c>
      <c r="G25" s="122" t="str">
        <f>IF(VLOOKUP(Table246144[[#This Row],[Risiko-id]],Risikolog[[Risiko-id]:[Status]],14)=0,"",VLOOKUP(Table246144[[#This Row],[Risiko-id]],Risikolog[[Risiko-id]:[Status]],14))</f>
        <v/>
      </c>
    </row>
    <row r="26" spans="2:7" ht="47.25" customHeight="1" x14ac:dyDescent="0.2"/>
  </sheetData>
  <sheetProtection sheet="1" formatCells="0" formatColumns="0" formatRows="0"/>
  <pageMargins left="0.7" right="0.7" top="0.75" bottom="0.75" header="0.3" footer="0.3"/>
  <pageSetup paperSize="9" scale="57"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8"/>
  <sheetViews>
    <sheetView workbookViewId="0">
      <selection activeCell="B2" sqref="B2"/>
    </sheetView>
  </sheetViews>
  <sheetFormatPr defaultRowHeight="15.75" x14ac:dyDescent="0.25"/>
  <cols>
    <col min="1" max="1" width="9" style="71"/>
    <col min="2" max="2" width="12.125" style="180" bestFit="1" customWidth="1"/>
    <col min="3" max="3" width="28" style="71" bestFit="1" customWidth="1"/>
    <col min="4" max="4" width="48.25" style="143" customWidth="1"/>
    <col min="5" max="5" width="61.75" style="143" customWidth="1"/>
    <col min="6" max="16384" width="9" style="71"/>
  </cols>
  <sheetData>
    <row r="2" spans="2:5" ht="39" x14ac:dyDescent="0.6">
      <c r="B2" s="72" t="s">
        <v>215</v>
      </c>
    </row>
    <row r="4" spans="2:5" ht="18" x14ac:dyDescent="0.25">
      <c r="B4" s="181" t="s">
        <v>194</v>
      </c>
      <c r="C4" s="181" t="s">
        <v>78</v>
      </c>
      <c r="D4" s="182" t="s">
        <v>195</v>
      </c>
      <c r="E4" s="182" t="s">
        <v>196</v>
      </c>
    </row>
    <row r="5" spans="2:5" ht="18" x14ac:dyDescent="0.25">
      <c r="B5" s="178"/>
    </row>
    <row r="6" spans="2:5" x14ac:dyDescent="0.25">
      <c r="B6" s="180" t="s">
        <v>172</v>
      </c>
    </row>
    <row r="7" spans="2:5" ht="57.75" x14ac:dyDescent="0.25">
      <c r="C7" s="71" t="s">
        <v>64</v>
      </c>
      <c r="D7" s="143" t="s">
        <v>173</v>
      </c>
      <c r="E7" s="143" t="s">
        <v>174</v>
      </c>
    </row>
    <row r="9" spans="2:5" ht="29.25" x14ac:dyDescent="0.25">
      <c r="C9" s="71" t="s">
        <v>65</v>
      </c>
      <c r="E9" s="143" t="s">
        <v>175</v>
      </c>
    </row>
    <row r="11" spans="2:5" ht="72" x14ac:dyDescent="0.25">
      <c r="C11" s="71" t="s">
        <v>68</v>
      </c>
      <c r="D11" s="143" t="s">
        <v>176</v>
      </c>
      <c r="E11" s="143" t="s">
        <v>214</v>
      </c>
    </row>
    <row r="17" spans="2:5" x14ac:dyDescent="0.25">
      <c r="B17" s="180" t="s">
        <v>177</v>
      </c>
    </row>
    <row r="18" spans="2:5" ht="29.25" x14ac:dyDescent="0.25">
      <c r="C18" s="71" t="s">
        <v>107</v>
      </c>
      <c r="E18" s="143" t="s">
        <v>178</v>
      </c>
    </row>
    <row r="20" spans="2:5" ht="29.25" x14ac:dyDescent="0.25">
      <c r="C20" s="71" t="s">
        <v>179</v>
      </c>
      <c r="E20" s="143" t="s">
        <v>180</v>
      </c>
    </row>
    <row r="22" spans="2:5" ht="29.25" x14ac:dyDescent="0.25">
      <c r="C22" s="71" t="s">
        <v>158</v>
      </c>
      <c r="E22" s="143" t="s">
        <v>181</v>
      </c>
    </row>
    <row r="24" spans="2:5" x14ac:dyDescent="0.25">
      <c r="B24" s="180" t="s">
        <v>182</v>
      </c>
    </row>
    <row r="26" spans="2:5" ht="114.75" x14ac:dyDescent="0.25">
      <c r="C26" s="71" t="s">
        <v>183</v>
      </c>
      <c r="D26" s="143" t="s">
        <v>184</v>
      </c>
      <c r="E26" s="143" t="s">
        <v>185</v>
      </c>
    </row>
    <row r="28" spans="2:5" ht="43.5" x14ac:dyDescent="0.25">
      <c r="C28" s="71" t="s">
        <v>186</v>
      </c>
      <c r="E28" s="143" t="s">
        <v>187</v>
      </c>
    </row>
    <row r="30" spans="2:5" ht="29.25" x14ac:dyDescent="0.25">
      <c r="C30" s="71" t="s">
        <v>188</v>
      </c>
      <c r="E30" s="143" t="s">
        <v>189</v>
      </c>
    </row>
    <row r="32" spans="2:5" x14ac:dyDescent="0.25">
      <c r="B32" s="180" t="s">
        <v>190</v>
      </c>
    </row>
    <row r="33" spans="2:5" ht="43.5" x14ac:dyDescent="0.25">
      <c r="C33" s="71" t="s">
        <v>191</v>
      </c>
      <c r="E33" s="143" t="s">
        <v>192</v>
      </c>
    </row>
    <row r="35" spans="2:5" ht="57.75" x14ac:dyDescent="0.25">
      <c r="C35" s="71" t="s">
        <v>193</v>
      </c>
      <c r="E35" s="143" t="s">
        <v>199</v>
      </c>
    </row>
    <row r="37" spans="2:5" ht="29.25" x14ac:dyDescent="0.25">
      <c r="C37" s="71" t="s">
        <v>198</v>
      </c>
      <c r="E37" s="143" t="s">
        <v>200</v>
      </c>
    </row>
    <row r="39" spans="2:5" x14ac:dyDescent="0.25">
      <c r="B39" s="180" t="s">
        <v>205</v>
      </c>
    </row>
    <row r="40" spans="2:5" x14ac:dyDescent="0.25">
      <c r="C40" s="71" t="s">
        <v>206</v>
      </c>
      <c r="E40" s="143" t="s">
        <v>207</v>
      </c>
    </row>
    <row r="42" spans="2:5" ht="29.25" x14ac:dyDescent="0.25">
      <c r="C42" s="71" t="s">
        <v>148</v>
      </c>
      <c r="E42" s="143" t="s">
        <v>208</v>
      </c>
    </row>
    <row r="44" spans="2:5" ht="29.25" x14ac:dyDescent="0.25">
      <c r="C44" s="71" t="s">
        <v>204</v>
      </c>
      <c r="E44" s="143" t="s">
        <v>209</v>
      </c>
    </row>
    <row r="46" spans="2:5" ht="57.75" x14ac:dyDescent="0.25">
      <c r="C46" s="71" t="s">
        <v>203</v>
      </c>
      <c r="D46" s="143" t="s">
        <v>212</v>
      </c>
      <c r="E46" s="143" t="s">
        <v>213</v>
      </c>
    </row>
    <row r="48" spans="2:5" ht="29.25" x14ac:dyDescent="0.25">
      <c r="C48" s="71" t="s">
        <v>202</v>
      </c>
      <c r="D48" s="143" t="s">
        <v>210</v>
      </c>
      <c r="E48" s="143"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O26" sqref="O26"/>
    </sheetView>
  </sheetViews>
  <sheetFormatPr defaultRowHeight="14.25" x14ac:dyDescent="0.2"/>
  <cols>
    <col min="1" max="1" width="9" style="71"/>
    <col min="2" max="2" width="27.25" style="71" bestFit="1" customWidth="1"/>
    <col min="3" max="3" width="11.875" style="71" bestFit="1" customWidth="1"/>
    <col min="4" max="4" width="20" style="71" bestFit="1" customWidth="1"/>
    <col min="5" max="5" width="9" style="71"/>
    <col min="6" max="6" width="28.375" style="71" bestFit="1" customWidth="1"/>
    <col min="7" max="7" width="4.75" style="71" bestFit="1" customWidth="1"/>
    <col min="8" max="16384" width="9" style="71"/>
  </cols>
  <sheetData>
    <row r="1" spans="1:13" x14ac:dyDescent="0.2">
      <c r="B1" s="71" t="s">
        <v>143</v>
      </c>
      <c r="I1" s="71" t="s">
        <v>145</v>
      </c>
    </row>
    <row r="3" spans="1:13" x14ac:dyDescent="0.2">
      <c r="A3" s="71" t="s">
        <v>157</v>
      </c>
      <c r="B3" s="71" t="s">
        <v>144</v>
      </c>
      <c r="C3" s="71" t="s">
        <v>142</v>
      </c>
      <c r="E3" s="71" t="s">
        <v>144</v>
      </c>
      <c r="F3" s="71" t="s">
        <v>142</v>
      </c>
      <c r="I3" s="71" t="s">
        <v>144</v>
      </c>
      <c r="J3" s="71" t="s">
        <v>142</v>
      </c>
      <c r="L3" s="71" t="s">
        <v>144</v>
      </c>
      <c r="M3" s="71" t="s">
        <v>142</v>
      </c>
    </row>
    <row r="4" spans="1:13" x14ac:dyDescent="0.2">
      <c r="A4" s="71">
        <v>1</v>
      </c>
      <c r="B4" s="126" t="str">
        <f t="array" ref="B4">IFERROR(VLOOKUP(C4,Risikolog[],9),"")</f>
        <v/>
      </c>
      <c r="C4" s="71" t="str">
        <f t="array" ref="C4">IFERROR(SMALL(IF(Risikolog[Beredskabsplan lagt i risikopulje]="Ja",IF(Risikolog[Status]="Risiko",Risikolog[Risiko-id])),A4),"")</f>
        <v/>
      </c>
      <c r="E4" s="71" t="e">
        <f t="array" ref="E4">LARGE(IF(Risikolog[Beredskabsplan lagt i risikopulje]="Ja",IF(Risikolog[Status]="Risiko",Risikolog[Risiko-værdi])),A4)</f>
        <v>#NUM!</v>
      </c>
      <c r="F4" s="71" t="str">
        <f>IFERROR(VLOOKUP($E4,B$4:C$23,2,FALSE),"")</f>
        <v/>
      </c>
      <c r="I4" s="126" t="str">
        <f t="array" ref="I4">IFERROR(VLOOKUP(J4,Risikolog[],9),"")</f>
        <v/>
      </c>
      <c r="J4" s="71" t="str">
        <f t="array" ref="J4">IFERROR(SMALL(IF(Risikolog[Mitigerende tiltag lagt i projektplan]="Ja",IF(Risikolog[Status]="Risiko",Risikolog[Risiko-id])),A4),"")</f>
        <v/>
      </c>
      <c r="L4" s="71" t="e">
        <f t="array" ref="L4">LARGE(IF(Risikolog[Mitigerende tiltag lagt i projektplan]="Ja",IF(Risikolog[Status]="Risiko",Risikolog[Risiko-værdi])),A4)</f>
        <v>#NUM!</v>
      </c>
      <c r="M4" s="71" t="str">
        <f>IFERROR(VLOOKUP($L4,I$4:J$23,2,FALSE),"")</f>
        <v/>
      </c>
    </row>
    <row r="5" spans="1:13" x14ac:dyDescent="0.2">
      <c r="A5" s="71">
        <v>2</v>
      </c>
      <c r="B5" s="126" t="str">
        <f t="array" ref="B5">IFERROR(VLOOKUP(C5,Risikolog[],9),"")</f>
        <v/>
      </c>
      <c r="C5" s="71" t="str">
        <f t="array" ref="C5">IFERROR(SMALL(IF(Risikolog[Beredskabsplan lagt i risikopulje]="Ja",IF(Risikolog[Status]="Risiko",Risikolog[Risiko-id])),A5),"")</f>
        <v/>
      </c>
      <c r="E5" s="71" t="e">
        <f t="array" ref="E5">LARGE(IF(Risikolog[Beredskabsplan lagt i risikopulje]="Ja",IF(Risikolog[Status]="Risiko",Risikolog[Risiko-værdi])),A5)</f>
        <v>#NUM!</v>
      </c>
      <c r="F5" s="71" t="str">
        <f t="shared" ref="F5:F23" si="0">IFERROR(VLOOKUP($E5,B$4:C$23,2,FALSE),"")</f>
        <v/>
      </c>
      <c r="I5" s="126" t="str">
        <f t="array" ref="I5">IFERROR(VLOOKUP(J5,Risikolog[],9),"")</f>
        <v/>
      </c>
      <c r="J5" s="71" t="str">
        <f t="array" ref="J5">IFERROR(SMALL(IF(Risikolog[Mitigerende tiltag lagt i projektplan]="Ja",IF(Risikolog[Status]="Risiko",Risikolog[Risiko-id])),A5),"")</f>
        <v/>
      </c>
      <c r="L5" s="71" t="e">
        <f t="array" ref="L5">LARGE(IF(Risikolog[Mitigerende tiltag lagt i projektplan]="Ja",IF(Risikolog[Status]="Risiko",Risikolog[Risiko-værdi])),A5)</f>
        <v>#NUM!</v>
      </c>
      <c r="M5" s="71" t="str">
        <f t="shared" ref="M5:M68" si="1">IFERROR(VLOOKUP($L5,I$4:J$23,2,FALSE),"")</f>
        <v/>
      </c>
    </row>
    <row r="6" spans="1:13" x14ac:dyDescent="0.2">
      <c r="A6" s="71">
        <v>3</v>
      </c>
      <c r="B6" s="126" t="str">
        <f t="array" ref="B6">IFERROR(VLOOKUP(C6,Risikolog[],9),"")</f>
        <v/>
      </c>
      <c r="C6" s="71" t="str">
        <f t="array" ref="C6">IFERROR(SMALL(IF(Risikolog[Beredskabsplan lagt i risikopulje]="Ja",IF(Risikolog[Status]="Risiko",Risikolog[Risiko-id])),A6),"")</f>
        <v/>
      </c>
      <c r="E6" s="71" t="e">
        <f t="array" ref="E6">LARGE(IF(Risikolog[Beredskabsplan lagt i risikopulje]="Ja",IF(Risikolog[Status]="Risiko",Risikolog[Risiko-værdi])),A6)</f>
        <v>#NUM!</v>
      </c>
      <c r="F6" s="71" t="str">
        <f t="shared" si="0"/>
        <v/>
      </c>
      <c r="I6" s="126" t="str">
        <f t="array" ref="I6">IFERROR(VLOOKUP(J6,Risikolog[],9),"")</f>
        <v/>
      </c>
      <c r="J6" s="71" t="str">
        <f t="array" ref="J6">IFERROR(SMALL(IF(Risikolog[Mitigerende tiltag lagt i projektplan]="Ja",IF(Risikolog[Status]="Risiko",Risikolog[Risiko-id])),A6),"")</f>
        <v/>
      </c>
      <c r="L6" s="71" t="e">
        <f t="array" ref="L6">LARGE(IF(Risikolog[Mitigerende tiltag lagt i projektplan]="Ja",IF(Risikolog[Status]="Risiko",Risikolog[Risiko-værdi])),A6)</f>
        <v>#NUM!</v>
      </c>
      <c r="M6" s="71" t="str">
        <f t="shared" si="1"/>
        <v/>
      </c>
    </row>
    <row r="7" spans="1:13" x14ac:dyDescent="0.2">
      <c r="A7" s="71">
        <v>4</v>
      </c>
      <c r="B7" s="126" t="str">
        <f t="array" ref="B7">IFERROR(VLOOKUP(C7,Risikolog[],9),"")</f>
        <v/>
      </c>
      <c r="C7" s="71" t="str">
        <f t="array" ref="C7">IFERROR(SMALL(IF(Risikolog[Beredskabsplan lagt i risikopulje]="Ja",IF(Risikolog[Status]="Risiko",Risikolog[Risiko-id])),A7),"")</f>
        <v/>
      </c>
      <c r="E7" s="71" t="e">
        <f t="array" ref="E7">LARGE(IF(Risikolog[Beredskabsplan lagt i risikopulje]="Ja",IF(Risikolog[Status]="Risiko",Risikolog[Risiko-værdi])),A7)</f>
        <v>#NUM!</v>
      </c>
      <c r="F7" s="71" t="str">
        <f t="shared" si="0"/>
        <v/>
      </c>
      <c r="I7" s="126" t="str">
        <f t="array" ref="I7">IFERROR(VLOOKUP(J7,Risikolog[],9),"")</f>
        <v/>
      </c>
      <c r="J7" s="71" t="str">
        <f t="array" ref="J7">IFERROR(SMALL(IF(Risikolog[Mitigerende tiltag lagt i projektplan]="Ja",IF(Risikolog[Status]="Risiko",Risikolog[Risiko-id])),A7),"")</f>
        <v/>
      </c>
      <c r="L7" s="71" t="e">
        <f t="array" ref="L7">LARGE(IF(Risikolog[Mitigerende tiltag lagt i projektplan]="Ja",IF(Risikolog[Status]="Risiko",Risikolog[Risiko-værdi])),A7)</f>
        <v>#NUM!</v>
      </c>
      <c r="M7" s="71" t="str">
        <f t="shared" si="1"/>
        <v/>
      </c>
    </row>
    <row r="8" spans="1:13" x14ac:dyDescent="0.2">
      <c r="A8" s="71">
        <v>5</v>
      </c>
      <c r="B8" s="126" t="str">
        <f t="array" ref="B8">IFERROR(VLOOKUP(C8,Risikolog[],9),"")</f>
        <v/>
      </c>
      <c r="C8" s="71" t="str">
        <f t="array" ref="C8">IFERROR(SMALL(IF(Risikolog[Beredskabsplan lagt i risikopulje]="Ja",IF(Risikolog[Status]="Risiko",Risikolog[Risiko-id])),A8),"")</f>
        <v/>
      </c>
      <c r="E8" s="71" t="e">
        <f t="array" ref="E8">LARGE(IF(Risikolog[Beredskabsplan lagt i risikopulje]="Ja",IF(Risikolog[Status]="Risiko",Risikolog[Risiko-værdi])),A8)</f>
        <v>#NUM!</v>
      </c>
      <c r="F8" s="71" t="str">
        <f t="shared" si="0"/>
        <v/>
      </c>
      <c r="I8" s="126" t="str">
        <f t="array" ref="I8">IFERROR(VLOOKUP(J8,Risikolog[],9),"")</f>
        <v/>
      </c>
      <c r="J8" s="71" t="str">
        <f t="array" ref="J8">IFERROR(SMALL(IF(Risikolog[Mitigerende tiltag lagt i projektplan]="Ja",IF(Risikolog[Status]="Risiko",Risikolog[Risiko-id])),A8),"")</f>
        <v/>
      </c>
      <c r="L8" s="71" t="e">
        <f t="array" ref="L8">LARGE(IF(Risikolog[Mitigerende tiltag lagt i projektplan]="Ja",IF(Risikolog[Status]="Risiko",Risikolog[Risiko-værdi])),A8)</f>
        <v>#NUM!</v>
      </c>
      <c r="M8" s="71" t="str">
        <f t="shared" si="1"/>
        <v/>
      </c>
    </row>
    <row r="9" spans="1:13" x14ac:dyDescent="0.2">
      <c r="A9" s="71">
        <v>6</v>
      </c>
      <c r="B9" s="126" t="str">
        <f t="array" ref="B9">IFERROR(VLOOKUP(C9,Risikolog[],9),"")</f>
        <v/>
      </c>
      <c r="C9" s="71" t="str">
        <f t="array" ref="C9">IFERROR(SMALL(IF(Risikolog[Beredskabsplan lagt i risikopulje]="Ja",IF(Risikolog[Status]="Risiko",Risikolog[Risiko-id])),A9),"")</f>
        <v/>
      </c>
      <c r="E9" s="71" t="e">
        <f t="array" ref="E9">LARGE(IF(Risikolog[Beredskabsplan lagt i risikopulje]="Ja",IF(Risikolog[Status]="Risiko",Risikolog[Risiko-værdi])),A9)</f>
        <v>#NUM!</v>
      </c>
      <c r="F9" s="71" t="str">
        <f t="shared" si="0"/>
        <v/>
      </c>
      <c r="I9" s="126" t="str">
        <f t="array" ref="I9">IFERROR(VLOOKUP(J9,Risikolog[],9),"")</f>
        <v/>
      </c>
      <c r="J9" s="71" t="str">
        <f t="array" ref="J9">IFERROR(SMALL(IF(Risikolog[Mitigerende tiltag lagt i projektplan]="Ja",IF(Risikolog[Status]="Risiko",Risikolog[Risiko-id])),A9),"")</f>
        <v/>
      </c>
      <c r="L9" s="71" t="e">
        <f t="array" ref="L9">LARGE(IF(Risikolog[Mitigerende tiltag lagt i projektplan]="Ja",IF(Risikolog[Status]="Risiko",Risikolog[Risiko-værdi])),A9)</f>
        <v>#NUM!</v>
      </c>
      <c r="M9" s="71" t="str">
        <f t="shared" si="1"/>
        <v/>
      </c>
    </row>
    <row r="10" spans="1:13" x14ac:dyDescent="0.2">
      <c r="A10" s="71">
        <v>7</v>
      </c>
      <c r="B10" s="126" t="str">
        <f t="array" ref="B10">IFERROR(VLOOKUP(C10,Risikolog[],9),"")</f>
        <v/>
      </c>
      <c r="C10" s="71" t="str">
        <f t="array" ref="C10">IFERROR(SMALL(IF(Risikolog[Beredskabsplan lagt i risikopulje]="Ja",IF(Risikolog[Status]="Risiko",Risikolog[Risiko-id])),A10),"")</f>
        <v/>
      </c>
      <c r="E10" s="71" t="e">
        <f t="array" ref="E10">LARGE(IF(Risikolog[Beredskabsplan lagt i risikopulje]="Ja",IF(Risikolog[Status]="Risiko",Risikolog[Risiko-værdi])),A10)</f>
        <v>#NUM!</v>
      </c>
      <c r="F10" s="71" t="str">
        <f t="shared" si="0"/>
        <v/>
      </c>
      <c r="I10" s="126" t="str">
        <f t="array" ref="I10">IFERROR(VLOOKUP(J10,Risikolog[],9),"")</f>
        <v/>
      </c>
      <c r="J10" s="71" t="str">
        <f t="array" ref="J10">IFERROR(SMALL(IF(Risikolog[Mitigerende tiltag lagt i projektplan]="Ja",IF(Risikolog[Status]="Risiko",Risikolog[Risiko-id])),A10),"")</f>
        <v/>
      </c>
      <c r="L10" s="71" t="e">
        <f t="array" ref="L10">LARGE(IF(Risikolog[Mitigerende tiltag lagt i projektplan]="Ja",IF(Risikolog[Status]="Risiko",Risikolog[Risiko-værdi])),A10)</f>
        <v>#NUM!</v>
      </c>
      <c r="M10" s="71" t="str">
        <f t="shared" si="1"/>
        <v/>
      </c>
    </row>
    <row r="11" spans="1:13" x14ac:dyDescent="0.2">
      <c r="A11" s="71">
        <v>8</v>
      </c>
      <c r="B11" s="126" t="str">
        <f t="array" ref="B11">IFERROR(VLOOKUP(C11,Risikolog[],9),"")</f>
        <v/>
      </c>
      <c r="C11" s="71" t="str">
        <f t="array" ref="C11">IFERROR(SMALL(IF(Risikolog[Beredskabsplan lagt i risikopulje]="Ja",IF(Risikolog[Status]="Risiko",Risikolog[Risiko-id])),A11),"")</f>
        <v/>
      </c>
      <c r="E11" s="71" t="e">
        <f t="array" ref="E11">LARGE(IF(Risikolog[Beredskabsplan lagt i risikopulje]="Ja",IF(Risikolog[Status]="Risiko",Risikolog[Risiko-værdi])),A11)</f>
        <v>#NUM!</v>
      </c>
      <c r="F11" s="71" t="str">
        <f t="shared" si="0"/>
        <v/>
      </c>
      <c r="I11" s="126" t="str">
        <f t="array" ref="I11">IFERROR(VLOOKUP(J11,Risikolog[],9),"")</f>
        <v/>
      </c>
      <c r="J11" s="71" t="str">
        <f t="array" ref="J11">IFERROR(SMALL(IF(Risikolog[Mitigerende tiltag lagt i projektplan]="Ja",IF(Risikolog[Status]="Risiko",Risikolog[Risiko-id])),A11),"")</f>
        <v/>
      </c>
      <c r="L11" s="71" t="e">
        <f t="array" ref="L11">LARGE(IF(Risikolog[Mitigerende tiltag lagt i projektplan]="Ja",IF(Risikolog[Status]="Risiko",Risikolog[Risiko-værdi])),A11)</f>
        <v>#NUM!</v>
      </c>
      <c r="M11" s="71" t="str">
        <f t="shared" si="1"/>
        <v/>
      </c>
    </row>
    <row r="12" spans="1:13" x14ac:dyDescent="0.2">
      <c r="A12" s="71">
        <v>9</v>
      </c>
      <c r="B12" s="126" t="str">
        <f t="array" ref="B12">IFERROR(VLOOKUP(C12,Risikolog[],9),"")</f>
        <v/>
      </c>
      <c r="C12" s="71" t="str">
        <f t="array" ref="C12">IFERROR(SMALL(IF(Risikolog[Beredskabsplan lagt i risikopulje]="Ja",IF(Risikolog[Status]="Risiko",Risikolog[Risiko-id])),A12),"")</f>
        <v/>
      </c>
      <c r="E12" s="71" t="e">
        <f t="array" ref="E12">LARGE(IF(Risikolog[Beredskabsplan lagt i risikopulje]="Ja",IF(Risikolog[Status]="Risiko",Risikolog[Risiko-værdi])),A12)</f>
        <v>#NUM!</v>
      </c>
      <c r="F12" s="71" t="str">
        <f t="shared" si="0"/>
        <v/>
      </c>
      <c r="I12" s="126" t="str">
        <f t="array" ref="I12">IFERROR(VLOOKUP(J12,Risikolog[],9),"")</f>
        <v/>
      </c>
      <c r="J12" s="71" t="str">
        <f t="array" ref="J12">IFERROR(SMALL(IF(Risikolog[Mitigerende tiltag lagt i projektplan]="Ja",IF(Risikolog[Status]="Risiko",Risikolog[Risiko-id])),A12),"")</f>
        <v/>
      </c>
      <c r="L12" s="71" t="e">
        <f t="array" ref="L12">LARGE(IF(Risikolog[Mitigerende tiltag lagt i projektplan]="Ja",IF(Risikolog[Status]="Risiko",Risikolog[Risiko-værdi])),A12)</f>
        <v>#NUM!</v>
      </c>
      <c r="M12" s="71" t="str">
        <f t="shared" si="1"/>
        <v/>
      </c>
    </row>
    <row r="13" spans="1:13" x14ac:dyDescent="0.2">
      <c r="A13" s="71">
        <v>10</v>
      </c>
      <c r="B13" s="126" t="str">
        <f t="array" ref="B13">IFERROR(VLOOKUP(C13,Risikolog[],9),"")</f>
        <v/>
      </c>
      <c r="C13" s="71" t="str">
        <f t="array" ref="C13">IFERROR(SMALL(IF(Risikolog[Beredskabsplan lagt i risikopulje]="Ja",IF(Risikolog[Status]="Risiko",Risikolog[Risiko-id])),A13),"")</f>
        <v/>
      </c>
      <c r="E13" s="71" t="e">
        <f t="array" ref="E13">LARGE(IF(Risikolog[Beredskabsplan lagt i risikopulje]="Ja",IF(Risikolog[Status]="Risiko",Risikolog[Risiko-værdi])),A13)</f>
        <v>#NUM!</v>
      </c>
      <c r="F13" s="71" t="str">
        <f t="shared" si="0"/>
        <v/>
      </c>
      <c r="I13" s="126" t="str">
        <f t="array" ref="I13">IFERROR(VLOOKUP(J13,Risikolog[],9),"")</f>
        <v/>
      </c>
      <c r="J13" s="71" t="str">
        <f t="array" ref="J13">IFERROR(SMALL(IF(Risikolog[Mitigerende tiltag lagt i projektplan]="Ja",IF(Risikolog[Status]="Risiko",Risikolog[Risiko-id])),A13),"")</f>
        <v/>
      </c>
      <c r="L13" s="71" t="e">
        <f t="array" ref="L13">LARGE(IF(Risikolog[Mitigerende tiltag lagt i projektplan]="Ja",IF(Risikolog[Status]="Risiko",Risikolog[Risiko-værdi])),A13)</f>
        <v>#NUM!</v>
      </c>
      <c r="M13" s="71" t="str">
        <f t="shared" si="1"/>
        <v/>
      </c>
    </row>
    <row r="14" spans="1:13" x14ac:dyDescent="0.2">
      <c r="A14" s="71">
        <v>11</v>
      </c>
      <c r="B14" s="126" t="str">
        <f t="array" ref="B14">IFERROR(VLOOKUP(C14,Risikolog[],9),"")</f>
        <v/>
      </c>
      <c r="C14" s="71" t="str">
        <f t="array" ref="C14">IFERROR(SMALL(IF(Risikolog[Beredskabsplan lagt i risikopulje]="Ja",IF(Risikolog[Status]="Risiko",Risikolog[Risiko-id])),A14),"")</f>
        <v/>
      </c>
      <c r="E14" s="71" t="e">
        <f t="array" ref="E14">LARGE(IF(Risikolog[Beredskabsplan lagt i risikopulje]="Ja",IF(Risikolog[Status]="Risiko",Risikolog[Risiko-værdi])),A14)</f>
        <v>#NUM!</v>
      </c>
      <c r="F14" s="71" t="str">
        <f t="shared" si="0"/>
        <v/>
      </c>
      <c r="I14" s="126" t="str">
        <f t="array" ref="I14">IFERROR(VLOOKUP(J14,Risikolog[],9),"")</f>
        <v/>
      </c>
      <c r="J14" s="71" t="str">
        <f t="array" ref="J14">IFERROR(SMALL(IF(Risikolog[Mitigerende tiltag lagt i projektplan]="Ja",IF(Risikolog[Status]="Risiko",Risikolog[Risiko-id])),A14),"")</f>
        <v/>
      </c>
      <c r="L14" s="71" t="e">
        <f t="array" ref="L14">LARGE(IF(Risikolog[Mitigerende tiltag lagt i projektplan]="Ja",IF(Risikolog[Status]="Risiko",Risikolog[Risiko-værdi])),A14)</f>
        <v>#NUM!</v>
      </c>
      <c r="M14" s="71" t="str">
        <f t="shared" si="1"/>
        <v/>
      </c>
    </row>
    <row r="15" spans="1:13" x14ac:dyDescent="0.2">
      <c r="A15" s="71">
        <v>12</v>
      </c>
      <c r="B15" s="126" t="str">
        <f t="array" ref="B15">IFERROR(VLOOKUP(C15,Risikolog[],9),"")</f>
        <v/>
      </c>
      <c r="C15" s="71" t="str">
        <f t="array" ref="C15">IFERROR(SMALL(IF(Risikolog[Beredskabsplan lagt i risikopulje]="Ja",IF(Risikolog[Status]="Risiko",Risikolog[Risiko-id])),A15),"")</f>
        <v/>
      </c>
      <c r="E15" s="71" t="e">
        <f t="array" ref="E15">LARGE(IF(Risikolog[Beredskabsplan lagt i risikopulje]="Ja",IF(Risikolog[Status]="Risiko",Risikolog[Risiko-værdi])),A15)</f>
        <v>#NUM!</v>
      </c>
      <c r="F15" s="71" t="str">
        <f t="shared" si="0"/>
        <v/>
      </c>
      <c r="I15" s="126" t="str">
        <f t="array" ref="I15">IFERROR(VLOOKUP(J15,Risikolog[],9),"")</f>
        <v/>
      </c>
      <c r="J15" s="71" t="str">
        <f t="array" ref="J15">IFERROR(SMALL(IF(Risikolog[Mitigerende tiltag lagt i projektplan]="Ja",IF(Risikolog[Status]="Risiko",Risikolog[Risiko-id])),A15),"")</f>
        <v/>
      </c>
      <c r="L15" s="71" t="e">
        <f t="array" ref="L15">LARGE(IF(Risikolog[Mitigerende tiltag lagt i projektplan]="Ja",IF(Risikolog[Status]="Risiko",Risikolog[Risiko-værdi])),A15)</f>
        <v>#NUM!</v>
      </c>
      <c r="M15" s="71" t="str">
        <f t="shared" si="1"/>
        <v/>
      </c>
    </row>
    <row r="16" spans="1:13" x14ac:dyDescent="0.2">
      <c r="A16" s="71">
        <v>13</v>
      </c>
      <c r="B16" s="126" t="str">
        <f t="array" ref="B16">IFERROR(VLOOKUP(C16,Risikolog[],9),"")</f>
        <v/>
      </c>
      <c r="C16" s="71" t="str">
        <f t="array" ref="C16">IFERROR(SMALL(IF(Risikolog[Beredskabsplan lagt i risikopulje]="Ja",IF(Risikolog[Status]="Risiko",Risikolog[Risiko-id])),A16),"")</f>
        <v/>
      </c>
      <c r="E16" s="71" t="e">
        <f t="array" ref="E16">LARGE(IF(Risikolog[Beredskabsplan lagt i risikopulje]="Ja",IF(Risikolog[Status]="Risiko",Risikolog[Risiko-værdi])),A16)</f>
        <v>#NUM!</v>
      </c>
      <c r="F16" s="71" t="str">
        <f t="shared" si="0"/>
        <v/>
      </c>
      <c r="I16" s="126" t="str">
        <f t="array" ref="I16">IFERROR(VLOOKUP(J16,Risikolog[],9),"")</f>
        <v/>
      </c>
      <c r="J16" s="71" t="str">
        <f t="array" ref="J16">IFERROR(SMALL(IF(Risikolog[Mitigerende tiltag lagt i projektplan]="Ja",IF(Risikolog[Status]="Risiko",Risikolog[Risiko-id])),A16),"")</f>
        <v/>
      </c>
      <c r="L16" s="71" t="e">
        <f t="array" ref="L16">LARGE(IF(Risikolog[Mitigerende tiltag lagt i projektplan]="Ja",IF(Risikolog[Status]="Risiko",Risikolog[Risiko-værdi])),A16)</f>
        <v>#NUM!</v>
      </c>
      <c r="M16" s="71" t="str">
        <f t="shared" si="1"/>
        <v/>
      </c>
    </row>
    <row r="17" spans="1:13" x14ac:dyDescent="0.2">
      <c r="A17" s="71">
        <v>14</v>
      </c>
      <c r="B17" s="126" t="str">
        <f t="array" ref="B17">IFERROR(VLOOKUP(C17,Risikolog[],9),"")</f>
        <v/>
      </c>
      <c r="C17" s="71" t="str">
        <f t="array" ref="C17">IFERROR(SMALL(IF(Risikolog[Beredskabsplan lagt i risikopulje]="Ja",IF(Risikolog[Status]="Risiko",Risikolog[Risiko-id])),A17),"")</f>
        <v/>
      </c>
      <c r="E17" s="71" t="e">
        <f t="array" ref="E17">LARGE(IF(Risikolog[Beredskabsplan lagt i risikopulje]="Ja",IF(Risikolog[Status]="Risiko",Risikolog[Risiko-værdi])),A17)</f>
        <v>#NUM!</v>
      </c>
      <c r="F17" s="71" t="str">
        <f t="shared" si="0"/>
        <v/>
      </c>
      <c r="I17" s="126" t="str">
        <f t="array" ref="I17">IFERROR(VLOOKUP(J17,Risikolog[],9),"")</f>
        <v/>
      </c>
      <c r="J17" s="71" t="str">
        <f t="array" ref="J17">IFERROR(SMALL(IF(Risikolog[Mitigerende tiltag lagt i projektplan]="Ja",IF(Risikolog[Status]="Risiko",Risikolog[Risiko-id])),A17),"")</f>
        <v/>
      </c>
      <c r="L17" s="71" t="e">
        <f t="array" ref="L17">LARGE(IF(Risikolog[Mitigerende tiltag lagt i projektplan]="Ja",IF(Risikolog[Status]="Risiko",Risikolog[Risiko-værdi])),A17)</f>
        <v>#NUM!</v>
      </c>
      <c r="M17" s="71" t="str">
        <f t="shared" si="1"/>
        <v/>
      </c>
    </row>
    <row r="18" spans="1:13" x14ac:dyDescent="0.2">
      <c r="A18" s="71">
        <v>15</v>
      </c>
      <c r="B18" s="126" t="str">
        <f t="array" ref="B18">IFERROR(VLOOKUP(C18,Risikolog[],9),"")</f>
        <v/>
      </c>
      <c r="C18" s="71" t="str">
        <f t="array" ref="C18">IFERROR(SMALL(IF(Risikolog[Beredskabsplan lagt i risikopulje]="Ja",IF(Risikolog[Status]="Risiko",Risikolog[Risiko-id])),A18),"")</f>
        <v/>
      </c>
      <c r="E18" s="71" t="e">
        <f t="array" ref="E18">LARGE(IF(Risikolog[Beredskabsplan lagt i risikopulje]="Ja",IF(Risikolog[Status]="Risiko",Risikolog[Risiko-værdi])),A18)</f>
        <v>#NUM!</v>
      </c>
      <c r="F18" s="71" t="str">
        <f t="shared" si="0"/>
        <v/>
      </c>
      <c r="I18" s="126" t="str">
        <f t="array" ref="I18">IFERROR(VLOOKUP(J18,Risikolog[],9),"")</f>
        <v/>
      </c>
      <c r="J18" s="71" t="str">
        <f t="array" ref="J18">IFERROR(SMALL(IF(Risikolog[Mitigerende tiltag lagt i projektplan]="Ja",IF(Risikolog[Status]="Risiko",Risikolog[Risiko-id])),A18),"")</f>
        <v/>
      </c>
      <c r="L18" s="71" t="e">
        <f t="array" ref="L18">LARGE(IF(Risikolog[Mitigerende tiltag lagt i projektplan]="Ja",IF(Risikolog[Status]="Risiko",Risikolog[Risiko-værdi])),A18)</f>
        <v>#NUM!</v>
      </c>
      <c r="M18" s="71" t="str">
        <f t="shared" si="1"/>
        <v/>
      </c>
    </row>
    <row r="19" spans="1:13" x14ac:dyDescent="0.2">
      <c r="A19" s="71">
        <v>16</v>
      </c>
      <c r="B19" s="126" t="str">
        <f t="array" ref="B19">IFERROR(VLOOKUP(C19,Risikolog[],9),"")</f>
        <v/>
      </c>
      <c r="C19" s="71" t="str">
        <f t="array" ref="C19">IFERROR(SMALL(IF(Risikolog[Beredskabsplan lagt i risikopulje]="Ja",IF(Risikolog[Status]="Risiko",Risikolog[Risiko-id])),A19),"")</f>
        <v/>
      </c>
      <c r="E19" s="71" t="e">
        <f t="array" ref="E19">LARGE(IF(Risikolog[Beredskabsplan lagt i risikopulje]="Ja",IF(Risikolog[Status]="Risiko",Risikolog[Risiko-værdi])),A19)</f>
        <v>#NUM!</v>
      </c>
      <c r="F19" s="71" t="str">
        <f t="shared" si="0"/>
        <v/>
      </c>
      <c r="I19" s="126" t="str">
        <f t="array" ref="I19">IFERROR(VLOOKUP(J19,Risikolog[],9),"")</f>
        <v/>
      </c>
      <c r="J19" s="71" t="str">
        <f t="array" ref="J19">IFERROR(SMALL(IF(Risikolog[Mitigerende tiltag lagt i projektplan]="Ja",IF(Risikolog[Status]="Risiko",Risikolog[Risiko-id])),A19),"")</f>
        <v/>
      </c>
      <c r="L19" s="71" t="e">
        <f t="array" ref="L19">LARGE(IF(Risikolog[Mitigerende tiltag lagt i projektplan]="Ja",IF(Risikolog[Status]="Risiko",Risikolog[Risiko-værdi])),A19)</f>
        <v>#NUM!</v>
      </c>
      <c r="M19" s="71" t="str">
        <f t="shared" si="1"/>
        <v/>
      </c>
    </row>
    <row r="20" spans="1:13" x14ac:dyDescent="0.2">
      <c r="A20" s="71">
        <v>17</v>
      </c>
      <c r="B20" s="126" t="str">
        <f t="array" ref="B20">IFERROR(VLOOKUP(C20,Risikolog[],9),"")</f>
        <v/>
      </c>
      <c r="C20" s="71" t="str">
        <f t="array" ref="C20">IFERROR(SMALL(IF(Risikolog[Beredskabsplan lagt i risikopulje]="Ja",IF(Risikolog[Status]="Risiko",Risikolog[Risiko-id])),A20),"")</f>
        <v/>
      </c>
      <c r="E20" s="71" t="e">
        <f t="array" ref="E20">LARGE(IF(Risikolog[Beredskabsplan lagt i risikopulje]="Ja",IF(Risikolog[Status]="Risiko",Risikolog[Risiko-værdi])),A20)</f>
        <v>#NUM!</v>
      </c>
      <c r="F20" s="71" t="str">
        <f t="shared" si="0"/>
        <v/>
      </c>
      <c r="I20" s="126" t="str">
        <f t="array" ref="I20">IFERROR(VLOOKUP(J20,Risikolog[],9),"")</f>
        <v/>
      </c>
      <c r="J20" s="71" t="str">
        <f t="array" ref="J20">IFERROR(SMALL(IF(Risikolog[Mitigerende tiltag lagt i projektplan]="Ja",IF(Risikolog[Status]="Risiko",Risikolog[Risiko-id])),A20),"")</f>
        <v/>
      </c>
      <c r="L20" s="71" t="e">
        <f t="array" ref="L20">LARGE(IF(Risikolog[Mitigerende tiltag lagt i projektplan]="Ja",IF(Risikolog[Status]="Risiko",Risikolog[Risiko-værdi])),A20)</f>
        <v>#NUM!</v>
      </c>
      <c r="M20" s="71" t="str">
        <f t="shared" si="1"/>
        <v/>
      </c>
    </row>
    <row r="21" spans="1:13" x14ac:dyDescent="0.2">
      <c r="A21" s="71">
        <v>18</v>
      </c>
      <c r="B21" s="126" t="str">
        <f t="array" ref="B21">IFERROR(VLOOKUP(C21,Risikolog[],9),"")</f>
        <v/>
      </c>
      <c r="C21" s="71" t="str">
        <f t="array" ref="C21">IFERROR(SMALL(IF(Risikolog[Beredskabsplan lagt i risikopulje]="Ja",IF(Risikolog[Status]="Risiko",Risikolog[Risiko-id])),A21),"")</f>
        <v/>
      </c>
      <c r="E21" s="71" t="e">
        <f t="array" ref="E21">LARGE(IF(Risikolog[Beredskabsplan lagt i risikopulje]="Ja",IF(Risikolog[Status]="Risiko",Risikolog[Risiko-værdi])),A21)</f>
        <v>#NUM!</v>
      </c>
      <c r="F21" s="71" t="str">
        <f t="shared" si="0"/>
        <v/>
      </c>
      <c r="I21" s="126" t="str">
        <f t="array" ref="I21">IFERROR(VLOOKUP(J21,Risikolog[],9),"")</f>
        <v/>
      </c>
      <c r="J21" s="71" t="str">
        <f t="array" ref="J21">IFERROR(SMALL(IF(Risikolog[Mitigerende tiltag lagt i projektplan]="Ja",IF(Risikolog[Status]="Risiko",Risikolog[Risiko-id])),A21),"")</f>
        <v/>
      </c>
      <c r="L21" s="71" t="e">
        <f t="array" ref="L21">LARGE(IF(Risikolog[Mitigerende tiltag lagt i projektplan]="Ja",IF(Risikolog[Status]="Risiko",Risikolog[Risiko-værdi])),A21)</f>
        <v>#NUM!</v>
      </c>
      <c r="M21" s="71" t="str">
        <f t="shared" si="1"/>
        <v/>
      </c>
    </row>
    <row r="22" spans="1:13" x14ac:dyDescent="0.2">
      <c r="A22" s="71">
        <v>19</v>
      </c>
      <c r="B22" s="126" t="str">
        <f t="array" ref="B22">IFERROR(VLOOKUP(C22,Risikolog[],9),"")</f>
        <v/>
      </c>
      <c r="C22" s="71" t="str">
        <f t="array" ref="C22">IFERROR(SMALL(IF(Risikolog[Beredskabsplan lagt i risikopulje]="Ja",IF(Risikolog[Status]="Risiko",Risikolog[Risiko-id])),A22),"")</f>
        <v/>
      </c>
      <c r="E22" s="71" t="e">
        <f t="array" ref="E22">LARGE(IF(Risikolog[Beredskabsplan lagt i risikopulje]="Ja",IF(Risikolog[Status]="Risiko",Risikolog[Risiko-værdi])),A22)</f>
        <v>#NUM!</v>
      </c>
      <c r="F22" s="71" t="str">
        <f t="shared" si="0"/>
        <v/>
      </c>
      <c r="I22" s="126" t="str">
        <f t="array" ref="I22">IFERROR(VLOOKUP(J22,Risikolog[],9),"")</f>
        <v/>
      </c>
      <c r="J22" s="71" t="str">
        <f t="array" ref="J22">IFERROR(SMALL(IF(Risikolog[Mitigerende tiltag lagt i projektplan]="Ja",IF(Risikolog[Status]="Risiko",Risikolog[Risiko-id])),A22),"")</f>
        <v/>
      </c>
      <c r="L22" s="71" t="e">
        <f t="array" ref="L22">LARGE(IF(Risikolog[Mitigerende tiltag lagt i projektplan]="Ja",IF(Risikolog[Status]="Risiko",Risikolog[Risiko-værdi])),A22)</f>
        <v>#NUM!</v>
      </c>
      <c r="M22" s="71" t="str">
        <f t="shared" si="1"/>
        <v/>
      </c>
    </row>
    <row r="23" spans="1:13" x14ac:dyDescent="0.2">
      <c r="A23" s="71">
        <v>20</v>
      </c>
      <c r="B23" s="126" t="str">
        <f t="array" ref="B23">IFERROR(VLOOKUP(C23,Risikolog[],9),"")</f>
        <v/>
      </c>
      <c r="C23" s="71" t="str">
        <f t="array" ref="C23">IFERROR(SMALL(IF(Risikolog[Beredskabsplan lagt i risikopulje]="Ja",IF(Risikolog[Status]="Risiko",Risikolog[Risiko-id])),A23),"")</f>
        <v/>
      </c>
      <c r="E23" s="71" t="e">
        <f t="array" ref="E23">LARGE(IF(Risikolog[Beredskabsplan lagt i risikopulje]="Ja",IF(Risikolog[Status]="Risiko",Risikolog[Risiko-værdi])),A23)</f>
        <v>#NUM!</v>
      </c>
      <c r="F23" s="71" t="str">
        <f t="shared" si="0"/>
        <v/>
      </c>
      <c r="I23" s="126" t="str">
        <f t="array" ref="I23">IFERROR(VLOOKUP(J23,Risikolog[],9),"")</f>
        <v/>
      </c>
      <c r="J23" s="71" t="str">
        <f t="array" ref="J23">IFERROR(SMALL(IF(Risikolog[Mitigerende tiltag lagt i projektplan]="Ja",IF(Risikolog[Status]="Risiko",Risikolog[Risiko-id])),A23),"")</f>
        <v/>
      </c>
      <c r="L23" s="71" t="e">
        <f t="array" ref="L23">LARGE(IF(Risikolog[Mitigerende tiltag lagt i projektplan]="Ja",IF(Risikolog[Status]="Risiko",Risikolog[Risiko-værdi])),A23)</f>
        <v>#NUM!</v>
      </c>
      <c r="M23" s="71" t="str">
        <f t="shared" si="1"/>
        <v/>
      </c>
    </row>
    <row r="24" spans="1:13" x14ac:dyDescent="0.2">
      <c r="A24" s="71">
        <v>21</v>
      </c>
      <c r="B24" s="126" t="str">
        <f t="array" ref="B24">IFERROR(VLOOKUP(C24,Risikolog[],9),"")</f>
        <v/>
      </c>
      <c r="C24" s="71" t="str">
        <f t="array" ref="C24">IFERROR(SMALL(IF(Risikolog[Beredskabsplan lagt i risikopulje]="Ja",IF(Risikolog[Status]="Risiko",Risikolog[Risiko-id])),A24),"")</f>
        <v/>
      </c>
      <c r="E24" s="71" t="e">
        <f t="array" ref="E24">LARGE(IF(Risikolog[Beredskabsplan lagt i risikopulje]="Ja",IF(Risikolog[Status]="Risiko",Risikolog[Risiko-værdi])),A24)</f>
        <v>#NUM!</v>
      </c>
      <c r="F24" s="71" t="str">
        <f t="shared" ref="F24:F87" si="2">IFERROR(VLOOKUP($E24,B$4:C$23,2,FALSE),"")</f>
        <v/>
      </c>
      <c r="I24" s="126" t="str">
        <f t="array" ref="I24">IFERROR(VLOOKUP(J24,Risikolog[],9),"")</f>
        <v/>
      </c>
      <c r="J24" s="71" t="str">
        <f t="array" ref="J24">IFERROR(SMALL(IF(Risikolog[Mitigerende tiltag lagt i projektplan]="Ja",IF(Risikolog[Status]="Risiko",Risikolog[Risiko-id])),A24),"")</f>
        <v/>
      </c>
      <c r="L24" s="71" t="e">
        <f t="array" ref="L24">LARGE(IF(Risikolog[Mitigerende tiltag lagt i projektplan]="Ja",IF(Risikolog[Status]="Risiko",Risikolog[Risiko-værdi])),A24)</f>
        <v>#NUM!</v>
      </c>
      <c r="M24" s="71" t="str">
        <f t="shared" si="1"/>
        <v/>
      </c>
    </row>
    <row r="25" spans="1:13" x14ac:dyDescent="0.2">
      <c r="A25" s="71">
        <v>22</v>
      </c>
      <c r="B25" s="126" t="str">
        <f t="array" ref="B25">IFERROR(VLOOKUP(C25,Risikolog[],9),"")</f>
        <v/>
      </c>
      <c r="C25" s="71" t="str">
        <f t="array" ref="C25">IFERROR(SMALL(IF(Risikolog[Beredskabsplan lagt i risikopulje]="Ja",IF(Risikolog[Status]="Risiko",Risikolog[Risiko-id])),A25),"")</f>
        <v/>
      </c>
      <c r="E25" s="71" t="e">
        <f t="array" ref="E25">LARGE(IF(Risikolog[Beredskabsplan lagt i risikopulje]="Ja",IF(Risikolog[Status]="Risiko",Risikolog[Risiko-værdi])),A25)</f>
        <v>#NUM!</v>
      </c>
      <c r="F25" s="71" t="str">
        <f t="shared" si="2"/>
        <v/>
      </c>
      <c r="I25" s="126" t="str">
        <f t="array" ref="I25">IFERROR(VLOOKUP(J25,Risikolog[],9),"")</f>
        <v/>
      </c>
      <c r="J25" s="71" t="str">
        <f t="array" ref="J25">IFERROR(SMALL(IF(Risikolog[Mitigerende tiltag lagt i projektplan]="Ja",IF(Risikolog[Status]="Risiko",Risikolog[Risiko-id])),A25),"")</f>
        <v/>
      </c>
      <c r="L25" s="71" t="e">
        <f t="array" ref="L25">LARGE(IF(Risikolog[Mitigerende tiltag lagt i projektplan]="Ja",IF(Risikolog[Status]="Risiko",Risikolog[Risiko-værdi])),A25)</f>
        <v>#NUM!</v>
      </c>
      <c r="M25" s="71" t="str">
        <f t="shared" si="1"/>
        <v/>
      </c>
    </row>
    <row r="26" spans="1:13" x14ac:dyDescent="0.2">
      <c r="A26" s="71">
        <v>23</v>
      </c>
      <c r="B26" s="126" t="str">
        <f t="array" ref="B26">IFERROR(VLOOKUP(C26,Risikolog[],9),"")</f>
        <v/>
      </c>
      <c r="C26" s="71" t="str">
        <f t="array" ref="C26">IFERROR(SMALL(IF(Risikolog[Beredskabsplan lagt i risikopulje]="Ja",IF(Risikolog[Status]="Risiko",Risikolog[Risiko-id])),A26),"")</f>
        <v/>
      </c>
      <c r="E26" s="71" t="e">
        <f t="array" ref="E26">LARGE(IF(Risikolog[Beredskabsplan lagt i risikopulje]="Ja",IF(Risikolog[Status]="Risiko",Risikolog[Risiko-værdi])),A26)</f>
        <v>#NUM!</v>
      </c>
      <c r="F26" s="71" t="str">
        <f t="shared" si="2"/>
        <v/>
      </c>
      <c r="I26" s="126" t="str">
        <f t="array" ref="I26">IFERROR(VLOOKUP(J26,Risikolog[],9),"")</f>
        <v/>
      </c>
      <c r="J26" s="71" t="str">
        <f t="array" ref="J26">IFERROR(SMALL(IF(Risikolog[Mitigerende tiltag lagt i projektplan]="Ja",IF(Risikolog[Status]="Risiko",Risikolog[Risiko-id])),A26),"")</f>
        <v/>
      </c>
      <c r="L26" s="71" t="e">
        <f t="array" ref="L26">LARGE(IF(Risikolog[Mitigerende tiltag lagt i projektplan]="Ja",IF(Risikolog[Status]="Risiko",Risikolog[Risiko-værdi])),A26)</f>
        <v>#NUM!</v>
      </c>
      <c r="M26" s="71" t="str">
        <f t="shared" si="1"/>
        <v/>
      </c>
    </row>
    <row r="27" spans="1:13" x14ac:dyDescent="0.2">
      <c r="A27" s="71">
        <v>24</v>
      </c>
      <c r="B27" s="126" t="str">
        <f t="array" ref="B27">IFERROR(VLOOKUP(C27,Risikolog[],9),"")</f>
        <v/>
      </c>
      <c r="C27" s="71" t="str">
        <f t="array" ref="C27">IFERROR(SMALL(IF(Risikolog[Beredskabsplan lagt i risikopulje]="Ja",IF(Risikolog[Status]="Risiko",Risikolog[Risiko-id])),A27),"")</f>
        <v/>
      </c>
      <c r="E27" s="71" t="e">
        <f t="array" ref="E27">LARGE(IF(Risikolog[Beredskabsplan lagt i risikopulje]="Ja",IF(Risikolog[Status]="Risiko",Risikolog[Risiko-værdi])),A27)</f>
        <v>#NUM!</v>
      </c>
      <c r="F27" s="71" t="str">
        <f t="shared" si="2"/>
        <v/>
      </c>
      <c r="I27" s="126" t="str">
        <f t="array" ref="I27">IFERROR(VLOOKUP(J27,Risikolog[],9),"")</f>
        <v/>
      </c>
      <c r="J27" s="71" t="str">
        <f t="array" ref="J27">IFERROR(SMALL(IF(Risikolog[Mitigerende tiltag lagt i projektplan]="Ja",IF(Risikolog[Status]="Risiko",Risikolog[Risiko-id])),A27),"")</f>
        <v/>
      </c>
      <c r="L27" s="71" t="e">
        <f t="array" ref="L27">LARGE(IF(Risikolog[Mitigerende tiltag lagt i projektplan]="Ja",IF(Risikolog[Status]="Risiko",Risikolog[Risiko-værdi])),A27)</f>
        <v>#NUM!</v>
      </c>
      <c r="M27" s="71" t="str">
        <f t="shared" si="1"/>
        <v/>
      </c>
    </row>
    <row r="28" spans="1:13" x14ac:dyDescent="0.2">
      <c r="A28" s="71">
        <v>25</v>
      </c>
      <c r="B28" s="126" t="str">
        <f t="array" ref="B28">IFERROR(VLOOKUP(C28,Risikolog[],9),"")</f>
        <v/>
      </c>
      <c r="C28" s="71" t="str">
        <f t="array" ref="C28">IFERROR(SMALL(IF(Risikolog[Beredskabsplan lagt i risikopulje]="Ja",IF(Risikolog[Status]="Risiko",Risikolog[Risiko-id])),A28),"")</f>
        <v/>
      </c>
      <c r="E28" s="71" t="e">
        <f t="array" ref="E28">LARGE(IF(Risikolog[Beredskabsplan lagt i risikopulje]="Ja",IF(Risikolog[Status]="Risiko",Risikolog[Risiko-værdi])),A28)</f>
        <v>#NUM!</v>
      </c>
      <c r="F28" s="71" t="str">
        <f t="shared" si="2"/>
        <v/>
      </c>
      <c r="I28" s="126" t="str">
        <f t="array" ref="I28">IFERROR(VLOOKUP(J28,Risikolog[],9),"")</f>
        <v/>
      </c>
      <c r="J28" s="71" t="str">
        <f t="array" ref="J28">IFERROR(SMALL(IF(Risikolog[Mitigerende tiltag lagt i projektplan]="Ja",IF(Risikolog[Status]="Risiko",Risikolog[Risiko-id])),A28),"")</f>
        <v/>
      </c>
      <c r="L28" s="71" t="e">
        <f t="array" ref="L28">LARGE(IF(Risikolog[Mitigerende tiltag lagt i projektplan]="Ja",IF(Risikolog[Status]="Risiko",Risikolog[Risiko-værdi])),A28)</f>
        <v>#NUM!</v>
      </c>
      <c r="M28" s="71" t="str">
        <f t="shared" si="1"/>
        <v/>
      </c>
    </row>
    <row r="29" spans="1:13" x14ac:dyDescent="0.2">
      <c r="A29" s="71">
        <v>26</v>
      </c>
      <c r="B29" s="126" t="str">
        <f t="array" ref="B29">IFERROR(VLOOKUP(C29,Risikolog[],9),"")</f>
        <v/>
      </c>
      <c r="C29" s="71" t="str">
        <f t="array" ref="C29">IFERROR(SMALL(IF(Risikolog[Beredskabsplan lagt i risikopulje]="Ja",IF(Risikolog[Status]="Risiko",Risikolog[Risiko-id])),A29),"")</f>
        <v/>
      </c>
      <c r="E29" s="71" t="e">
        <f t="array" ref="E29">LARGE(IF(Risikolog[Beredskabsplan lagt i risikopulje]="Ja",IF(Risikolog[Status]="Risiko",Risikolog[Risiko-værdi])),A29)</f>
        <v>#NUM!</v>
      </c>
      <c r="F29" s="71" t="str">
        <f t="shared" si="2"/>
        <v/>
      </c>
      <c r="I29" s="126" t="str">
        <f t="array" ref="I29">IFERROR(VLOOKUP(J29,Risikolog[],9),"")</f>
        <v/>
      </c>
      <c r="J29" s="71" t="str">
        <f t="array" ref="J29">IFERROR(SMALL(IF(Risikolog[Mitigerende tiltag lagt i projektplan]="Ja",IF(Risikolog[Status]="Risiko",Risikolog[Risiko-id])),A29),"")</f>
        <v/>
      </c>
      <c r="L29" s="71" t="e">
        <f t="array" ref="L29">LARGE(IF(Risikolog[Mitigerende tiltag lagt i projektplan]="Ja",IF(Risikolog[Status]="Risiko",Risikolog[Risiko-værdi])),A29)</f>
        <v>#NUM!</v>
      </c>
      <c r="M29" s="71" t="str">
        <f t="shared" si="1"/>
        <v/>
      </c>
    </row>
    <row r="30" spans="1:13" x14ac:dyDescent="0.2">
      <c r="A30" s="71">
        <v>27</v>
      </c>
      <c r="B30" s="126" t="str">
        <f t="array" ref="B30">IFERROR(VLOOKUP(C30,Risikolog[],9),"")</f>
        <v/>
      </c>
      <c r="C30" s="71" t="str">
        <f t="array" ref="C30">IFERROR(SMALL(IF(Risikolog[Beredskabsplan lagt i risikopulje]="Ja",IF(Risikolog[Status]="Risiko",Risikolog[Risiko-id])),A30),"")</f>
        <v/>
      </c>
      <c r="E30" s="71" t="e">
        <f t="array" ref="E30">LARGE(IF(Risikolog[Beredskabsplan lagt i risikopulje]="Ja",IF(Risikolog[Status]="Risiko",Risikolog[Risiko-værdi])),A30)</f>
        <v>#NUM!</v>
      </c>
      <c r="F30" s="71" t="str">
        <f t="shared" si="2"/>
        <v/>
      </c>
      <c r="I30" s="126" t="str">
        <f t="array" ref="I30">IFERROR(VLOOKUP(J30,Risikolog[],9),"")</f>
        <v/>
      </c>
      <c r="J30" s="71" t="str">
        <f t="array" ref="J30">IFERROR(SMALL(IF(Risikolog[Mitigerende tiltag lagt i projektplan]="Ja",IF(Risikolog[Status]="Risiko",Risikolog[Risiko-id])),A30),"")</f>
        <v/>
      </c>
      <c r="L30" s="71" t="e">
        <f t="array" ref="L30">LARGE(IF(Risikolog[Mitigerende tiltag lagt i projektplan]="Ja",IF(Risikolog[Status]="Risiko",Risikolog[Risiko-værdi])),A30)</f>
        <v>#NUM!</v>
      </c>
      <c r="M30" s="71" t="str">
        <f t="shared" si="1"/>
        <v/>
      </c>
    </row>
    <row r="31" spans="1:13" x14ac:dyDescent="0.2">
      <c r="A31" s="71">
        <v>28</v>
      </c>
      <c r="B31" s="126" t="str">
        <f t="array" ref="B31">IFERROR(VLOOKUP(C31,Risikolog[],9),"")</f>
        <v/>
      </c>
      <c r="C31" s="71" t="str">
        <f t="array" ref="C31">IFERROR(SMALL(IF(Risikolog[Beredskabsplan lagt i risikopulje]="Ja",IF(Risikolog[Status]="Risiko",Risikolog[Risiko-id])),A31),"")</f>
        <v/>
      </c>
      <c r="E31" s="71" t="e">
        <f t="array" ref="E31">LARGE(IF(Risikolog[Beredskabsplan lagt i risikopulje]="Ja",IF(Risikolog[Status]="Risiko",Risikolog[Risiko-værdi])),A31)</f>
        <v>#NUM!</v>
      </c>
      <c r="F31" s="71" t="str">
        <f t="shared" si="2"/>
        <v/>
      </c>
      <c r="I31" s="126" t="str">
        <f t="array" ref="I31">IFERROR(VLOOKUP(J31,Risikolog[],9),"")</f>
        <v/>
      </c>
      <c r="J31" s="71" t="str">
        <f t="array" ref="J31">IFERROR(SMALL(IF(Risikolog[Mitigerende tiltag lagt i projektplan]="Ja",IF(Risikolog[Status]="Risiko",Risikolog[Risiko-id])),A31),"")</f>
        <v/>
      </c>
      <c r="L31" s="71" t="e">
        <f t="array" ref="L31">LARGE(IF(Risikolog[Mitigerende tiltag lagt i projektplan]="Ja",IF(Risikolog[Status]="Risiko",Risikolog[Risiko-værdi])),A31)</f>
        <v>#NUM!</v>
      </c>
      <c r="M31" s="71" t="str">
        <f t="shared" si="1"/>
        <v/>
      </c>
    </row>
    <row r="32" spans="1:13" x14ac:dyDescent="0.2">
      <c r="A32" s="71">
        <v>29</v>
      </c>
      <c r="B32" s="126" t="str">
        <f t="array" ref="B32">IFERROR(VLOOKUP(C32,Risikolog[],9),"")</f>
        <v/>
      </c>
      <c r="C32" s="71" t="str">
        <f t="array" ref="C32">IFERROR(SMALL(IF(Risikolog[Beredskabsplan lagt i risikopulje]="Ja",IF(Risikolog[Status]="Risiko",Risikolog[Risiko-id])),A32),"")</f>
        <v/>
      </c>
      <c r="E32" s="71" t="e">
        <f t="array" ref="E32">LARGE(IF(Risikolog[Beredskabsplan lagt i risikopulje]="Ja",IF(Risikolog[Status]="Risiko",Risikolog[Risiko-værdi])),A32)</f>
        <v>#NUM!</v>
      </c>
      <c r="F32" s="71" t="str">
        <f t="shared" si="2"/>
        <v/>
      </c>
      <c r="I32" s="126" t="str">
        <f t="array" ref="I32">IFERROR(VLOOKUP(J32,Risikolog[],9),"")</f>
        <v/>
      </c>
      <c r="J32" s="71" t="str">
        <f t="array" ref="J32">IFERROR(SMALL(IF(Risikolog[Mitigerende tiltag lagt i projektplan]="Ja",IF(Risikolog[Status]="Risiko",Risikolog[Risiko-id])),A32),"")</f>
        <v/>
      </c>
      <c r="L32" s="71" t="e">
        <f t="array" ref="L32">LARGE(IF(Risikolog[Mitigerende tiltag lagt i projektplan]="Ja",IF(Risikolog[Status]="Risiko",Risikolog[Risiko-værdi])),A32)</f>
        <v>#NUM!</v>
      </c>
      <c r="M32" s="71" t="str">
        <f t="shared" si="1"/>
        <v/>
      </c>
    </row>
    <row r="33" spans="1:13" x14ac:dyDescent="0.2">
      <c r="A33" s="71">
        <v>30</v>
      </c>
      <c r="B33" s="126" t="str">
        <f t="array" ref="B33">IFERROR(VLOOKUP(C33,Risikolog[],9),"")</f>
        <v/>
      </c>
      <c r="C33" s="71" t="str">
        <f t="array" ref="C33">IFERROR(SMALL(IF(Risikolog[Beredskabsplan lagt i risikopulje]="Ja",IF(Risikolog[Status]="Risiko",Risikolog[Risiko-id])),A33),"")</f>
        <v/>
      </c>
      <c r="E33" s="71" t="e">
        <f t="array" ref="E33">LARGE(IF(Risikolog[Beredskabsplan lagt i risikopulje]="Ja",IF(Risikolog[Status]="Risiko",Risikolog[Risiko-værdi])),A33)</f>
        <v>#NUM!</v>
      </c>
      <c r="F33" s="71" t="str">
        <f t="shared" si="2"/>
        <v/>
      </c>
      <c r="I33" s="126" t="str">
        <f t="array" ref="I33">IFERROR(VLOOKUP(J33,Risikolog[],9),"")</f>
        <v/>
      </c>
      <c r="J33" s="71" t="str">
        <f t="array" ref="J33">IFERROR(SMALL(IF(Risikolog[Mitigerende tiltag lagt i projektplan]="Ja",IF(Risikolog[Status]="Risiko",Risikolog[Risiko-id])),A33),"")</f>
        <v/>
      </c>
      <c r="L33" s="71" t="e">
        <f t="array" ref="L33">LARGE(IF(Risikolog[Mitigerende tiltag lagt i projektplan]="Ja",IF(Risikolog[Status]="Risiko",Risikolog[Risiko-værdi])),A33)</f>
        <v>#NUM!</v>
      </c>
      <c r="M33" s="71" t="str">
        <f t="shared" si="1"/>
        <v/>
      </c>
    </row>
    <row r="34" spans="1:13" x14ac:dyDescent="0.2">
      <c r="A34" s="71">
        <v>31</v>
      </c>
      <c r="B34" s="126" t="str">
        <f t="array" ref="B34">IFERROR(VLOOKUP(C34,Risikolog[],9),"")</f>
        <v/>
      </c>
      <c r="C34" s="71" t="str">
        <f t="array" ref="C34">IFERROR(SMALL(IF(Risikolog[Beredskabsplan lagt i risikopulje]="Ja",IF(Risikolog[Status]="Risiko",Risikolog[Risiko-id])),A34),"")</f>
        <v/>
      </c>
      <c r="E34" s="71" t="e">
        <f t="array" ref="E34">LARGE(IF(Risikolog[Beredskabsplan lagt i risikopulje]="Ja",IF(Risikolog[Status]="Risiko",Risikolog[Risiko-værdi])),A34)</f>
        <v>#NUM!</v>
      </c>
      <c r="F34" s="71" t="str">
        <f t="shared" si="2"/>
        <v/>
      </c>
      <c r="I34" s="126" t="str">
        <f t="array" ref="I34">IFERROR(VLOOKUP(J34,Risikolog[],9),"")</f>
        <v/>
      </c>
      <c r="J34" s="71" t="str">
        <f t="array" ref="J34">IFERROR(SMALL(IF(Risikolog[Mitigerende tiltag lagt i projektplan]="Ja",IF(Risikolog[Status]="Risiko",Risikolog[Risiko-id])),A34),"")</f>
        <v/>
      </c>
      <c r="L34" s="71" t="e">
        <f t="array" ref="L34">LARGE(IF(Risikolog[Mitigerende tiltag lagt i projektplan]="Ja",IF(Risikolog[Status]="Risiko",Risikolog[Risiko-værdi])),A34)</f>
        <v>#NUM!</v>
      </c>
      <c r="M34" s="71" t="str">
        <f t="shared" si="1"/>
        <v/>
      </c>
    </row>
    <row r="35" spans="1:13" x14ac:dyDescent="0.2">
      <c r="A35" s="71">
        <v>32</v>
      </c>
      <c r="B35" s="126" t="str">
        <f t="array" ref="B35">IFERROR(VLOOKUP(C35,Risikolog[],9),"")</f>
        <v/>
      </c>
      <c r="C35" s="71" t="str">
        <f t="array" ref="C35">IFERROR(SMALL(IF(Risikolog[Beredskabsplan lagt i risikopulje]="Ja",IF(Risikolog[Status]="Risiko",Risikolog[Risiko-id])),A35),"")</f>
        <v/>
      </c>
      <c r="E35" s="71" t="e">
        <f t="array" ref="E35">LARGE(IF(Risikolog[Beredskabsplan lagt i risikopulje]="Ja",IF(Risikolog[Status]="Risiko",Risikolog[Risiko-værdi])),A35)</f>
        <v>#NUM!</v>
      </c>
      <c r="F35" s="71" t="str">
        <f t="shared" si="2"/>
        <v/>
      </c>
      <c r="I35" s="126" t="str">
        <f t="array" ref="I35">IFERROR(VLOOKUP(J35,Risikolog[],9),"")</f>
        <v/>
      </c>
      <c r="J35" s="71" t="str">
        <f t="array" ref="J35">IFERROR(SMALL(IF(Risikolog[Mitigerende tiltag lagt i projektplan]="Ja",IF(Risikolog[Status]="Risiko",Risikolog[Risiko-id])),A35),"")</f>
        <v/>
      </c>
      <c r="L35" s="71" t="e">
        <f t="array" ref="L35">LARGE(IF(Risikolog[Mitigerende tiltag lagt i projektplan]="Ja",IF(Risikolog[Status]="Risiko",Risikolog[Risiko-værdi])),A35)</f>
        <v>#NUM!</v>
      </c>
      <c r="M35" s="71" t="str">
        <f t="shared" si="1"/>
        <v/>
      </c>
    </row>
    <row r="36" spans="1:13" x14ac:dyDescent="0.2">
      <c r="A36" s="71">
        <v>33</v>
      </c>
      <c r="B36" s="126" t="str">
        <f t="array" ref="B36">IFERROR(VLOOKUP(C36,Risikolog[],9),"")</f>
        <v/>
      </c>
      <c r="C36" s="71" t="str">
        <f t="array" ref="C36">IFERROR(SMALL(IF(Risikolog[Beredskabsplan lagt i risikopulje]="Ja",IF(Risikolog[Status]="Risiko",Risikolog[Risiko-id])),A36),"")</f>
        <v/>
      </c>
      <c r="E36" s="71" t="e">
        <f t="array" ref="E36">LARGE(IF(Risikolog[Beredskabsplan lagt i risikopulje]="Ja",IF(Risikolog[Status]="Risiko",Risikolog[Risiko-værdi])),A36)</f>
        <v>#NUM!</v>
      </c>
      <c r="F36" s="71" t="str">
        <f t="shared" si="2"/>
        <v/>
      </c>
      <c r="I36" s="126" t="str">
        <f t="array" ref="I36">IFERROR(VLOOKUP(J36,Risikolog[],9),"")</f>
        <v/>
      </c>
      <c r="J36" s="71" t="str">
        <f t="array" ref="J36">IFERROR(SMALL(IF(Risikolog[Mitigerende tiltag lagt i projektplan]="Ja",IF(Risikolog[Status]="Risiko",Risikolog[Risiko-id])),A36),"")</f>
        <v/>
      </c>
      <c r="L36" s="71" t="e">
        <f t="array" ref="L36">LARGE(IF(Risikolog[Mitigerende tiltag lagt i projektplan]="Ja",IF(Risikolog[Status]="Risiko",Risikolog[Risiko-værdi])),A36)</f>
        <v>#NUM!</v>
      </c>
      <c r="M36" s="71" t="str">
        <f t="shared" si="1"/>
        <v/>
      </c>
    </row>
    <row r="37" spans="1:13" x14ac:dyDescent="0.2">
      <c r="A37" s="71">
        <v>34</v>
      </c>
      <c r="B37" s="126" t="str">
        <f t="array" ref="B37">IFERROR(VLOOKUP(C37,Risikolog[],9),"")</f>
        <v/>
      </c>
      <c r="C37" s="71" t="str">
        <f t="array" ref="C37">IFERROR(SMALL(IF(Risikolog[Beredskabsplan lagt i risikopulje]="Ja",IF(Risikolog[Status]="Risiko",Risikolog[Risiko-id])),A37),"")</f>
        <v/>
      </c>
      <c r="E37" s="71" t="e">
        <f t="array" ref="E37">LARGE(IF(Risikolog[Beredskabsplan lagt i risikopulje]="Ja",IF(Risikolog[Status]="Risiko",Risikolog[Risiko-værdi])),A37)</f>
        <v>#NUM!</v>
      </c>
      <c r="F37" s="71" t="str">
        <f t="shared" si="2"/>
        <v/>
      </c>
      <c r="I37" s="126" t="str">
        <f t="array" ref="I37">IFERROR(VLOOKUP(J37,Risikolog[],9),"")</f>
        <v/>
      </c>
      <c r="J37" s="71" t="str">
        <f t="array" ref="J37">IFERROR(SMALL(IF(Risikolog[Mitigerende tiltag lagt i projektplan]="Ja",IF(Risikolog[Status]="Risiko",Risikolog[Risiko-id])),A37),"")</f>
        <v/>
      </c>
      <c r="L37" s="71" t="e">
        <f t="array" ref="L37">LARGE(IF(Risikolog[Mitigerende tiltag lagt i projektplan]="Ja",IF(Risikolog[Status]="Risiko",Risikolog[Risiko-værdi])),A37)</f>
        <v>#NUM!</v>
      </c>
      <c r="M37" s="71" t="str">
        <f t="shared" si="1"/>
        <v/>
      </c>
    </row>
    <row r="38" spans="1:13" x14ac:dyDescent="0.2">
      <c r="A38" s="71">
        <v>35</v>
      </c>
      <c r="B38" s="126" t="str">
        <f t="array" ref="B38">IFERROR(VLOOKUP(C38,Risikolog[],9),"")</f>
        <v/>
      </c>
      <c r="C38" s="71" t="str">
        <f t="array" ref="C38">IFERROR(SMALL(IF(Risikolog[Beredskabsplan lagt i risikopulje]="Ja",IF(Risikolog[Status]="Risiko",Risikolog[Risiko-id])),A38),"")</f>
        <v/>
      </c>
      <c r="E38" s="71" t="e">
        <f t="array" ref="E38">LARGE(IF(Risikolog[Beredskabsplan lagt i risikopulje]="Ja",IF(Risikolog[Status]="Risiko",Risikolog[Risiko-værdi])),A38)</f>
        <v>#NUM!</v>
      </c>
      <c r="F38" s="71" t="str">
        <f t="shared" si="2"/>
        <v/>
      </c>
      <c r="I38" s="126" t="str">
        <f t="array" ref="I38">IFERROR(VLOOKUP(J38,Risikolog[],9),"")</f>
        <v/>
      </c>
      <c r="J38" s="71" t="str">
        <f t="array" ref="J38">IFERROR(SMALL(IF(Risikolog[Mitigerende tiltag lagt i projektplan]="Ja",IF(Risikolog[Status]="Risiko",Risikolog[Risiko-id])),A38),"")</f>
        <v/>
      </c>
      <c r="L38" s="71" t="e">
        <f t="array" ref="L38">LARGE(IF(Risikolog[Mitigerende tiltag lagt i projektplan]="Ja",IF(Risikolog[Status]="Risiko",Risikolog[Risiko-værdi])),A38)</f>
        <v>#NUM!</v>
      </c>
      <c r="M38" s="71" t="str">
        <f t="shared" si="1"/>
        <v/>
      </c>
    </row>
    <row r="39" spans="1:13" x14ac:dyDescent="0.2">
      <c r="A39" s="71">
        <v>36</v>
      </c>
      <c r="B39" s="126" t="str">
        <f t="array" ref="B39">IFERROR(VLOOKUP(C39,Risikolog[],9),"")</f>
        <v/>
      </c>
      <c r="C39" s="71" t="str">
        <f t="array" ref="C39">IFERROR(SMALL(IF(Risikolog[Beredskabsplan lagt i risikopulje]="Ja",IF(Risikolog[Status]="Risiko",Risikolog[Risiko-id])),A39),"")</f>
        <v/>
      </c>
      <c r="E39" s="71" t="e">
        <f t="array" ref="E39">LARGE(IF(Risikolog[Beredskabsplan lagt i risikopulje]="Ja",IF(Risikolog[Status]="Risiko",Risikolog[Risiko-værdi])),A39)</f>
        <v>#NUM!</v>
      </c>
      <c r="F39" s="71" t="str">
        <f t="shared" si="2"/>
        <v/>
      </c>
      <c r="I39" s="126" t="str">
        <f t="array" ref="I39">IFERROR(VLOOKUP(J39,Risikolog[],9),"")</f>
        <v/>
      </c>
      <c r="J39" s="71" t="str">
        <f t="array" ref="J39">IFERROR(SMALL(IF(Risikolog[Mitigerende tiltag lagt i projektplan]="Ja",IF(Risikolog[Status]="Risiko",Risikolog[Risiko-id])),A39),"")</f>
        <v/>
      </c>
      <c r="L39" s="71" t="e">
        <f t="array" ref="L39">LARGE(IF(Risikolog[Mitigerende tiltag lagt i projektplan]="Ja",IF(Risikolog[Status]="Risiko",Risikolog[Risiko-værdi])),A39)</f>
        <v>#NUM!</v>
      </c>
      <c r="M39" s="71" t="str">
        <f t="shared" si="1"/>
        <v/>
      </c>
    </row>
    <row r="40" spans="1:13" x14ac:dyDescent="0.2">
      <c r="A40" s="71">
        <v>37</v>
      </c>
      <c r="B40" s="126" t="str">
        <f t="array" ref="B40">IFERROR(VLOOKUP(C40,Risikolog[],9),"")</f>
        <v/>
      </c>
      <c r="C40" s="71" t="str">
        <f t="array" ref="C40">IFERROR(SMALL(IF(Risikolog[Beredskabsplan lagt i risikopulje]="Ja",IF(Risikolog[Status]="Risiko",Risikolog[Risiko-id])),A40),"")</f>
        <v/>
      </c>
      <c r="E40" s="71" t="e">
        <f t="array" ref="E40">LARGE(IF(Risikolog[Beredskabsplan lagt i risikopulje]="Ja",IF(Risikolog[Status]="Risiko",Risikolog[Risiko-værdi])),A40)</f>
        <v>#NUM!</v>
      </c>
      <c r="F40" s="71" t="str">
        <f t="shared" si="2"/>
        <v/>
      </c>
      <c r="I40" s="126" t="str">
        <f t="array" ref="I40">IFERROR(VLOOKUP(J40,Risikolog[],9),"")</f>
        <v/>
      </c>
      <c r="J40" s="71" t="str">
        <f t="array" ref="J40">IFERROR(SMALL(IF(Risikolog[Mitigerende tiltag lagt i projektplan]="Ja",IF(Risikolog[Status]="Risiko",Risikolog[Risiko-id])),A40),"")</f>
        <v/>
      </c>
      <c r="L40" s="71" t="e">
        <f t="array" ref="L40">LARGE(IF(Risikolog[Mitigerende tiltag lagt i projektplan]="Ja",IF(Risikolog[Status]="Risiko",Risikolog[Risiko-værdi])),A40)</f>
        <v>#NUM!</v>
      </c>
      <c r="M40" s="71" t="str">
        <f t="shared" si="1"/>
        <v/>
      </c>
    </row>
    <row r="41" spans="1:13" x14ac:dyDescent="0.2">
      <c r="A41" s="71">
        <v>38</v>
      </c>
      <c r="B41" s="126" t="str">
        <f t="array" ref="B41">IFERROR(VLOOKUP(C41,Risikolog[],9),"")</f>
        <v/>
      </c>
      <c r="C41" s="71" t="str">
        <f t="array" ref="C41">IFERROR(SMALL(IF(Risikolog[Beredskabsplan lagt i risikopulje]="Ja",IF(Risikolog[Status]="Risiko",Risikolog[Risiko-id])),A41),"")</f>
        <v/>
      </c>
      <c r="E41" s="71" t="e">
        <f t="array" ref="E41">LARGE(IF(Risikolog[Beredskabsplan lagt i risikopulje]="Ja",IF(Risikolog[Status]="Risiko",Risikolog[Risiko-værdi])),A41)</f>
        <v>#NUM!</v>
      </c>
      <c r="F41" s="71" t="str">
        <f t="shared" si="2"/>
        <v/>
      </c>
      <c r="I41" s="126" t="str">
        <f t="array" ref="I41">IFERROR(VLOOKUP(J41,Risikolog[],9),"")</f>
        <v/>
      </c>
      <c r="J41" s="71" t="str">
        <f t="array" ref="J41">IFERROR(SMALL(IF(Risikolog[Mitigerende tiltag lagt i projektplan]="Ja",IF(Risikolog[Status]="Risiko",Risikolog[Risiko-id])),A41),"")</f>
        <v/>
      </c>
      <c r="L41" s="71" t="e">
        <f t="array" ref="L41">LARGE(IF(Risikolog[Mitigerende tiltag lagt i projektplan]="Ja",IF(Risikolog[Status]="Risiko",Risikolog[Risiko-værdi])),A41)</f>
        <v>#NUM!</v>
      </c>
      <c r="M41" s="71" t="str">
        <f t="shared" si="1"/>
        <v/>
      </c>
    </row>
    <row r="42" spans="1:13" x14ac:dyDescent="0.2">
      <c r="A42" s="71">
        <v>39</v>
      </c>
      <c r="B42" s="126" t="str">
        <f t="array" ref="B42">IFERROR(VLOOKUP(C42,Risikolog[],9),"")</f>
        <v/>
      </c>
      <c r="C42" s="71" t="str">
        <f t="array" ref="C42">IFERROR(SMALL(IF(Risikolog[Beredskabsplan lagt i risikopulje]="Ja",IF(Risikolog[Status]="Risiko",Risikolog[Risiko-id])),A42),"")</f>
        <v/>
      </c>
      <c r="E42" s="71" t="e">
        <f t="array" ref="E42">LARGE(IF(Risikolog[Beredskabsplan lagt i risikopulje]="Ja",IF(Risikolog[Status]="Risiko",Risikolog[Risiko-værdi])),A42)</f>
        <v>#NUM!</v>
      </c>
      <c r="F42" s="71" t="str">
        <f t="shared" si="2"/>
        <v/>
      </c>
      <c r="I42" s="126" t="str">
        <f t="array" ref="I42">IFERROR(VLOOKUP(J42,Risikolog[],9),"")</f>
        <v/>
      </c>
      <c r="J42" s="71" t="str">
        <f t="array" ref="J42">IFERROR(SMALL(IF(Risikolog[Mitigerende tiltag lagt i projektplan]="Ja",IF(Risikolog[Status]="Risiko",Risikolog[Risiko-id])),A42),"")</f>
        <v/>
      </c>
      <c r="L42" s="71" t="e">
        <f t="array" ref="L42">LARGE(IF(Risikolog[Mitigerende tiltag lagt i projektplan]="Ja",IF(Risikolog[Status]="Risiko",Risikolog[Risiko-værdi])),A42)</f>
        <v>#NUM!</v>
      </c>
      <c r="M42" s="71" t="str">
        <f t="shared" si="1"/>
        <v/>
      </c>
    </row>
    <row r="43" spans="1:13" x14ac:dyDescent="0.2">
      <c r="A43" s="71">
        <v>40</v>
      </c>
      <c r="B43" s="126" t="str">
        <f t="array" ref="B43">IFERROR(VLOOKUP(C43,Risikolog[],9),"")</f>
        <v/>
      </c>
      <c r="C43" s="71" t="str">
        <f t="array" ref="C43">IFERROR(SMALL(IF(Risikolog[Beredskabsplan lagt i risikopulje]="Ja",IF(Risikolog[Status]="Risiko",Risikolog[Risiko-id])),A43),"")</f>
        <v/>
      </c>
      <c r="E43" s="71" t="e">
        <f t="array" ref="E43">LARGE(IF(Risikolog[Beredskabsplan lagt i risikopulje]="Ja",IF(Risikolog[Status]="Risiko",Risikolog[Risiko-værdi])),A43)</f>
        <v>#NUM!</v>
      </c>
      <c r="F43" s="71" t="str">
        <f t="shared" si="2"/>
        <v/>
      </c>
      <c r="I43" s="126" t="str">
        <f t="array" ref="I43">IFERROR(VLOOKUP(J43,Risikolog[],9),"")</f>
        <v/>
      </c>
      <c r="J43" s="71" t="str">
        <f t="array" ref="J43">IFERROR(SMALL(IF(Risikolog[Mitigerende tiltag lagt i projektplan]="Ja",IF(Risikolog[Status]="Risiko",Risikolog[Risiko-id])),A43),"")</f>
        <v/>
      </c>
      <c r="L43" s="71" t="e">
        <f t="array" ref="L43">LARGE(IF(Risikolog[Mitigerende tiltag lagt i projektplan]="Ja",IF(Risikolog[Status]="Risiko",Risikolog[Risiko-værdi])),A43)</f>
        <v>#NUM!</v>
      </c>
      <c r="M43" s="71" t="str">
        <f t="shared" si="1"/>
        <v/>
      </c>
    </row>
    <row r="44" spans="1:13" x14ac:dyDescent="0.2">
      <c r="A44" s="71">
        <v>41</v>
      </c>
      <c r="B44" s="126" t="str">
        <f t="array" ref="B44">IFERROR(VLOOKUP(C44,Risikolog[],9),"")</f>
        <v/>
      </c>
      <c r="C44" s="71" t="str">
        <f t="array" ref="C44">IFERROR(SMALL(IF(Risikolog[Beredskabsplan lagt i risikopulje]="Ja",IF(Risikolog[Status]="Risiko",Risikolog[Risiko-id])),A44),"")</f>
        <v/>
      </c>
      <c r="E44" s="71" t="e">
        <f t="array" ref="E44">LARGE(IF(Risikolog[Beredskabsplan lagt i risikopulje]="Ja",IF(Risikolog[Status]="Risiko",Risikolog[Risiko-værdi])),A44)</f>
        <v>#NUM!</v>
      </c>
      <c r="F44" s="71" t="str">
        <f t="shared" si="2"/>
        <v/>
      </c>
      <c r="I44" s="126" t="str">
        <f t="array" ref="I44">IFERROR(VLOOKUP(J44,Risikolog[],9),"")</f>
        <v/>
      </c>
      <c r="J44" s="71" t="str">
        <f t="array" ref="J44">IFERROR(SMALL(IF(Risikolog[Mitigerende tiltag lagt i projektplan]="Ja",IF(Risikolog[Status]="Risiko",Risikolog[Risiko-id])),A44),"")</f>
        <v/>
      </c>
      <c r="L44" s="71" t="e">
        <f t="array" ref="L44">LARGE(IF(Risikolog[Mitigerende tiltag lagt i projektplan]="Ja",IF(Risikolog[Status]="Risiko",Risikolog[Risiko-værdi])),A44)</f>
        <v>#NUM!</v>
      </c>
      <c r="M44" s="71" t="str">
        <f t="shared" si="1"/>
        <v/>
      </c>
    </row>
    <row r="45" spans="1:13" x14ac:dyDescent="0.2">
      <c r="A45" s="71">
        <v>42</v>
      </c>
      <c r="B45" s="126" t="str">
        <f t="array" ref="B45">IFERROR(VLOOKUP(C45,Risikolog[],9),"")</f>
        <v/>
      </c>
      <c r="C45" s="71" t="str">
        <f t="array" ref="C45">IFERROR(SMALL(IF(Risikolog[Beredskabsplan lagt i risikopulje]="Ja",IF(Risikolog[Status]="Risiko",Risikolog[Risiko-id])),A45),"")</f>
        <v/>
      </c>
      <c r="E45" s="71" t="e">
        <f t="array" ref="E45">LARGE(IF(Risikolog[Beredskabsplan lagt i risikopulje]="Ja",IF(Risikolog[Status]="Risiko",Risikolog[Risiko-værdi])),A45)</f>
        <v>#NUM!</v>
      </c>
      <c r="F45" s="71" t="str">
        <f t="shared" si="2"/>
        <v/>
      </c>
      <c r="I45" s="126" t="str">
        <f t="array" ref="I45">IFERROR(VLOOKUP(J45,Risikolog[],9),"")</f>
        <v/>
      </c>
      <c r="J45" s="71" t="str">
        <f t="array" ref="J45">IFERROR(SMALL(IF(Risikolog[Mitigerende tiltag lagt i projektplan]="Ja",IF(Risikolog[Status]="Risiko",Risikolog[Risiko-id])),A45),"")</f>
        <v/>
      </c>
      <c r="L45" s="71" t="e">
        <f t="array" ref="L45">LARGE(IF(Risikolog[Mitigerende tiltag lagt i projektplan]="Ja",IF(Risikolog[Status]="Risiko",Risikolog[Risiko-værdi])),A45)</f>
        <v>#NUM!</v>
      </c>
      <c r="M45" s="71" t="str">
        <f t="shared" si="1"/>
        <v/>
      </c>
    </row>
    <row r="46" spans="1:13" x14ac:dyDescent="0.2">
      <c r="A46" s="71">
        <v>43</v>
      </c>
      <c r="B46" s="126" t="str">
        <f t="array" ref="B46">IFERROR(VLOOKUP(C46,Risikolog[],9),"")</f>
        <v/>
      </c>
      <c r="C46" s="71" t="str">
        <f t="array" ref="C46">IFERROR(SMALL(IF(Risikolog[Beredskabsplan lagt i risikopulje]="Ja",IF(Risikolog[Status]="Risiko",Risikolog[Risiko-id])),A46),"")</f>
        <v/>
      </c>
      <c r="E46" s="71" t="e">
        <f t="array" ref="E46">LARGE(IF(Risikolog[Beredskabsplan lagt i risikopulje]="Ja",IF(Risikolog[Status]="Risiko",Risikolog[Risiko-værdi])),A46)</f>
        <v>#NUM!</v>
      </c>
      <c r="F46" s="71" t="str">
        <f t="shared" si="2"/>
        <v/>
      </c>
      <c r="I46" s="126" t="str">
        <f t="array" ref="I46">IFERROR(VLOOKUP(J46,Risikolog[],9),"")</f>
        <v/>
      </c>
      <c r="J46" s="71" t="str">
        <f t="array" ref="J46">IFERROR(SMALL(IF(Risikolog[Mitigerende tiltag lagt i projektplan]="Ja",IF(Risikolog[Status]="Risiko",Risikolog[Risiko-id])),A46),"")</f>
        <v/>
      </c>
      <c r="L46" s="71" t="e">
        <f t="array" ref="L46">LARGE(IF(Risikolog[Mitigerende tiltag lagt i projektplan]="Ja",IF(Risikolog[Status]="Risiko",Risikolog[Risiko-værdi])),A46)</f>
        <v>#NUM!</v>
      </c>
      <c r="M46" s="71" t="str">
        <f t="shared" si="1"/>
        <v/>
      </c>
    </row>
    <row r="47" spans="1:13" x14ac:dyDescent="0.2">
      <c r="A47" s="71">
        <v>44</v>
      </c>
      <c r="B47" s="126" t="str">
        <f t="array" ref="B47">IFERROR(VLOOKUP(C47,Risikolog[],9),"")</f>
        <v/>
      </c>
      <c r="C47" s="71" t="str">
        <f t="array" ref="C47">IFERROR(SMALL(IF(Risikolog[Beredskabsplan lagt i risikopulje]="Ja",IF(Risikolog[Status]="Risiko",Risikolog[Risiko-id])),A47),"")</f>
        <v/>
      </c>
      <c r="E47" s="71" t="e">
        <f t="array" ref="E47">LARGE(IF(Risikolog[Beredskabsplan lagt i risikopulje]="Ja",IF(Risikolog[Status]="Risiko",Risikolog[Risiko-værdi])),A47)</f>
        <v>#NUM!</v>
      </c>
      <c r="F47" s="71" t="str">
        <f t="shared" si="2"/>
        <v/>
      </c>
      <c r="I47" s="126" t="str">
        <f t="array" ref="I47">IFERROR(VLOOKUP(J47,Risikolog[],9),"")</f>
        <v/>
      </c>
      <c r="J47" s="71" t="str">
        <f t="array" ref="J47">IFERROR(SMALL(IF(Risikolog[Mitigerende tiltag lagt i projektplan]="Ja",IF(Risikolog[Status]="Risiko",Risikolog[Risiko-id])),A47),"")</f>
        <v/>
      </c>
      <c r="L47" s="71" t="e">
        <f t="array" ref="L47">LARGE(IF(Risikolog[Mitigerende tiltag lagt i projektplan]="Ja",IF(Risikolog[Status]="Risiko",Risikolog[Risiko-værdi])),A47)</f>
        <v>#NUM!</v>
      </c>
      <c r="M47" s="71" t="str">
        <f t="shared" si="1"/>
        <v/>
      </c>
    </row>
    <row r="48" spans="1:13" x14ac:dyDescent="0.2">
      <c r="A48" s="71">
        <v>45</v>
      </c>
      <c r="B48" s="126" t="str">
        <f t="array" ref="B48">IFERROR(VLOOKUP(C48,Risikolog[],9),"")</f>
        <v/>
      </c>
      <c r="C48" s="71" t="str">
        <f t="array" ref="C48">IFERROR(SMALL(IF(Risikolog[Beredskabsplan lagt i risikopulje]="Ja",IF(Risikolog[Status]="Risiko",Risikolog[Risiko-id])),A48),"")</f>
        <v/>
      </c>
      <c r="E48" s="71" t="e">
        <f t="array" ref="E48">LARGE(IF(Risikolog[Beredskabsplan lagt i risikopulje]="Ja",IF(Risikolog[Status]="Risiko",Risikolog[Risiko-værdi])),A48)</f>
        <v>#NUM!</v>
      </c>
      <c r="F48" s="71" t="str">
        <f t="shared" si="2"/>
        <v/>
      </c>
      <c r="I48" s="126" t="str">
        <f t="array" ref="I48">IFERROR(VLOOKUP(J48,Risikolog[],9),"")</f>
        <v/>
      </c>
      <c r="J48" s="71" t="str">
        <f t="array" ref="J48">IFERROR(SMALL(IF(Risikolog[Mitigerende tiltag lagt i projektplan]="Ja",IF(Risikolog[Status]="Risiko",Risikolog[Risiko-id])),A48),"")</f>
        <v/>
      </c>
      <c r="L48" s="71" t="e">
        <f t="array" ref="L48">LARGE(IF(Risikolog[Mitigerende tiltag lagt i projektplan]="Ja",IF(Risikolog[Status]="Risiko",Risikolog[Risiko-værdi])),A48)</f>
        <v>#NUM!</v>
      </c>
      <c r="M48" s="71" t="str">
        <f t="shared" si="1"/>
        <v/>
      </c>
    </row>
    <row r="49" spans="1:13" x14ac:dyDescent="0.2">
      <c r="A49" s="71">
        <v>46</v>
      </c>
      <c r="B49" s="126" t="str">
        <f t="array" ref="B49">IFERROR(VLOOKUP(C49,Risikolog[],9),"")</f>
        <v/>
      </c>
      <c r="C49" s="71" t="str">
        <f t="array" ref="C49">IFERROR(SMALL(IF(Risikolog[Beredskabsplan lagt i risikopulje]="Ja",IF(Risikolog[Status]="Risiko",Risikolog[Risiko-id])),A49),"")</f>
        <v/>
      </c>
      <c r="E49" s="71" t="e">
        <f t="array" ref="E49">LARGE(IF(Risikolog[Beredskabsplan lagt i risikopulje]="Ja",IF(Risikolog[Status]="Risiko",Risikolog[Risiko-værdi])),A49)</f>
        <v>#NUM!</v>
      </c>
      <c r="F49" s="71" t="str">
        <f t="shared" si="2"/>
        <v/>
      </c>
      <c r="I49" s="126" t="str">
        <f t="array" ref="I49">IFERROR(VLOOKUP(J49,Risikolog[],9),"")</f>
        <v/>
      </c>
      <c r="J49" s="71" t="str">
        <f t="array" ref="J49">IFERROR(SMALL(IF(Risikolog[Mitigerende tiltag lagt i projektplan]="Ja",IF(Risikolog[Status]="Risiko",Risikolog[Risiko-id])),A49),"")</f>
        <v/>
      </c>
      <c r="L49" s="71" t="e">
        <f t="array" ref="L49">LARGE(IF(Risikolog[Mitigerende tiltag lagt i projektplan]="Ja",IF(Risikolog[Status]="Risiko",Risikolog[Risiko-værdi])),A49)</f>
        <v>#NUM!</v>
      </c>
      <c r="M49" s="71" t="str">
        <f t="shared" si="1"/>
        <v/>
      </c>
    </row>
    <row r="50" spans="1:13" x14ac:dyDescent="0.2">
      <c r="A50" s="71">
        <v>47</v>
      </c>
      <c r="B50" s="126" t="str">
        <f t="array" ref="B50">IFERROR(VLOOKUP(C50,Risikolog[],9),"")</f>
        <v/>
      </c>
      <c r="C50" s="71" t="str">
        <f t="array" ref="C50">IFERROR(SMALL(IF(Risikolog[Beredskabsplan lagt i risikopulje]="Ja",IF(Risikolog[Status]="Risiko",Risikolog[Risiko-id])),A50),"")</f>
        <v/>
      </c>
      <c r="E50" s="71" t="e">
        <f t="array" ref="E50">LARGE(IF(Risikolog[Beredskabsplan lagt i risikopulje]="Ja",IF(Risikolog[Status]="Risiko",Risikolog[Risiko-værdi])),A50)</f>
        <v>#NUM!</v>
      </c>
      <c r="F50" s="71" t="str">
        <f t="shared" si="2"/>
        <v/>
      </c>
      <c r="I50" s="126" t="str">
        <f t="array" ref="I50">IFERROR(VLOOKUP(J50,Risikolog[],9),"")</f>
        <v/>
      </c>
      <c r="J50" s="71" t="str">
        <f t="array" ref="J50">IFERROR(SMALL(IF(Risikolog[Mitigerende tiltag lagt i projektplan]="Ja",IF(Risikolog[Status]="Risiko",Risikolog[Risiko-id])),A50),"")</f>
        <v/>
      </c>
      <c r="L50" s="71" t="e">
        <f t="array" ref="L50">LARGE(IF(Risikolog[Mitigerende tiltag lagt i projektplan]="Ja",IF(Risikolog[Status]="Risiko",Risikolog[Risiko-værdi])),A50)</f>
        <v>#NUM!</v>
      </c>
      <c r="M50" s="71" t="str">
        <f t="shared" si="1"/>
        <v/>
      </c>
    </row>
    <row r="51" spans="1:13" x14ac:dyDescent="0.2">
      <c r="A51" s="71">
        <v>48</v>
      </c>
      <c r="B51" s="126" t="str">
        <f t="array" ref="B51">IFERROR(VLOOKUP(C51,Risikolog[],9),"")</f>
        <v/>
      </c>
      <c r="C51" s="71" t="str">
        <f t="array" ref="C51">IFERROR(SMALL(IF(Risikolog[Beredskabsplan lagt i risikopulje]="Ja",IF(Risikolog[Status]="Risiko",Risikolog[Risiko-id])),A51),"")</f>
        <v/>
      </c>
      <c r="E51" s="71" t="e">
        <f t="array" ref="E51">LARGE(IF(Risikolog[Beredskabsplan lagt i risikopulje]="Ja",IF(Risikolog[Status]="Risiko",Risikolog[Risiko-værdi])),A51)</f>
        <v>#NUM!</v>
      </c>
      <c r="F51" s="71" t="str">
        <f t="shared" si="2"/>
        <v/>
      </c>
      <c r="I51" s="126" t="str">
        <f t="array" ref="I51">IFERROR(VLOOKUP(J51,Risikolog[],9),"")</f>
        <v/>
      </c>
      <c r="J51" s="71" t="str">
        <f t="array" ref="J51">IFERROR(SMALL(IF(Risikolog[Mitigerende tiltag lagt i projektplan]="Ja",IF(Risikolog[Status]="Risiko",Risikolog[Risiko-id])),A51),"")</f>
        <v/>
      </c>
      <c r="L51" s="71" t="e">
        <f t="array" ref="L51">LARGE(IF(Risikolog[Mitigerende tiltag lagt i projektplan]="Ja",IF(Risikolog[Status]="Risiko",Risikolog[Risiko-værdi])),A51)</f>
        <v>#NUM!</v>
      </c>
      <c r="M51" s="71" t="str">
        <f t="shared" si="1"/>
        <v/>
      </c>
    </row>
    <row r="52" spans="1:13" x14ac:dyDescent="0.2">
      <c r="A52" s="71">
        <v>49</v>
      </c>
      <c r="B52" s="126" t="str">
        <f t="array" ref="B52">IFERROR(VLOOKUP(C52,Risikolog[],9),"")</f>
        <v/>
      </c>
      <c r="C52" s="71" t="str">
        <f t="array" ref="C52">IFERROR(SMALL(IF(Risikolog[Beredskabsplan lagt i risikopulje]="Ja",IF(Risikolog[Status]="Risiko",Risikolog[Risiko-id])),A52),"")</f>
        <v/>
      </c>
      <c r="E52" s="71" t="e">
        <f t="array" ref="E52">LARGE(IF(Risikolog[Beredskabsplan lagt i risikopulje]="Ja",IF(Risikolog[Status]="Risiko",Risikolog[Risiko-værdi])),A52)</f>
        <v>#NUM!</v>
      </c>
      <c r="F52" s="71" t="str">
        <f t="shared" si="2"/>
        <v/>
      </c>
      <c r="I52" s="126" t="str">
        <f t="array" ref="I52">IFERROR(VLOOKUP(J52,Risikolog[],9),"")</f>
        <v/>
      </c>
      <c r="J52" s="71" t="str">
        <f t="array" ref="J52">IFERROR(SMALL(IF(Risikolog[Mitigerende tiltag lagt i projektplan]="Ja",IF(Risikolog[Status]="Risiko",Risikolog[Risiko-id])),A52),"")</f>
        <v/>
      </c>
      <c r="L52" s="71" t="e">
        <f t="array" ref="L52">LARGE(IF(Risikolog[Mitigerende tiltag lagt i projektplan]="Ja",IF(Risikolog[Status]="Risiko",Risikolog[Risiko-værdi])),A52)</f>
        <v>#NUM!</v>
      </c>
      <c r="M52" s="71" t="str">
        <f t="shared" si="1"/>
        <v/>
      </c>
    </row>
    <row r="53" spans="1:13" x14ac:dyDescent="0.2">
      <c r="A53" s="71">
        <v>50</v>
      </c>
      <c r="B53" s="126" t="str">
        <f t="array" ref="B53">IFERROR(VLOOKUP(C53,Risikolog[],9),"")</f>
        <v/>
      </c>
      <c r="C53" s="71" t="str">
        <f t="array" ref="C53">IFERROR(SMALL(IF(Risikolog[Beredskabsplan lagt i risikopulje]="Ja",IF(Risikolog[Status]="Risiko",Risikolog[Risiko-id])),A53),"")</f>
        <v/>
      </c>
      <c r="E53" s="71" t="e">
        <f t="array" ref="E53">LARGE(IF(Risikolog[Beredskabsplan lagt i risikopulje]="Ja",IF(Risikolog[Status]="Risiko",Risikolog[Risiko-værdi])),A53)</f>
        <v>#NUM!</v>
      </c>
      <c r="F53" s="71" t="str">
        <f t="shared" si="2"/>
        <v/>
      </c>
      <c r="I53" s="126" t="str">
        <f t="array" ref="I53">IFERROR(VLOOKUP(J53,Risikolog[],9),"")</f>
        <v/>
      </c>
      <c r="J53" s="71" t="str">
        <f t="array" ref="J53">IFERROR(SMALL(IF(Risikolog[Mitigerende tiltag lagt i projektplan]="Ja",IF(Risikolog[Status]="Risiko",Risikolog[Risiko-id])),A53),"")</f>
        <v/>
      </c>
      <c r="L53" s="71" t="e">
        <f t="array" ref="L53">LARGE(IF(Risikolog[Mitigerende tiltag lagt i projektplan]="Ja",IF(Risikolog[Status]="Risiko",Risikolog[Risiko-værdi])),A53)</f>
        <v>#NUM!</v>
      </c>
      <c r="M53" s="71" t="str">
        <f t="shared" si="1"/>
        <v/>
      </c>
    </row>
    <row r="54" spans="1:13" x14ac:dyDescent="0.2">
      <c r="A54" s="71">
        <v>51</v>
      </c>
      <c r="B54" s="126" t="str">
        <f t="array" ref="B54">IFERROR(VLOOKUP(C54,Risikolog[],9),"")</f>
        <v/>
      </c>
      <c r="C54" s="71" t="str">
        <f t="array" ref="C54">IFERROR(SMALL(IF(Risikolog[Beredskabsplan lagt i risikopulje]="Ja",IF(Risikolog[Status]="Risiko",Risikolog[Risiko-id])),A54),"")</f>
        <v/>
      </c>
      <c r="E54" s="71" t="e">
        <f t="array" ref="E54">LARGE(IF(Risikolog[Beredskabsplan lagt i risikopulje]="Ja",IF(Risikolog[Status]="Risiko",Risikolog[Risiko-værdi])),A54)</f>
        <v>#NUM!</v>
      </c>
      <c r="F54" s="71" t="str">
        <f t="shared" si="2"/>
        <v/>
      </c>
      <c r="I54" s="126" t="str">
        <f t="array" ref="I54">IFERROR(VLOOKUP(J54,Risikolog[],9),"")</f>
        <v/>
      </c>
      <c r="J54" s="71" t="str">
        <f t="array" ref="J54">IFERROR(SMALL(IF(Risikolog[Mitigerende tiltag lagt i projektplan]="Ja",IF(Risikolog[Status]="Risiko",Risikolog[Risiko-id])),A54),"")</f>
        <v/>
      </c>
      <c r="L54" s="71" t="e">
        <f t="array" ref="L54">LARGE(IF(Risikolog[Mitigerende tiltag lagt i projektplan]="Ja",IF(Risikolog[Status]="Risiko",Risikolog[Risiko-værdi])),A54)</f>
        <v>#NUM!</v>
      </c>
      <c r="M54" s="71" t="str">
        <f t="shared" si="1"/>
        <v/>
      </c>
    </row>
    <row r="55" spans="1:13" x14ac:dyDescent="0.2">
      <c r="A55" s="71">
        <v>52</v>
      </c>
      <c r="B55" s="126" t="str">
        <f t="array" ref="B55">IFERROR(VLOOKUP(C55,Risikolog[],9),"")</f>
        <v/>
      </c>
      <c r="C55" s="71" t="str">
        <f t="array" ref="C55">IFERROR(SMALL(IF(Risikolog[Beredskabsplan lagt i risikopulje]="Ja",IF(Risikolog[Status]="Risiko",Risikolog[Risiko-id])),A55),"")</f>
        <v/>
      </c>
      <c r="E55" s="71" t="e">
        <f t="array" ref="E55">LARGE(IF(Risikolog[Beredskabsplan lagt i risikopulje]="Ja",IF(Risikolog[Status]="Risiko",Risikolog[Risiko-værdi])),A55)</f>
        <v>#NUM!</v>
      </c>
      <c r="F55" s="71" t="str">
        <f t="shared" si="2"/>
        <v/>
      </c>
      <c r="I55" s="126" t="str">
        <f t="array" ref="I55">IFERROR(VLOOKUP(J55,Risikolog[],9),"")</f>
        <v/>
      </c>
      <c r="J55" s="71" t="str">
        <f t="array" ref="J55">IFERROR(SMALL(IF(Risikolog[Mitigerende tiltag lagt i projektplan]="Ja",IF(Risikolog[Status]="Risiko",Risikolog[Risiko-id])),A55),"")</f>
        <v/>
      </c>
      <c r="L55" s="71" t="e">
        <f t="array" ref="L55">LARGE(IF(Risikolog[Mitigerende tiltag lagt i projektplan]="Ja",IF(Risikolog[Status]="Risiko",Risikolog[Risiko-værdi])),A55)</f>
        <v>#NUM!</v>
      </c>
      <c r="M55" s="71" t="str">
        <f t="shared" si="1"/>
        <v/>
      </c>
    </row>
    <row r="56" spans="1:13" x14ac:dyDescent="0.2">
      <c r="A56" s="71">
        <v>53</v>
      </c>
      <c r="B56" s="126" t="str">
        <f t="array" ref="B56">IFERROR(VLOOKUP(C56,Risikolog[],9),"")</f>
        <v/>
      </c>
      <c r="C56" s="71" t="str">
        <f t="array" ref="C56">IFERROR(SMALL(IF(Risikolog[Beredskabsplan lagt i risikopulje]="Ja",IF(Risikolog[Status]="Risiko",Risikolog[Risiko-id])),A56),"")</f>
        <v/>
      </c>
      <c r="E56" s="71" t="e">
        <f t="array" ref="E56">LARGE(IF(Risikolog[Beredskabsplan lagt i risikopulje]="Ja",IF(Risikolog[Status]="Risiko",Risikolog[Risiko-værdi])),A56)</f>
        <v>#NUM!</v>
      </c>
      <c r="F56" s="71" t="str">
        <f t="shared" si="2"/>
        <v/>
      </c>
      <c r="I56" s="126" t="str">
        <f t="array" ref="I56">IFERROR(VLOOKUP(J56,Risikolog[],9),"")</f>
        <v/>
      </c>
      <c r="J56" s="71" t="str">
        <f t="array" ref="J56">IFERROR(SMALL(IF(Risikolog[Mitigerende tiltag lagt i projektplan]="Ja",IF(Risikolog[Status]="Risiko",Risikolog[Risiko-id])),A56),"")</f>
        <v/>
      </c>
      <c r="L56" s="71" t="e">
        <f t="array" ref="L56">LARGE(IF(Risikolog[Mitigerende tiltag lagt i projektplan]="Ja",IF(Risikolog[Status]="Risiko",Risikolog[Risiko-værdi])),A56)</f>
        <v>#NUM!</v>
      </c>
      <c r="M56" s="71" t="str">
        <f t="shared" si="1"/>
        <v/>
      </c>
    </row>
    <row r="57" spans="1:13" x14ac:dyDescent="0.2">
      <c r="A57" s="71">
        <v>54</v>
      </c>
      <c r="B57" s="126" t="str">
        <f t="array" ref="B57">IFERROR(VLOOKUP(C57,Risikolog[],9),"")</f>
        <v/>
      </c>
      <c r="C57" s="71" t="str">
        <f t="array" ref="C57">IFERROR(SMALL(IF(Risikolog[Beredskabsplan lagt i risikopulje]="Ja",IF(Risikolog[Status]="Risiko",Risikolog[Risiko-id])),A57),"")</f>
        <v/>
      </c>
      <c r="E57" s="71" t="e">
        <f t="array" ref="E57">LARGE(IF(Risikolog[Beredskabsplan lagt i risikopulje]="Ja",IF(Risikolog[Status]="Risiko",Risikolog[Risiko-værdi])),A57)</f>
        <v>#NUM!</v>
      </c>
      <c r="F57" s="71" t="str">
        <f t="shared" si="2"/>
        <v/>
      </c>
      <c r="I57" s="126" t="str">
        <f t="array" ref="I57">IFERROR(VLOOKUP(J57,Risikolog[],9),"")</f>
        <v/>
      </c>
      <c r="J57" s="71" t="str">
        <f t="array" ref="J57">IFERROR(SMALL(IF(Risikolog[Mitigerende tiltag lagt i projektplan]="Ja",IF(Risikolog[Status]="Risiko",Risikolog[Risiko-id])),A57),"")</f>
        <v/>
      </c>
      <c r="L57" s="71" t="e">
        <f t="array" ref="L57">LARGE(IF(Risikolog[Mitigerende tiltag lagt i projektplan]="Ja",IF(Risikolog[Status]="Risiko",Risikolog[Risiko-værdi])),A57)</f>
        <v>#NUM!</v>
      </c>
      <c r="M57" s="71" t="str">
        <f t="shared" si="1"/>
        <v/>
      </c>
    </row>
    <row r="58" spans="1:13" x14ac:dyDescent="0.2">
      <c r="A58" s="71">
        <v>55</v>
      </c>
      <c r="B58" s="126" t="str">
        <f t="array" ref="B58">IFERROR(VLOOKUP(C58,Risikolog[],9),"")</f>
        <v/>
      </c>
      <c r="C58" s="71" t="str">
        <f t="array" ref="C58">IFERROR(SMALL(IF(Risikolog[Beredskabsplan lagt i risikopulje]="Ja",IF(Risikolog[Status]="Risiko",Risikolog[Risiko-id])),A58),"")</f>
        <v/>
      </c>
      <c r="E58" s="71" t="e">
        <f t="array" ref="E58">LARGE(IF(Risikolog[Beredskabsplan lagt i risikopulje]="Ja",IF(Risikolog[Status]="Risiko",Risikolog[Risiko-værdi])),A58)</f>
        <v>#NUM!</v>
      </c>
      <c r="F58" s="71" t="str">
        <f t="shared" si="2"/>
        <v/>
      </c>
      <c r="I58" s="126" t="str">
        <f t="array" ref="I58">IFERROR(VLOOKUP(J58,Risikolog[],9),"")</f>
        <v/>
      </c>
      <c r="J58" s="71" t="str">
        <f t="array" ref="J58">IFERROR(SMALL(IF(Risikolog[Mitigerende tiltag lagt i projektplan]="Ja",IF(Risikolog[Status]="Risiko",Risikolog[Risiko-id])),A58),"")</f>
        <v/>
      </c>
      <c r="L58" s="71" t="e">
        <f t="array" ref="L58">LARGE(IF(Risikolog[Mitigerende tiltag lagt i projektplan]="Ja",IF(Risikolog[Status]="Risiko",Risikolog[Risiko-værdi])),A58)</f>
        <v>#NUM!</v>
      </c>
      <c r="M58" s="71" t="str">
        <f t="shared" si="1"/>
        <v/>
      </c>
    </row>
    <row r="59" spans="1:13" x14ac:dyDescent="0.2">
      <c r="A59" s="71">
        <v>56</v>
      </c>
      <c r="B59" s="126" t="str">
        <f t="array" ref="B59">IFERROR(VLOOKUP(C59,Risikolog[],9),"")</f>
        <v/>
      </c>
      <c r="C59" s="71" t="str">
        <f t="array" ref="C59">IFERROR(SMALL(IF(Risikolog[Beredskabsplan lagt i risikopulje]="Ja",IF(Risikolog[Status]="Risiko",Risikolog[Risiko-id])),A59),"")</f>
        <v/>
      </c>
      <c r="E59" s="71" t="e">
        <f t="array" ref="E59">LARGE(IF(Risikolog[Beredskabsplan lagt i risikopulje]="Ja",IF(Risikolog[Status]="Risiko",Risikolog[Risiko-værdi])),A59)</f>
        <v>#NUM!</v>
      </c>
      <c r="F59" s="71" t="str">
        <f t="shared" si="2"/>
        <v/>
      </c>
      <c r="I59" s="126" t="str">
        <f t="array" ref="I59">IFERROR(VLOOKUP(J59,Risikolog[],9),"")</f>
        <v/>
      </c>
      <c r="J59" s="71" t="str">
        <f t="array" ref="J59">IFERROR(SMALL(IF(Risikolog[Mitigerende tiltag lagt i projektplan]="Ja",IF(Risikolog[Status]="Risiko",Risikolog[Risiko-id])),A59),"")</f>
        <v/>
      </c>
      <c r="L59" s="71" t="e">
        <f t="array" ref="L59">LARGE(IF(Risikolog[Mitigerende tiltag lagt i projektplan]="Ja",IF(Risikolog[Status]="Risiko",Risikolog[Risiko-værdi])),A59)</f>
        <v>#NUM!</v>
      </c>
      <c r="M59" s="71" t="str">
        <f t="shared" si="1"/>
        <v/>
      </c>
    </row>
    <row r="60" spans="1:13" x14ac:dyDescent="0.2">
      <c r="A60" s="71">
        <v>57</v>
      </c>
      <c r="B60" s="126" t="str">
        <f t="array" ref="B60">IFERROR(VLOOKUP(C60,Risikolog[],9),"")</f>
        <v/>
      </c>
      <c r="C60" s="71" t="str">
        <f t="array" ref="C60">IFERROR(SMALL(IF(Risikolog[Beredskabsplan lagt i risikopulje]="Ja",IF(Risikolog[Status]="Risiko",Risikolog[Risiko-id])),A60),"")</f>
        <v/>
      </c>
      <c r="E60" s="71" t="e">
        <f t="array" ref="E60">LARGE(IF(Risikolog[Beredskabsplan lagt i risikopulje]="Ja",IF(Risikolog[Status]="Risiko",Risikolog[Risiko-værdi])),A60)</f>
        <v>#NUM!</v>
      </c>
      <c r="F60" s="71" t="str">
        <f t="shared" si="2"/>
        <v/>
      </c>
      <c r="I60" s="126" t="str">
        <f t="array" ref="I60">IFERROR(VLOOKUP(J60,Risikolog[],9),"")</f>
        <v/>
      </c>
      <c r="J60" s="71" t="str">
        <f t="array" ref="J60">IFERROR(SMALL(IF(Risikolog[Mitigerende tiltag lagt i projektplan]="Ja",IF(Risikolog[Status]="Risiko",Risikolog[Risiko-id])),A60),"")</f>
        <v/>
      </c>
      <c r="L60" s="71" t="e">
        <f t="array" ref="L60">LARGE(IF(Risikolog[Mitigerende tiltag lagt i projektplan]="Ja",IF(Risikolog[Status]="Risiko",Risikolog[Risiko-værdi])),A60)</f>
        <v>#NUM!</v>
      </c>
      <c r="M60" s="71" t="str">
        <f t="shared" si="1"/>
        <v/>
      </c>
    </row>
    <row r="61" spans="1:13" x14ac:dyDescent="0.2">
      <c r="A61" s="71">
        <v>58</v>
      </c>
      <c r="B61" s="126" t="str">
        <f t="array" ref="B61">IFERROR(VLOOKUP(C61,Risikolog[],9),"")</f>
        <v/>
      </c>
      <c r="C61" s="71" t="str">
        <f t="array" ref="C61">IFERROR(SMALL(IF(Risikolog[Beredskabsplan lagt i risikopulje]="Ja",IF(Risikolog[Status]="Risiko",Risikolog[Risiko-id])),A61),"")</f>
        <v/>
      </c>
      <c r="E61" s="71" t="e">
        <f t="array" ref="E61">LARGE(IF(Risikolog[Beredskabsplan lagt i risikopulje]="Ja",IF(Risikolog[Status]="Risiko",Risikolog[Risiko-værdi])),A61)</f>
        <v>#NUM!</v>
      </c>
      <c r="F61" s="71" t="str">
        <f t="shared" si="2"/>
        <v/>
      </c>
      <c r="I61" s="126" t="str">
        <f t="array" ref="I61">IFERROR(VLOOKUP(J61,Risikolog[],9),"")</f>
        <v/>
      </c>
      <c r="J61" s="71" t="str">
        <f t="array" ref="J61">IFERROR(SMALL(IF(Risikolog[Mitigerende tiltag lagt i projektplan]="Ja",IF(Risikolog[Status]="Risiko",Risikolog[Risiko-id])),A61),"")</f>
        <v/>
      </c>
      <c r="L61" s="71" t="e">
        <f t="array" ref="L61">LARGE(IF(Risikolog[Mitigerende tiltag lagt i projektplan]="Ja",IF(Risikolog[Status]="Risiko",Risikolog[Risiko-værdi])),A61)</f>
        <v>#NUM!</v>
      </c>
      <c r="M61" s="71" t="str">
        <f t="shared" si="1"/>
        <v/>
      </c>
    </row>
    <row r="62" spans="1:13" x14ac:dyDescent="0.2">
      <c r="A62" s="71">
        <v>59</v>
      </c>
      <c r="B62" s="126" t="str">
        <f t="array" ref="B62">IFERROR(VLOOKUP(C62,Risikolog[],9),"")</f>
        <v/>
      </c>
      <c r="C62" s="71" t="str">
        <f t="array" ref="C62">IFERROR(SMALL(IF(Risikolog[Beredskabsplan lagt i risikopulje]="Ja",IF(Risikolog[Status]="Risiko",Risikolog[Risiko-id])),A62),"")</f>
        <v/>
      </c>
      <c r="E62" s="71" t="e">
        <f t="array" ref="E62">LARGE(IF(Risikolog[Beredskabsplan lagt i risikopulje]="Ja",IF(Risikolog[Status]="Risiko",Risikolog[Risiko-værdi])),A62)</f>
        <v>#NUM!</v>
      </c>
      <c r="F62" s="71" t="str">
        <f t="shared" si="2"/>
        <v/>
      </c>
      <c r="I62" s="126" t="str">
        <f t="array" ref="I62">IFERROR(VLOOKUP(J62,Risikolog[],9),"")</f>
        <v/>
      </c>
      <c r="J62" s="71" t="str">
        <f t="array" ref="J62">IFERROR(SMALL(IF(Risikolog[Mitigerende tiltag lagt i projektplan]="Ja",IF(Risikolog[Status]="Risiko",Risikolog[Risiko-id])),A62),"")</f>
        <v/>
      </c>
      <c r="L62" s="71" t="e">
        <f t="array" ref="L62">LARGE(IF(Risikolog[Mitigerende tiltag lagt i projektplan]="Ja",IF(Risikolog[Status]="Risiko",Risikolog[Risiko-værdi])),A62)</f>
        <v>#NUM!</v>
      </c>
      <c r="M62" s="71" t="str">
        <f t="shared" si="1"/>
        <v/>
      </c>
    </row>
    <row r="63" spans="1:13" x14ac:dyDescent="0.2">
      <c r="A63" s="71">
        <v>60</v>
      </c>
      <c r="B63" s="126" t="str">
        <f t="array" ref="B63">IFERROR(VLOOKUP(C63,Risikolog[],9),"")</f>
        <v/>
      </c>
      <c r="C63" s="71" t="str">
        <f t="array" ref="C63">IFERROR(SMALL(IF(Risikolog[Beredskabsplan lagt i risikopulje]="Ja",IF(Risikolog[Status]="Risiko",Risikolog[Risiko-id])),A63),"")</f>
        <v/>
      </c>
      <c r="E63" s="71" t="e">
        <f t="array" ref="E63">LARGE(IF(Risikolog[Beredskabsplan lagt i risikopulje]="Ja",IF(Risikolog[Status]="Risiko",Risikolog[Risiko-værdi])),A63)</f>
        <v>#NUM!</v>
      </c>
      <c r="F63" s="71" t="str">
        <f t="shared" si="2"/>
        <v/>
      </c>
      <c r="I63" s="126" t="str">
        <f t="array" ref="I63">IFERROR(VLOOKUP(J63,Risikolog[],9),"")</f>
        <v/>
      </c>
      <c r="J63" s="71" t="str">
        <f t="array" ref="J63">IFERROR(SMALL(IF(Risikolog[Mitigerende tiltag lagt i projektplan]="Ja",IF(Risikolog[Status]="Risiko",Risikolog[Risiko-id])),A63),"")</f>
        <v/>
      </c>
      <c r="L63" s="71" t="e">
        <f t="array" ref="L63">LARGE(IF(Risikolog[Mitigerende tiltag lagt i projektplan]="Ja",IF(Risikolog[Status]="Risiko",Risikolog[Risiko-værdi])),A63)</f>
        <v>#NUM!</v>
      </c>
      <c r="M63" s="71" t="str">
        <f t="shared" si="1"/>
        <v/>
      </c>
    </row>
    <row r="64" spans="1:13" x14ac:dyDescent="0.2">
      <c r="A64" s="71">
        <v>61</v>
      </c>
      <c r="B64" s="126" t="str">
        <f t="array" ref="B64">IFERROR(VLOOKUP(C64,Risikolog[],9),"")</f>
        <v/>
      </c>
      <c r="C64" s="71" t="str">
        <f t="array" ref="C64">IFERROR(SMALL(IF(Risikolog[Beredskabsplan lagt i risikopulje]="Ja",IF(Risikolog[Status]="Risiko",Risikolog[Risiko-id])),A64),"")</f>
        <v/>
      </c>
      <c r="E64" s="71" t="e">
        <f t="array" ref="E64">LARGE(IF(Risikolog[Beredskabsplan lagt i risikopulje]="Ja",IF(Risikolog[Status]="Risiko",Risikolog[Risiko-værdi])),A64)</f>
        <v>#NUM!</v>
      </c>
      <c r="F64" s="71" t="str">
        <f t="shared" si="2"/>
        <v/>
      </c>
      <c r="I64" s="126" t="str">
        <f t="array" ref="I64">IFERROR(VLOOKUP(J64,Risikolog[],9),"")</f>
        <v/>
      </c>
      <c r="J64" s="71" t="str">
        <f t="array" ref="J64">IFERROR(SMALL(IF(Risikolog[Mitigerende tiltag lagt i projektplan]="Ja",IF(Risikolog[Status]="Risiko",Risikolog[Risiko-id])),A64),"")</f>
        <v/>
      </c>
      <c r="L64" s="71" t="e">
        <f t="array" ref="L64">LARGE(IF(Risikolog[Mitigerende tiltag lagt i projektplan]="Ja",IF(Risikolog[Status]="Risiko",Risikolog[Risiko-værdi])),A64)</f>
        <v>#NUM!</v>
      </c>
      <c r="M64" s="71" t="str">
        <f t="shared" si="1"/>
        <v/>
      </c>
    </row>
    <row r="65" spans="1:13" x14ac:dyDescent="0.2">
      <c r="A65" s="71">
        <v>62</v>
      </c>
      <c r="B65" s="126" t="str">
        <f t="array" ref="B65">IFERROR(VLOOKUP(C65,Risikolog[],9),"")</f>
        <v/>
      </c>
      <c r="C65" s="71" t="str">
        <f t="array" ref="C65">IFERROR(SMALL(IF(Risikolog[Beredskabsplan lagt i risikopulje]="Ja",IF(Risikolog[Status]="Risiko",Risikolog[Risiko-id])),A65),"")</f>
        <v/>
      </c>
      <c r="E65" s="71" t="e">
        <f t="array" ref="E65">LARGE(IF(Risikolog[Beredskabsplan lagt i risikopulje]="Ja",IF(Risikolog[Status]="Risiko",Risikolog[Risiko-værdi])),A65)</f>
        <v>#NUM!</v>
      </c>
      <c r="F65" s="71" t="str">
        <f t="shared" si="2"/>
        <v/>
      </c>
      <c r="I65" s="126" t="str">
        <f t="array" ref="I65">IFERROR(VLOOKUP(J65,Risikolog[],9),"")</f>
        <v/>
      </c>
      <c r="J65" s="71" t="str">
        <f t="array" ref="J65">IFERROR(SMALL(IF(Risikolog[Mitigerende tiltag lagt i projektplan]="Ja",IF(Risikolog[Status]="Risiko",Risikolog[Risiko-id])),A65),"")</f>
        <v/>
      </c>
      <c r="L65" s="71" t="e">
        <f t="array" ref="L65">LARGE(IF(Risikolog[Mitigerende tiltag lagt i projektplan]="Ja",IF(Risikolog[Status]="Risiko",Risikolog[Risiko-værdi])),A65)</f>
        <v>#NUM!</v>
      </c>
      <c r="M65" s="71" t="str">
        <f t="shared" si="1"/>
        <v/>
      </c>
    </row>
    <row r="66" spans="1:13" x14ac:dyDescent="0.2">
      <c r="A66" s="71">
        <v>63</v>
      </c>
      <c r="B66" s="126" t="str">
        <f t="array" ref="B66">IFERROR(VLOOKUP(C66,Risikolog[],9),"")</f>
        <v/>
      </c>
      <c r="C66" s="71" t="str">
        <f t="array" ref="C66">IFERROR(SMALL(IF(Risikolog[Beredskabsplan lagt i risikopulje]="Ja",IF(Risikolog[Status]="Risiko",Risikolog[Risiko-id])),A66),"")</f>
        <v/>
      </c>
      <c r="E66" s="71" t="e">
        <f t="array" ref="E66">LARGE(IF(Risikolog[Beredskabsplan lagt i risikopulje]="Ja",IF(Risikolog[Status]="Risiko",Risikolog[Risiko-værdi])),A66)</f>
        <v>#NUM!</v>
      </c>
      <c r="F66" s="71" t="str">
        <f t="shared" si="2"/>
        <v/>
      </c>
      <c r="I66" s="126" t="str">
        <f t="array" ref="I66">IFERROR(VLOOKUP(J66,Risikolog[],9),"")</f>
        <v/>
      </c>
      <c r="J66" s="71" t="str">
        <f t="array" ref="J66">IFERROR(SMALL(IF(Risikolog[Mitigerende tiltag lagt i projektplan]="Ja",IF(Risikolog[Status]="Risiko",Risikolog[Risiko-id])),A66),"")</f>
        <v/>
      </c>
      <c r="L66" s="71" t="e">
        <f t="array" ref="L66">LARGE(IF(Risikolog[Mitigerende tiltag lagt i projektplan]="Ja",IF(Risikolog[Status]="Risiko",Risikolog[Risiko-værdi])),A66)</f>
        <v>#NUM!</v>
      </c>
      <c r="M66" s="71" t="str">
        <f t="shared" si="1"/>
        <v/>
      </c>
    </row>
    <row r="67" spans="1:13" x14ac:dyDescent="0.2">
      <c r="A67" s="71">
        <v>64</v>
      </c>
      <c r="B67" s="126" t="str">
        <f t="array" ref="B67">IFERROR(VLOOKUP(C67,Risikolog[],9),"")</f>
        <v/>
      </c>
      <c r="C67" s="71" t="str">
        <f t="array" ref="C67">IFERROR(SMALL(IF(Risikolog[Beredskabsplan lagt i risikopulje]="Ja",IF(Risikolog[Status]="Risiko",Risikolog[Risiko-id])),A67),"")</f>
        <v/>
      </c>
      <c r="E67" s="71" t="e">
        <f t="array" ref="E67">LARGE(IF(Risikolog[Beredskabsplan lagt i risikopulje]="Ja",IF(Risikolog[Status]="Risiko",Risikolog[Risiko-værdi])),A67)</f>
        <v>#NUM!</v>
      </c>
      <c r="F67" s="71" t="str">
        <f t="shared" si="2"/>
        <v/>
      </c>
      <c r="I67" s="126" t="str">
        <f t="array" ref="I67">IFERROR(VLOOKUP(J67,Risikolog[],9),"")</f>
        <v/>
      </c>
      <c r="J67" s="71" t="str">
        <f t="array" ref="J67">IFERROR(SMALL(IF(Risikolog[Mitigerende tiltag lagt i projektplan]="Ja",IF(Risikolog[Status]="Risiko",Risikolog[Risiko-id])),A67),"")</f>
        <v/>
      </c>
      <c r="L67" s="71" t="e">
        <f t="array" ref="L67">LARGE(IF(Risikolog[Mitigerende tiltag lagt i projektplan]="Ja",IF(Risikolog[Status]="Risiko",Risikolog[Risiko-værdi])),A67)</f>
        <v>#NUM!</v>
      </c>
      <c r="M67" s="71" t="str">
        <f t="shared" si="1"/>
        <v/>
      </c>
    </row>
    <row r="68" spans="1:13" x14ac:dyDescent="0.2">
      <c r="A68" s="71">
        <v>65</v>
      </c>
      <c r="B68" s="126" t="str">
        <f t="array" ref="B68">IFERROR(VLOOKUP(C68,Risikolog[],9),"")</f>
        <v/>
      </c>
      <c r="C68" s="71" t="str">
        <f t="array" ref="C68">IFERROR(SMALL(IF(Risikolog[Beredskabsplan lagt i risikopulje]="Ja",IF(Risikolog[Status]="Risiko",Risikolog[Risiko-id])),A68),"")</f>
        <v/>
      </c>
      <c r="E68" s="71" t="e">
        <f t="array" ref="E68">LARGE(IF(Risikolog[Beredskabsplan lagt i risikopulje]="Ja",IF(Risikolog[Status]="Risiko",Risikolog[Risiko-værdi])),A68)</f>
        <v>#NUM!</v>
      </c>
      <c r="F68" s="71" t="str">
        <f t="shared" si="2"/>
        <v/>
      </c>
      <c r="I68" s="126" t="str">
        <f t="array" ref="I68">IFERROR(VLOOKUP(J68,Risikolog[],9),"")</f>
        <v/>
      </c>
      <c r="J68" s="71" t="str">
        <f t="array" ref="J68">IFERROR(SMALL(IF(Risikolog[Mitigerende tiltag lagt i projektplan]="Ja",IF(Risikolog[Status]="Risiko",Risikolog[Risiko-id])),A68),"")</f>
        <v/>
      </c>
      <c r="L68" s="71" t="e">
        <f t="array" ref="L68">LARGE(IF(Risikolog[Mitigerende tiltag lagt i projektplan]="Ja",IF(Risikolog[Status]="Risiko",Risikolog[Risiko-værdi])),A68)</f>
        <v>#NUM!</v>
      </c>
      <c r="M68" s="71" t="str">
        <f t="shared" si="1"/>
        <v/>
      </c>
    </row>
    <row r="69" spans="1:13" x14ac:dyDescent="0.2">
      <c r="A69" s="71">
        <v>66</v>
      </c>
      <c r="B69" s="126" t="str">
        <f t="array" ref="B69">IFERROR(VLOOKUP(C69,Risikolog[],9),"")</f>
        <v/>
      </c>
      <c r="C69" s="71" t="str">
        <f t="array" ref="C69">IFERROR(SMALL(IF(Risikolog[Beredskabsplan lagt i risikopulje]="Ja",IF(Risikolog[Status]="Risiko",Risikolog[Risiko-id])),A69),"")</f>
        <v/>
      </c>
      <c r="E69" s="71" t="e">
        <f t="array" ref="E69">LARGE(IF(Risikolog[Beredskabsplan lagt i risikopulje]="Ja",IF(Risikolog[Status]="Risiko",Risikolog[Risiko-værdi])),A69)</f>
        <v>#NUM!</v>
      </c>
      <c r="F69" s="71" t="str">
        <f t="shared" si="2"/>
        <v/>
      </c>
      <c r="I69" s="126" t="str">
        <f t="array" ref="I69">IFERROR(VLOOKUP(J69,Risikolog[],9),"")</f>
        <v/>
      </c>
      <c r="J69" s="71" t="str">
        <f t="array" ref="J69">IFERROR(SMALL(IF(Risikolog[Mitigerende tiltag lagt i projektplan]="Ja",IF(Risikolog[Status]="Risiko",Risikolog[Risiko-id])),A69),"")</f>
        <v/>
      </c>
      <c r="L69" s="71" t="e">
        <f t="array" ref="L69">LARGE(IF(Risikolog[Mitigerende tiltag lagt i projektplan]="Ja",IF(Risikolog[Status]="Risiko",Risikolog[Risiko-værdi])),A69)</f>
        <v>#NUM!</v>
      </c>
      <c r="M69" s="71" t="str">
        <f t="shared" ref="M69:M100" si="3">IFERROR(VLOOKUP($L69,I$4:J$23,2,FALSE),"")</f>
        <v/>
      </c>
    </row>
    <row r="70" spans="1:13" x14ac:dyDescent="0.2">
      <c r="A70" s="71">
        <v>67</v>
      </c>
      <c r="B70" s="126" t="str">
        <f t="array" ref="B70">IFERROR(VLOOKUP(C70,Risikolog[],9),"")</f>
        <v/>
      </c>
      <c r="C70" s="71" t="str">
        <f t="array" ref="C70">IFERROR(SMALL(IF(Risikolog[Beredskabsplan lagt i risikopulje]="Ja",IF(Risikolog[Status]="Risiko",Risikolog[Risiko-id])),A70),"")</f>
        <v/>
      </c>
      <c r="E70" s="71" t="e">
        <f t="array" ref="E70">LARGE(IF(Risikolog[Beredskabsplan lagt i risikopulje]="Ja",IF(Risikolog[Status]="Risiko",Risikolog[Risiko-værdi])),A70)</f>
        <v>#NUM!</v>
      </c>
      <c r="F70" s="71" t="str">
        <f t="shared" si="2"/>
        <v/>
      </c>
      <c r="I70" s="126" t="str">
        <f t="array" ref="I70">IFERROR(VLOOKUP(J70,Risikolog[],9),"")</f>
        <v/>
      </c>
      <c r="J70" s="71" t="str">
        <f t="array" ref="J70">IFERROR(SMALL(IF(Risikolog[Mitigerende tiltag lagt i projektplan]="Ja",IF(Risikolog[Status]="Risiko",Risikolog[Risiko-id])),A70),"")</f>
        <v/>
      </c>
      <c r="L70" s="71" t="e">
        <f t="array" ref="L70">LARGE(IF(Risikolog[Mitigerende tiltag lagt i projektplan]="Ja",IF(Risikolog[Status]="Risiko",Risikolog[Risiko-værdi])),A70)</f>
        <v>#NUM!</v>
      </c>
      <c r="M70" s="71" t="str">
        <f t="shared" si="3"/>
        <v/>
      </c>
    </row>
    <row r="71" spans="1:13" x14ac:dyDescent="0.2">
      <c r="A71" s="71">
        <v>68</v>
      </c>
      <c r="B71" s="126" t="str">
        <f t="array" ref="B71">IFERROR(VLOOKUP(C71,Risikolog[],9),"")</f>
        <v/>
      </c>
      <c r="C71" s="71" t="str">
        <f t="array" ref="C71">IFERROR(SMALL(IF(Risikolog[Beredskabsplan lagt i risikopulje]="Ja",IF(Risikolog[Status]="Risiko",Risikolog[Risiko-id])),A71),"")</f>
        <v/>
      </c>
      <c r="E71" s="71" t="e">
        <f t="array" ref="E71">LARGE(IF(Risikolog[Beredskabsplan lagt i risikopulje]="Ja",IF(Risikolog[Status]="Risiko",Risikolog[Risiko-værdi])),A71)</f>
        <v>#NUM!</v>
      </c>
      <c r="F71" s="71" t="str">
        <f t="shared" si="2"/>
        <v/>
      </c>
      <c r="I71" s="126" t="str">
        <f t="array" ref="I71">IFERROR(VLOOKUP(J71,Risikolog[],9),"")</f>
        <v/>
      </c>
      <c r="J71" s="71" t="str">
        <f t="array" ref="J71">IFERROR(SMALL(IF(Risikolog[Mitigerende tiltag lagt i projektplan]="Ja",IF(Risikolog[Status]="Risiko",Risikolog[Risiko-id])),A71),"")</f>
        <v/>
      </c>
      <c r="L71" s="71" t="e">
        <f t="array" ref="L71">LARGE(IF(Risikolog[Mitigerende tiltag lagt i projektplan]="Ja",IF(Risikolog[Status]="Risiko",Risikolog[Risiko-værdi])),A71)</f>
        <v>#NUM!</v>
      </c>
      <c r="M71" s="71" t="str">
        <f t="shared" si="3"/>
        <v/>
      </c>
    </row>
    <row r="72" spans="1:13" x14ac:dyDescent="0.2">
      <c r="A72" s="71">
        <v>69</v>
      </c>
      <c r="B72" s="126" t="str">
        <f t="array" ref="B72">IFERROR(VLOOKUP(C72,Risikolog[],9),"")</f>
        <v/>
      </c>
      <c r="C72" s="71" t="str">
        <f t="array" ref="C72">IFERROR(SMALL(IF(Risikolog[Beredskabsplan lagt i risikopulje]="Ja",IF(Risikolog[Status]="Risiko",Risikolog[Risiko-id])),A72),"")</f>
        <v/>
      </c>
      <c r="E72" s="71" t="e">
        <f t="array" ref="E72">LARGE(IF(Risikolog[Beredskabsplan lagt i risikopulje]="Ja",IF(Risikolog[Status]="Risiko",Risikolog[Risiko-værdi])),A72)</f>
        <v>#NUM!</v>
      </c>
      <c r="F72" s="71" t="str">
        <f t="shared" si="2"/>
        <v/>
      </c>
      <c r="I72" s="126" t="str">
        <f t="array" ref="I72">IFERROR(VLOOKUP(J72,Risikolog[],9),"")</f>
        <v/>
      </c>
      <c r="J72" s="71" t="str">
        <f t="array" ref="J72">IFERROR(SMALL(IF(Risikolog[Mitigerende tiltag lagt i projektplan]="Ja",IF(Risikolog[Status]="Risiko",Risikolog[Risiko-id])),A72),"")</f>
        <v/>
      </c>
      <c r="L72" s="71" t="e">
        <f t="array" ref="L72">LARGE(IF(Risikolog[Mitigerende tiltag lagt i projektplan]="Ja",IF(Risikolog[Status]="Risiko",Risikolog[Risiko-værdi])),A72)</f>
        <v>#NUM!</v>
      </c>
      <c r="M72" s="71" t="str">
        <f t="shared" si="3"/>
        <v/>
      </c>
    </row>
    <row r="73" spans="1:13" x14ac:dyDescent="0.2">
      <c r="A73" s="71">
        <v>70</v>
      </c>
      <c r="B73" s="126" t="str">
        <f t="array" ref="B73">IFERROR(VLOOKUP(C73,Risikolog[],9),"")</f>
        <v/>
      </c>
      <c r="C73" s="71" t="str">
        <f t="array" ref="C73">IFERROR(SMALL(IF(Risikolog[Beredskabsplan lagt i risikopulje]="Ja",IF(Risikolog[Status]="Risiko",Risikolog[Risiko-id])),A73),"")</f>
        <v/>
      </c>
      <c r="E73" s="71" t="e">
        <f t="array" ref="E73">LARGE(IF(Risikolog[Beredskabsplan lagt i risikopulje]="Ja",IF(Risikolog[Status]="Risiko",Risikolog[Risiko-værdi])),A73)</f>
        <v>#NUM!</v>
      </c>
      <c r="F73" s="71" t="str">
        <f t="shared" si="2"/>
        <v/>
      </c>
      <c r="I73" s="126" t="str">
        <f t="array" ref="I73">IFERROR(VLOOKUP(J73,Risikolog[],9),"")</f>
        <v/>
      </c>
      <c r="J73" s="71" t="str">
        <f t="array" ref="J73">IFERROR(SMALL(IF(Risikolog[Mitigerende tiltag lagt i projektplan]="Ja",IF(Risikolog[Status]="Risiko",Risikolog[Risiko-id])),A73),"")</f>
        <v/>
      </c>
      <c r="L73" s="71" t="e">
        <f t="array" ref="L73">LARGE(IF(Risikolog[Mitigerende tiltag lagt i projektplan]="Ja",IF(Risikolog[Status]="Risiko",Risikolog[Risiko-værdi])),A73)</f>
        <v>#NUM!</v>
      </c>
      <c r="M73" s="71" t="str">
        <f t="shared" si="3"/>
        <v/>
      </c>
    </row>
    <row r="74" spans="1:13" x14ac:dyDescent="0.2">
      <c r="A74" s="71">
        <v>71</v>
      </c>
      <c r="B74" s="126" t="str">
        <f t="array" ref="B74">IFERROR(VLOOKUP(C74,Risikolog[],9),"")</f>
        <v/>
      </c>
      <c r="C74" s="71" t="str">
        <f t="array" ref="C74">IFERROR(SMALL(IF(Risikolog[Beredskabsplan lagt i risikopulje]="Ja",IF(Risikolog[Status]="Risiko",Risikolog[Risiko-id])),A74),"")</f>
        <v/>
      </c>
      <c r="E74" s="71" t="e">
        <f t="array" ref="E74">LARGE(IF(Risikolog[Beredskabsplan lagt i risikopulje]="Ja",IF(Risikolog[Status]="Risiko",Risikolog[Risiko-værdi])),A74)</f>
        <v>#NUM!</v>
      </c>
      <c r="F74" s="71" t="str">
        <f t="shared" si="2"/>
        <v/>
      </c>
      <c r="I74" s="126" t="str">
        <f t="array" ref="I74">IFERROR(VLOOKUP(J74,Risikolog[],9),"")</f>
        <v/>
      </c>
      <c r="J74" s="71" t="str">
        <f t="array" ref="J74">IFERROR(SMALL(IF(Risikolog[Mitigerende tiltag lagt i projektplan]="Ja",IF(Risikolog[Status]="Risiko",Risikolog[Risiko-id])),A74),"")</f>
        <v/>
      </c>
      <c r="L74" s="71" t="e">
        <f t="array" ref="L74">LARGE(IF(Risikolog[Mitigerende tiltag lagt i projektplan]="Ja",IF(Risikolog[Status]="Risiko",Risikolog[Risiko-værdi])),A74)</f>
        <v>#NUM!</v>
      </c>
      <c r="M74" s="71" t="str">
        <f t="shared" si="3"/>
        <v/>
      </c>
    </row>
    <row r="75" spans="1:13" x14ac:dyDescent="0.2">
      <c r="A75" s="71">
        <v>72</v>
      </c>
      <c r="B75" s="126" t="str">
        <f t="array" ref="B75">IFERROR(VLOOKUP(C75,Risikolog[],9),"")</f>
        <v/>
      </c>
      <c r="C75" s="71" t="str">
        <f t="array" ref="C75">IFERROR(SMALL(IF(Risikolog[Beredskabsplan lagt i risikopulje]="Ja",IF(Risikolog[Status]="Risiko",Risikolog[Risiko-id])),A75),"")</f>
        <v/>
      </c>
      <c r="E75" s="71" t="e">
        <f t="array" ref="E75">LARGE(IF(Risikolog[Beredskabsplan lagt i risikopulje]="Ja",IF(Risikolog[Status]="Risiko",Risikolog[Risiko-værdi])),A75)</f>
        <v>#NUM!</v>
      </c>
      <c r="F75" s="71" t="str">
        <f t="shared" si="2"/>
        <v/>
      </c>
      <c r="I75" s="126" t="str">
        <f t="array" ref="I75">IFERROR(VLOOKUP(J75,Risikolog[],9),"")</f>
        <v/>
      </c>
      <c r="J75" s="71" t="str">
        <f t="array" ref="J75">IFERROR(SMALL(IF(Risikolog[Mitigerende tiltag lagt i projektplan]="Ja",IF(Risikolog[Status]="Risiko",Risikolog[Risiko-id])),A75),"")</f>
        <v/>
      </c>
      <c r="L75" s="71" t="e">
        <f t="array" ref="L75">LARGE(IF(Risikolog[Mitigerende tiltag lagt i projektplan]="Ja",IF(Risikolog[Status]="Risiko",Risikolog[Risiko-værdi])),A75)</f>
        <v>#NUM!</v>
      </c>
      <c r="M75" s="71" t="str">
        <f t="shared" si="3"/>
        <v/>
      </c>
    </row>
    <row r="76" spans="1:13" x14ac:dyDescent="0.2">
      <c r="A76" s="71">
        <v>73</v>
      </c>
      <c r="B76" s="126" t="str">
        <f t="array" ref="B76">IFERROR(VLOOKUP(C76,Risikolog[],9),"")</f>
        <v/>
      </c>
      <c r="C76" s="71" t="str">
        <f t="array" ref="C76">IFERROR(SMALL(IF(Risikolog[Beredskabsplan lagt i risikopulje]="Ja",IF(Risikolog[Status]="Risiko",Risikolog[Risiko-id])),A76),"")</f>
        <v/>
      </c>
      <c r="E76" s="71" t="e">
        <f t="array" ref="E76">LARGE(IF(Risikolog[Beredskabsplan lagt i risikopulje]="Ja",IF(Risikolog[Status]="Risiko",Risikolog[Risiko-værdi])),A76)</f>
        <v>#NUM!</v>
      </c>
      <c r="F76" s="71" t="str">
        <f t="shared" si="2"/>
        <v/>
      </c>
      <c r="I76" s="126" t="str">
        <f t="array" ref="I76">IFERROR(VLOOKUP(J76,Risikolog[],9),"")</f>
        <v/>
      </c>
      <c r="J76" s="71" t="str">
        <f t="array" ref="J76">IFERROR(SMALL(IF(Risikolog[Mitigerende tiltag lagt i projektplan]="Ja",IF(Risikolog[Status]="Risiko",Risikolog[Risiko-id])),A76),"")</f>
        <v/>
      </c>
      <c r="L76" s="71" t="e">
        <f t="array" ref="L76">LARGE(IF(Risikolog[Mitigerende tiltag lagt i projektplan]="Ja",IF(Risikolog[Status]="Risiko",Risikolog[Risiko-værdi])),A76)</f>
        <v>#NUM!</v>
      </c>
      <c r="M76" s="71" t="str">
        <f t="shared" si="3"/>
        <v/>
      </c>
    </row>
    <row r="77" spans="1:13" x14ac:dyDescent="0.2">
      <c r="A77" s="71">
        <v>74</v>
      </c>
      <c r="B77" s="126" t="str">
        <f t="array" ref="B77">IFERROR(VLOOKUP(C77,Risikolog[],9),"")</f>
        <v/>
      </c>
      <c r="C77" s="71" t="str">
        <f t="array" ref="C77">IFERROR(SMALL(IF(Risikolog[Beredskabsplan lagt i risikopulje]="Ja",IF(Risikolog[Status]="Risiko",Risikolog[Risiko-id])),A77),"")</f>
        <v/>
      </c>
      <c r="E77" s="71" t="e">
        <f t="array" ref="E77">LARGE(IF(Risikolog[Beredskabsplan lagt i risikopulje]="Ja",IF(Risikolog[Status]="Risiko",Risikolog[Risiko-værdi])),A77)</f>
        <v>#NUM!</v>
      </c>
      <c r="F77" s="71" t="str">
        <f t="shared" si="2"/>
        <v/>
      </c>
      <c r="I77" s="126" t="str">
        <f t="array" ref="I77">IFERROR(VLOOKUP(J77,Risikolog[],9),"")</f>
        <v/>
      </c>
      <c r="J77" s="71" t="str">
        <f t="array" ref="J77">IFERROR(SMALL(IF(Risikolog[Mitigerende tiltag lagt i projektplan]="Ja",IF(Risikolog[Status]="Risiko",Risikolog[Risiko-id])),A77),"")</f>
        <v/>
      </c>
      <c r="L77" s="71" t="e">
        <f t="array" ref="L77">LARGE(IF(Risikolog[Mitigerende tiltag lagt i projektplan]="Ja",IF(Risikolog[Status]="Risiko",Risikolog[Risiko-værdi])),A77)</f>
        <v>#NUM!</v>
      </c>
      <c r="M77" s="71" t="str">
        <f t="shared" si="3"/>
        <v/>
      </c>
    </row>
    <row r="78" spans="1:13" x14ac:dyDescent="0.2">
      <c r="A78" s="71">
        <v>75</v>
      </c>
      <c r="B78" s="126" t="str">
        <f t="array" ref="B78">IFERROR(VLOOKUP(C78,Risikolog[],9),"")</f>
        <v/>
      </c>
      <c r="C78" s="71" t="str">
        <f t="array" ref="C78">IFERROR(SMALL(IF(Risikolog[Beredskabsplan lagt i risikopulje]="Ja",IF(Risikolog[Status]="Risiko",Risikolog[Risiko-id])),A78),"")</f>
        <v/>
      </c>
      <c r="E78" s="71" t="e">
        <f t="array" ref="E78">LARGE(IF(Risikolog[Beredskabsplan lagt i risikopulje]="Ja",IF(Risikolog[Status]="Risiko",Risikolog[Risiko-værdi])),A78)</f>
        <v>#NUM!</v>
      </c>
      <c r="F78" s="71" t="str">
        <f t="shared" si="2"/>
        <v/>
      </c>
      <c r="I78" s="126" t="str">
        <f t="array" ref="I78">IFERROR(VLOOKUP(J78,Risikolog[],9),"")</f>
        <v/>
      </c>
      <c r="J78" s="71" t="str">
        <f t="array" ref="J78">IFERROR(SMALL(IF(Risikolog[Mitigerende tiltag lagt i projektplan]="Ja",IF(Risikolog[Status]="Risiko",Risikolog[Risiko-id])),A78),"")</f>
        <v/>
      </c>
      <c r="L78" s="71" t="e">
        <f t="array" ref="L78">LARGE(IF(Risikolog[Mitigerende tiltag lagt i projektplan]="Ja",IF(Risikolog[Status]="Risiko",Risikolog[Risiko-værdi])),A78)</f>
        <v>#NUM!</v>
      </c>
      <c r="M78" s="71" t="str">
        <f t="shared" si="3"/>
        <v/>
      </c>
    </row>
    <row r="79" spans="1:13" x14ac:dyDescent="0.2">
      <c r="A79" s="71">
        <v>76</v>
      </c>
      <c r="B79" s="126" t="str">
        <f t="array" ref="B79">IFERROR(VLOOKUP(C79,Risikolog[],9),"")</f>
        <v/>
      </c>
      <c r="C79" s="71" t="str">
        <f t="array" ref="C79">IFERROR(SMALL(IF(Risikolog[Beredskabsplan lagt i risikopulje]="Ja",IF(Risikolog[Status]="Risiko",Risikolog[Risiko-id])),A79),"")</f>
        <v/>
      </c>
      <c r="E79" s="71" t="e">
        <f t="array" ref="E79">LARGE(IF(Risikolog[Beredskabsplan lagt i risikopulje]="Ja",IF(Risikolog[Status]="Risiko",Risikolog[Risiko-værdi])),A79)</f>
        <v>#NUM!</v>
      </c>
      <c r="F79" s="71" t="str">
        <f t="shared" si="2"/>
        <v/>
      </c>
      <c r="I79" s="126" t="str">
        <f t="array" ref="I79">IFERROR(VLOOKUP(J79,Risikolog[],9),"")</f>
        <v/>
      </c>
      <c r="J79" s="71" t="str">
        <f t="array" ref="J79">IFERROR(SMALL(IF(Risikolog[Mitigerende tiltag lagt i projektplan]="Ja",IF(Risikolog[Status]="Risiko",Risikolog[Risiko-id])),A79),"")</f>
        <v/>
      </c>
      <c r="L79" s="71" t="e">
        <f t="array" ref="L79">LARGE(IF(Risikolog[Mitigerende tiltag lagt i projektplan]="Ja",IF(Risikolog[Status]="Risiko",Risikolog[Risiko-værdi])),A79)</f>
        <v>#NUM!</v>
      </c>
      <c r="M79" s="71" t="str">
        <f t="shared" si="3"/>
        <v/>
      </c>
    </row>
    <row r="80" spans="1:13" x14ac:dyDescent="0.2">
      <c r="A80" s="71">
        <v>77</v>
      </c>
      <c r="B80" s="126" t="str">
        <f t="array" ref="B80">IFERROR(VLOOKUP(C80,Risikolog[],9),"")</f>
        <v/>
      </c>
      <c r="C80" s="71" t="str">
        <f t="array" ref="C80">IFERROR(SMALL(IF(Risikolog[Beredskabsplan lagt i risikopulje]="Ja",IF(Risikolog[Status]="Risiko",Risikolog[Risiko-id])),A80),"")</f>
        <v/>
      </c>
      <c r="E80" s="71" t="e">
        <f t="array" ref="E80">LARGE(IF(Risikolog[Beredskabsplan lagt i risikopulje]="Ja",IF(Risikolog[Status]="Risiko",Risikolog[Risiko-værdi])),A80)</f>
        <v>#NUM!</v>
      </c>
      <c r="F80" s="71" t="str">
        <f t="shared" si="2"/>
        <v/>
      </c>
      <c r="I80" s="126" t="str">
        <f t="array" ref="I80">IFERROR(VLOOKUP(J80,Risikolog[],9),"")</f>
        <v/>
      </c>
      <c r="J80" s="71" t="str">
        <f t="array" ref="J80">IFERROR(SMALL(IF(Risikolog[Mitigerende tiltag lagt i projektplan]="Ja",IF(Risikolog[Status]="Risiko",Risikolog[Risiko-id])),A80),"")</f>
        <v/>
      </c>
      <c r="L80" s="71" t="e">
        <f t="array" ref="L80">LARGE(IF(Risikolog[Mitigerende tiltag lagt i projektplan]="Ja",IF(Risikolog[Status]="Risiko",Risikolog[Risiko-værdi])),A80)</f>
        <v>#NUM!</v>
      </c>
      <c r="M80" s="71" t="str">
        <f t="shared" si="3"/>
        <v/>
      </c>
    </row>
    <row r="81" spans="1:13" x14ac:dyDescent="0.2">
      <c r="A81" s="71">
        <v>78</v>
      </c>
      <c r="B81" s="126" t="str">
        <f t="array" ref="B81">IFERROR(VLOOKUP(C81,Risikolog[],9),"")</f>
        <v/>
      </c>
      <c r="C81" s="71" t="str">
        <f t="array" ref="C81">IFERROR(SMALL(IF(Risikolog[Beredskabsplan lagt i risikopulje]="Ja",IF(Risikolog[Status]="Risiko",Risikolog[Risiko-id])),A81),"")</f>
        <v/>
      </c>
      <c r="E81" s="71" t="e">
        <f t="array" ref="E81">LARGE(IF(Risikolog[Beredskabsplan lagt i risikopulje]="Ja",IF(Risikolog[Status]="Risiko",Risikolog[Risiko-værdi])),A81)</f>
        <v>#NUM!</v>
      </c>
      <c r="F81" s="71" t="str">
        <f t="shared" si="2"/>
        <v/>
      </c>
      <c r="I81" s="126" t="str">
        <f t="array" ref="I81">IFERROR(VLOOKUP(J81,Risikolog[],9),"")</f>
        <v/>
      </c>
      <c r="J81" s="71" t="str">
        <f t="array" ref="J81">IFERROR(SMALL(IF(Risikolog[Mitigerende tiltag lagt i projektplan]="Ja",IF(Risikolog[Status]="Risiko",Risikolog[Risiko-id])),A81),"")</f>
        <v/>
      </c>
      <c r="L81" s="71" t="e">
        <f t="array" ref="L81">LARGE(IF(Risikolog[Mitigerende tiltag lagt i projektplan]="Ja",IF(Risikolog[Status]="Risiko",Risikolog[Risiko-værdi])),A81)</f>
        <v>#NUM!</v>
      </c>
      <c r="M81" s="71" t="str">
        <f t="shared" si="3"/>
        <v/>
      </c>
    </row>
    <row r="82" spans="1:13" x14ac:dyDescent="0.2">
      <c r="A82" s="71">
        <v>79</v>
      </c>
      <c r="B82" s="126" t="str">
        <f t="array" ref="B82">IFERROR(VLOOKUP(C82,Risikolog[],9),"")</f>
        <v/>
      </c>
      <c r="C82" s="71" t="str">
        <f t="array" ref="C82">IFERROR(SMALL(IF(Risikolog[Beredskabsplan lagt i risikopulje]="Ja",IF(Risikolog[Status]="Risiko",Risikolog[Risiko-id])),A82),"")</f>
        <v/>
      </c>
      <c r="E82" s="71" t="e">
        <f t="array" ref="E82">LARGE(IF(Risikolog[Beredskabsplan lagt i risikopulje]="Ja",IF(Risikolog[Status]="Risiko",Risikolog[Risiko-værdi])),A82)</f>
        <v>#NUM!</v>
      </c>
      <c r="F82" s="71" t="str">
        <f t="shared" si="2"/>
        <v/>
      </c>
      <c r="I82" s="126" t="str">
        <f t="array" ref="I82">IFERROR(VLOOKUP(J82,Risikolog[],9),"")</f>
        <v/>
      </c>
      <c r="J82" s="71" t="str">
        <f t="array" ref="J82">IFERROR(SMALL(IF(Risikolog[Mitigerende tiltag lagt i projektplan]="Ja",IF(Risikolog[Status]="Risiko",Risikolog[Risiko-id])),A82),"")</f>
        <v/>
      </c>
      <c r="L82" s="71" t="e">
        <f t="array" ref="L82">LARGE(IF(Risikolog[Mitigerende tiltag lagt i projektplan]="Ja",IF(Risikolog[Status]="Risiko",Risikolog[Risiko-værdi])),A82)</f>
        <v>#NUM!</v>
      </c>
      <c r="M82" s="71" t="str">
        <f t="shared" si="3"/>
        <v/>
      </c>
    </row>
    <row r="83" spans="1:13" x14ac:dyDescent="0.2">
      <c r="A83" s="71">
        <v>80</v>
      </c>
      <c r="B83" s="126" t="str">
        <f t="array" ref="B83">IFERROR(VLOOKUP(C83,Risikolog[],9),"")</f>
        <v/>
      </c>
      <c r="C83" s="71" t="str">
        <f t="array" ref="C83">IFERROR(SMALL(IF(Risikolog[Beredskabsplan lagt i risikopulje]="Ja",IF(Risikolog[Status]="Risiko",Risikolog[Risiko-id])),A83),"")</f>
        <v/>
      </c>
      <c r="E83" s="71" t="e">
        <f t="array" ref="E83">LARGE(IF(Risikolog[Beredskabsplan lagt i risikopulje]="Ja",IF(Risikolog[Status]="Risiko",Risikolog[Risiko-værdi])),A83)</f>
        <v>#NUM!</v>
      </c>
      <c r="F83" s="71" t="str">
        <f t="shared" si="2"/>
        <v/>
      </c>
      <c r="I83" s="126" t="str">
        <f t="array" ref="I83">IFERROR(VLOOKUP(J83,Risikolog[],9),"")</f>
        <v/>
      </c>
      <c r="J83" s="71" t="str">
        <f t="array" ref="J83">IFERROR(SMALL(IF(Risikolog[Mitigerende tiltag lagt i projektplan]="Ja",IF(Risikolog[Status]="Risiko",Risikolog[Risiko-id])),A83),"")</f>
        <v/>
      </c>
      <c r="L83" s="71" t="e">
        <f t="array" ref="L83">LARGE(IF(Risikolog[Mitigerende tiltag lagt i projektplan]="Ja",IF(Risikolog[Status]="Risiko",Risikolog[Risiko-værdi])),A83)</f>
        <v>#NUM!</v>
      </c>
      <c r="M83" s="71" t="str">
        <f t="shared" si="3"/>
        <v/>
      </c>
    </row>
    <row r="84" spans="1:13" x14ac:dyDescent="0.2">
      <c r="A84" s="71">
        <v>81</v>
      </c>
      <c r="B84" s="126" t="str">
        <f t="array" ref="B84">IFERROR(VLOOKUP(C84,Risikolog[],9),"")</f>
        <v/>
      </c>
      <c r="C84" s="71" t="str">
        <f t="array" ref="C84">IFERROR(SMALL(IF(Risikolog[Beredskabsplan lagt i risikopulje]="Ja",IF(Risikolog[Status]="Risiko",Risikolog[Risiko-id])),A84),"")</f>
        <v/>
      </c>
      <c r="E84" s="71" t="e">
        <f t="array" ref="E84">LARGE(IF(Risikolog[Beredskabsplan lagt i risikopulje]="Ja",IF(Risikolog[Status]="Risiko",Risikolog[Risiko-værdi])),A84)</f>
        <v>#NUM!</v>
      </c>
      <c r="F84" s="71" t="str">
        <f t="shared" si="2"/>
        <v/>
      </c>
      <c r="I84" s="126" t="str">
        <f t="array" ref="I84">IFERROR(VLOOKUP(J84,Risikolog[],9),"")</f>
        <v/>
      </c>
      <c r="J84" s="71" t="str">
        <f t="array" ref="J84">IFERROR(SMALL(IF(Risikolog[Mitigerende tiltag lagt i projektplan]="Ja",IF(Risikolog[Status]="Risiko",Risikolog[Risiko-id])),A84),"")</f>
        <v/>
      </c>
      <c r="L84" s="71" t="e">
        <f t="array" ref="L84">LARGE(IF(Risikolog[Mitigerende tiltag lagt i projektplan]="Ja",IF(Risikolog[Status]="Risiko",Risikolog[Risiko-værdi])),A84)</f>
        <v>#NUM!</v>
      </c>
      <c r="M84" s="71" t="str">
        <f t="shared" si="3"/>
        <v/>
      </c>
    </row>
    <row r="85" spans="1:13" x14ac:dyDescent="0.2">
      <c r="A85" s="71">
        <v>82</v>
      </c>
      <c r="B85" s="126" t="str">
        <f t="array" ref="B85">IFERROR(VLOOKUP(C85,Risikolog[],9),"")</f>
        <v/>
      </c>
      <c r="C85" s="71" t="str">
        <f t="array" ref="C85">IFERROR(SMALL(IF(Risikolog[Beredskabsplan lagt i risikopulje]="Ja",IF(Risikolog[Status]="Risiko",Risikolog[Risiko-id])),A85),"")</f>
        <v/>
      </c>
      <c r="E85" s="71" t="e">
        <f t="array" ref="E85">LARGE(IF(Risikolog[Beredskabsplan lagt i risikopulje]="Ja",IF(Risikolog[Status]="Risiko",Risikolog[Risiko-værdi])),A85)</f>
        <v>#NUM!</v>
      </c>
      <c r="F85" s="71" t="str">
        <f t="shared" si="2"/>
        <v/>
      </c>
      <c r="I85" s="126" t="str">
        <f t="array" ref="I85">IFERROR(VLOOKUP(J85,Risikolog[],9),"")</f>
        <v/>
      </c>
      <c r="J85" s="71" t="str">
        <f t="array" ref="J85">IFERROR(SMALL(IF(Risikolog[Mitigerende tiltag lagt i projektplan]="Ja",IF(Risikolog[Status]="Risiko",Risikolog[Risiko-id])),A85),"")</f>
        <v/>
      </c>
      <c r="L85" s="71" t="e">
        <f t="array" ref="L85">LARGE(IF(Risikolog[Mitigerende tiltag lagt i projektplan]="Ja",IF(Risikolog[Status]="Risiko",Risikolog[Risiko-værdi])),A85)</f>
        <v>#NUM!</v>
      </c>
      <c r="M85" s="71" t="str">
        <f t="shared" si="3"/>
        <v/>
      </c>
    </row>
    <row r="86" spans="1:13" x14ac:dyDescent="0.2">
      <c r="A86" s="71">
        <v>83</v>
      </c>
      <c r="B86" s="126" t="str">
        <f t="array" ref="B86">IFERROR(VLOOKUP(C86,Risikolog[],9),"")</f>
        <v/>
      </c>
      <c r="C86" s="71" t="str">
        <f t="array" ref="C86">IFERROR(SMALL(IF(Risikolog[Beredskabsplan lagt i risikopulje]="Ja",IF(Risikolog[Status]="Risiko",Risikolog[Risiko-id])),A86),"")</f>
        <v/>
      </c>
      <c r="E86" s="71" t="e">
        <f t="array" ref="E86">LARGE(IF(Risikolog[Beredskabsplan lagt i risikopulje]="Ja",IF(Risikolog[Status]="Risiko",Risikolog[Risiko-værdi])),A86)</f>
        <v>#NUM!</v>
      </c>
      <c r="F86" s="71" t="str">
        <f t="shared" si="2"/>
        <v/>
      </c>
      <c r="I86" s="126" t="str">
        <f t="array" ref="I86">IFERROR(VLOOKUP(J86,Risikolog[],9),"")</f>
        <v/>
      </c>
      <c r="J86" s="71" t="str">
        <f t="array" ref="J86">IFERROR(SMALL(IF(Risikolog[Mitigerende tiltag lagt i projektplan]="Ja",IF(Risikolog[Status]="Risiko",Risikolog[Risiko-id])),A86),"")</f>
        <v/>
      </c>
      <c r="L86" s="71" t="e">
        <f t="array" ref="L86">LARGE(IF(Risikolog[Mitigerende tiltag lagt i projektplan]="Ja",IF(Risikolog[Status]="Risiko",Risikolog[Risiko-værdi])),A86)</f>
        <v>#NUM!</v>
      </c>
      <c r="M86" s="71" t="str">
        <f t="shared" si="3"/>
        <v/>
      </c>
    </row>
    <row r="87" spans="1:13" x14ac:dyDescent="0.2">
      <c r="A87" s="71">
        <v>84</v>
      </c>
      <c r="B87" s="126" t="str">
        <f t="array" ref="B87">IFERROR(VLOOKUP(C87,Risikolog[],9),"")</f>
        <v/>
      </c>
      <c r="C87" s="71" t="str">
        <f t="array" ref="C87">IFERROR(SMALL(IF(Risikolog[Beredskabsplan lagt i risikopulje]="Ja",IF(Risikolog[Status]="Risiko",Risikolog[Risiko-id])),A87),"")</f>
        <v/>
      </c>
      <c r="E87" s="71" t="e">
        <f t="array" ref="E87">LARGE(IF(Risikolog[Beredskabsplan lagt i risikopulje]="Ja",IF(Risikolog[Status]="Risiko",Risikolog[Risiko-værdi])),A87)</f>
        <v>#NUM!</v>
      </c>
      <c r="F87" s="71" t="str">
        <f t="shared" si="2"/>
        <v/>
      </c>
      <c r="I87" s="126" t="str">
        <f t="array" ref="I87">IFERROR(VLOOKUP(J87,Risikolog[],9),"")</f>
        <v/>
      </c>
      <c r="J87" s="71" t="str">
        <f t="array" ref="J87">IFERROR(SMALL(IF(Risikolog[Mitigerende tiltag lagt i projektplan]="Ja",IF(Risikolog[Status]="Risiko",Risikolog[Risiko-id])),A87),"")</f>
        <v/>
      </c>
      <c r="L87" s="71" t="e">
        <f t="array" ref="L87">LARGE(IF(Risikolog[Mitigerende tiltag lagt i projektplan]="Ja",IF(Risikolog[Status]="Risiko",Risikolog[Risiko-værdi])),A87)</f>
        <v>#NUM!</v>
      </c>
      <c r="M87" s="71" t="str">
        <f t="shared" si="3"/>
        <v/>
      </c>
    </row>
    <row r="88" spans="1:13" x14ac:dyDescent="0.2">
      <c r="A88" s="71">
        <v>85</v>
      </c>
      <c r="B88" s="126" t="str">
        <f t="array" ref="B88">IFERROR(VLOOKUP(C88,Risikolog[],9),"")</f>
        <v/>
      </c>
      <c r="C88" s="71" t="str">
        <f t="array" ref="C88">IFERROR(SMALL(IF(Risikolog[Beredskabsplan lagt i risikopulje]="Ja",IF(Risikolog[Status]="Risiko",Risikolog[Risiko-id])),A88),"")</f>
        <v/>
      </c>
      <c r="E88" s="71" t="e">
        <f t="array" ref="E88">LARGE(IF(Risikolog[Beredskabsplan lagt i risikopulje]="Ja",IF(Risikolog[Status]="Risiko",Risikolog[Risiko-værdi])),A88)</f>
        <v>#NUM!</v>
      </c>
      <c r="F88" s="71" t="str">
        <f t="shared" ref="F88:F100" si="4">IFERROR(VLOOKUP($E88,B$4:C$23,2,FALSE),"")</f>
        <v/>
      </c>
      <c r="I88" s="126" t="str">
        <f t="array" ref="I88">IFERROR(VLOOKUP(J88,Risikolog[],9),"")</f>
        <v/>
      </c>
      <c r="J88" s="71" t="str">
        <f t="array" ref="J88">IFERROR(SMALL(IF(Risikolog[Mitigerende tiltag lagt i projektplan]="Ja",IF(Risikolog[Status]="Risiko",Risikolog[Risiko-id])),A88),"")</f>
        <v/>
      </c>
      <c r="L88" s="71" t="e">
        <f t="array" ref="L88">LARGE(IF(Risikolog[Mitigerende tiltag lagt i projektplan]="Ja",IF(Risikolog[Status]="Risiko",Risikolog[Risiko-værdi])),A88)</f>
        <v>#NUM!</v>
      </c>
      <c r="M88" s="71" t="str">
        <f t="shared" si="3"/>
        <v/>
      </c>
    </row>
    <row r="89" spans="1:13" x14ac:dyDescent="0.2">
      <c r="A89" s="71">
        <v>86</v>
      </c>
      <c r="B89" s="126" t="str">
        <f t="array" ref="B89">IFERROR(VLOOKUP(C89,Risikolog[],9),"")</f>
        <v/>
      </c>
      <c r="C89" s="71" t="str">
        <f t="array" ref="C89">IFERROR(SMALL(IF(Risikolog[Beredskabsplan lagt i risikopulje]="Ja",IF(Risikolog[Status]="Risiko",Risikolog[Risiko-id])),A89),"")</f>
        <v/>
      </c>
      <c r="E89" s="71" t="e">
        <f t="array" ref="E89">LARGE(IF(Risikolog[Beredskabsplan lagt i risikopulje]="Ja",IF(Risikolog[Status]="Risiko",Risikolog[Risiko-værdi])),A89)</f>
        <v>#NUM!</v>
      </c>
      <c r="F89" s="71" t="str">
        <f t="shared" si="4"/>
        <v/>
      </c>
      <c r="I89" s="126" t="str">
        <f t="array" ref="I89">IFERROR(VLOOKUP(J89,Risikolog[],9),"")</f>
        <v/>
      </c>
      <c r="J89" s="71" t="str">
        <f t="array" ref="J89">IFERROR(SMALL(IF(Risikolog[Mitigerende tiltag lagt i projektplan]="Ja",IF(Risikolog[Status]="Risiko",Risikolog[Risiko-id])),A89),"")</f>
        <v/>
      </c>
      <c r="L89" s="71" t="e">
        <f t="array" ref="L89">LARGE(IF(Risikolog[Mitigerende tiltag lagt i projektplan]="Ja",IF(Risikolog[Status]="Risiko",Risikolog[Risiko-værdi])),A89)</f>
        <v>#NUM!</v>
      </c>
      <c r="M89" s="71" t="str">
        <f t="shared" si="3"/>
        <v/>
      </c>
    </row>
    <row r="90" spans="1:13" x14ac:dyDescent="0.2">
      <c r="A90" s="71">
        <v>87</v>
      </c>
      <c r="B90" s="126" t="str">
        <f t="array" ref="B90">IFERROR(VLOOKUP(C90,Risikolog[],9),"")</f>
        <v/>
      </c>
      <c r="C90" s="71" t="str">
        <f t="array" ref="C90">IFERROR(SMALL(IF(Risikolog[Beredskabsplan lagt i risikopulje]="Ja",IF(Risikolog[Status]="Risiko",Risikolog[Risiko-id])),A90),"")</f>
        <v/>
      </c>
      <c r="E90" s="71" t="e">
        <f t="array" ref="E90">LARGE(IF(Risikolog[Beredskabsplan lagt i risikopulje]="Ja",IF(Risikolog[Status]="Risiko",Risikolog[Risiko-værdi])),A90)</f>
        <v>#NUM!</v>
      </c>
      <c r="F90" s="71" t="str">
        <f t="shared" si="4"/>
        <v/>
      </c>
      <c r="I90" s="126" t="str">
        <f t="array" ref="I90">IFERROR(VLOOKUP(J90,Risikolog[],9),"")</f>
        <v/>
      </c>
      <c r="J90" s="71" t="str">
        <f t="array" ref="J90">IFERROR(SMALL(IF(Risikolog[Mitigerende tiltag lagt i projektplan]="Ja",IF(Risikolog[Status]="Risiko",Risikolog[Risiko-id])),A90),"")</f>
        <v/>
      </c>
      <c r="L90" s="71" t="e">
        <f t="array" ref="L90">LARGE(IF(Risikolog[Mitigerende tiltag lagt i projektplan]="Ja",IF(Risikolog[Status]="Risiko",Risikolog[Risiko-værdi])),A90)</f>
        <v>#NUM!</v>
      </c>
      <c r="M90" s="71" t="str">
        <f t="shared" si="3"/>
        <v/>
      </c>
    </row>
    <row r="91" spans="1:13" x14ac:dyDescent="0.2">
      <c r="A91" s="71">
        <v>88</v>
      </c>
      <c r="B91" s="126" t="str">
        <f t="array" ref="B91">IFERROR(VLOOKUP(C91,Risikolog[],9),"")</f>
        <v/>
      </c>
      <c r="C91" s="71" t="str">
        <f t="array" ref="C91">IFERROR(SMALL(IF(Risikolog[Beredskabsplan lagt i risikopulje]="Ja",IF(Risikolog[Status]="Risiko",Risikolog[Risiko-id])),A91),"")</f>
        <v/>
      </c>
      <c r="E91" s="71" t="e">
        <f t="array" ref="E91">LARGE(IF(Risikolog[Beredskabsplan lagt i risikopulje]="Ja",IF(Risikolog[Status]="Risiko",Risikolog[Risiko-værdi])),A91)</f>
        <v>#NUM!</v>
      </c>
      <c r="F91" s="71" t="str">
        <f t="shared" si="4"/>
        <v/>
      </c>
      <c r="I91" s="126" t="str">
        <f t="array" ref="I91">IFERROR(VLOOKUP(J91,Risikolog[],9),"")</f>
        <v/>
      </c>
      <c r="J91" s="71" t="str">
        <f t="array" ref="J91">IFERROR(SMALL(IF(Risikolog[Mitigerende tiltag lagt i projektplan]="Ja",IF(Risikolog[Status]="Risiko",Risikolog[Risiko-id])),A91),"")</f>
        <v/>
      </c>
      <c r="L91" s="71" t="e">
        <f t="array" ref="L91">LARGE(IF(Risikolog[Mitigerende tiltag lagt i projektplan]="Ja",IF(Risikolog[Status]="Risiko",Risikolog[Risiko-værdi])),A91)</f>
        <v>#NUM!</v>
      </c>
      <c r="M91" s="71" t="str">
        <f t="shared" si="3"/>
        <v/>
      </c>
    </row>
    <row r="92" spans="1:13" x14ac:dyDescent="0.2">
      <c r="A92" s="71">
        <v>89</v>
      </c>
      <c r="B92" s="126" t="str">
        <f t="array" ref="B92">IFERROR(VLOOKUP(C92,Risikolog[],9),"")</f>
        <v/>
      </c>
      <c r="C92" s="71" t="str">
        <f t="array" ref="C92">IFERROR(SMALL(IF(Risikolog[Beredskabsplan lagt i risikopulje]="Ja",IF(Risikolog[Status]="Risiko",Risikolog[Risiko-id])),A92),"")</f>
        <v/>
      </c>
      <c r="E92" s="71" t="e">
        <f t="array" ref="E92">LARGE(IF(Risikolog[Beredskabsplan lagt i risikopulje]="Ja",IF(Risikolog[Status]="Risiko",Risikolog[Risiko-værdi])),A92)</f>
        <v>#NUM!</v>
      </c>
      <c r="F92" s="71" t="str">
        <f t="shared" si="4"/>
        <v/>
      </c>
      <c r="I92" s="126" t="str">
        <f t="array" ref="I92">IFERROR(VLOOKUP(J92,Risikolog[],9),"")</f>
        <v/>
      </c>
      <c r="J92" s="71" t="str">
        <f t="array" ref="J92">IFERROR(SMALL(IF(Risikolog[Mitigerende tiltag lagt i projektplan]="Ja",IF(Risikolog[Status]="Risiko",Risikolog[Risiko-id])),A92),"")</f>
        <v/>
      </c>
      <c r="L92" s="71" t="e">
        <f t="array" ref="L92">LARGE(IF(Risikolog[Mitigerende tiltag lagt i projektplan]="Ja",IF(Risikolog[Status]="Risiko",Risikolog[Risiko-værdi])),A92)</f>
        <v>#NUM!</v>
      </c>
      <c r="M92" s="71" t="str">
        <f t="shared" si="3"/>
        <v/>
      </c>
    </row>
    <row r="93" spans="1:13" x14ac:dyDescent="0.2">
      <c r="A93" s="71">
        <v>90</v>
      </c>
      <c r="B93" s="126" t="str">
        <f t="array" ref="B93">IFERROR(VLOOKUP(C93,Risikolog[],9),"")</f>
        <v/>
      </c>
      <c r="C93" s="71" t="str">
        <f t="array" ref="C93">IFERROR(SMALL(IF(Risikolog[Beredskabsplan lagt i risikopulje]="Ja",IF(Risikolog[Status]="Risiko",Risikolog[Risiko-id])),A93),"")</f>
        <v/>
      </c>
      <c r="E93" s="71" t="e">
        <f t="array" ref="E93">LARGE(IF(Risikolog[Beredskabsplan lagt i risikopulje]="Ja",IF(Risikolog[Status]="Risiko",Risikolog[Risiko-værdi])),A93)</f>
        <v>#NUM!</v>
      </c>
      <c r="F93" s="71" t="str">
        <f t="shared" si="4"/>
        <v/>
      </c>
      <c r="I93" s="126" t="str">
        <f t="array" ref="I93">IFERROR(VLOOKUP(J93,Risikolog[],9),"")</f>
        <v/>
      </c>
      <c r="J93" s="71" t="str">
        <f t="array" ref="J93">IFERROR(SMALL(IF(Risikolog[Mitigerende tiltag lagt i projektplan]="Ja",IF(Risikolog[Status]="Risiko",Risikolog[Risiko-id])),A93),"")</f>
        <v/>
      </c>
      <c r="L93" s="71" t="e">
        <f t="array" ref="L93">LARGE(IF(Risikolog[Mitigerende tiltag lagt i projektplan]="Ja",IF(Risikolog[Status]="Risiko",Risikolog[Risiko-værdi])),A93)</f>
        <v>#NUM!</v>
      </c>
      <c r="M93" s="71" t="str">
        <f t="shared" si="3"/>
        <v/>
      </c>
    </row>
    <row r="94" spans="1:13" x14ac:dyDescent="0.2">
      <c r="A94" s="71">
        <v>91</v>
      </c>
      <c r="B94" s="126" t="str">
        <f t="array" ref="B94">IFERROR(VLOOKUP(C94,Risikolog[],9),"")</f>
        <v/>
      </c>
      <c r="C94" s="71" t="str">
        <f t="array" ref="C94">IFERROR(SMALL(IF(Risikolog[Beredskabsplan lagt i risikopulje]="Ja",IF(Risikolog[Status]="Risiko",Risikolog[Risiko-id])),A94),"")</f>
        <v/>
      </c>
      <c r="E94" s="71" t="e">
        <f t="array" ref="E94">LARGE(IF(Risikolog[Beredskabsplan lagt i risikopulje]="Ja",IF(Risikolog[Status]="Risiko",Risikolog[Risiko-værdi])),A94)</f>
        <v>#NUM!</v>
      </c>
      <c r="F94" s="71" t="str">
        <f t="shared" si="4"/>
        <v/>
      </c>
      <c r="I94" s="126" t="str">
        <f t="array" ref="I94">IFERROR(VLOOKUP(J94,Risikolog[],9),"")</f>
        <v/>
      </c>
      <c r="J94" s="71" t="str">
        <f t="array" ref="J94">IFERROR(SMALL(IF(Risikolog[Mitigerende tiltag lagt i projektplan]="Ja",IF(Risikolog[Status]="Risiko",Risikolog[Risiko-id])),A94),"")</f>
        <v/>
      </c>
      <c r="L94" s="71" t="e">
        <f t="array" ref="L94">LARGE(IF(Risikolog[Mitigerende tiltag lagt i projektplan]="Ja",IF(Risikolog[Status]="Risiko",Risikolog[Risiko-værdi])),A94)</f>
        <v>#NUM!</v>
      </c>
      <c r="M94" s="71" t="str">
        <f t="shared" si="3"/>
        <v/>
      </c>
    </row>
    <row r="95" spans="1:13" x14ac:dyDescent="0.2">
      <c r="A95" s="71">
        <v>92</v>
      </c>
      <c r="B95" s="126" t="str">
        <f t="array" ref="B95">IFERROR(VLOOKUP(C95,Risikolog[],9),"")</f>
        <v/>
      </c>
      <c r="C95" s="71" t="str">
        <f t="array" ref="C95">IFERROR(SMALL(IF(Risikolog[Beredskabsplan lagt i risikopulje]="Ja",IF(Risikolog[Status]="Risiko",Risikolog[Risiko-id])),A95),"")</f>
        <v/>
      </c>
      <c r="E95" s="71" t="e">
        <f t="array" ref="E95">LARGE(IF(Risikolog[Beredskabsplan lagt i risikopulje]="Ja",IF(Risikolog[Status]="Risiko",Risikolog[Risiko-værdi])),A95)</f>
        <v>#NUM!</v>
      </c>
      <c r="F95" s="71" t="str">
        <f t="shared" si="4"/>
        <v/>
      </c>
      <c r="I95" s="126" t="str">
        <f t="array" ref="I95">IFERROR(VLOOKUP(J95,Risikolog[],9),"")</f>
        <v/>
      </c>
      <c r="J95" s="71" t="str">
        <f t="array" ref="J95">IFERROR(SMALL(IF(Risikolog[Mitigerende tiltag lagt i projektplan]="Ja",IF(Risikolog[Status]="Risiko",Risikolog[Risiko-id])),A95),"")</f>
        <v/>
      </c>
      <c r="L95" s="71" t="e">
        <f t="array" ref="L95">LARGE(IF(Risikolog[Mitigerende tiltag lagt i projektplan]="Ja",IF(Risikolog[Status]="Risiko",Risikolog[Risiko-værdi])),A95)</f>
        <v>#NUM!</v>
      </c>
      <c r="M95" s="71" t="str">
        <f t="shared" si="3"/>
        <v/>
      </c>
    </row>
    <row r="96" spans="1:13" x14ac:dyDescent="0.2">
      <c r="A96" s="71">
        <v>93</v>
      </c>
      <c r="B96" s="126" t="str">
        <f t="array" ref="B96">IFERROR(VLOOKUP(C96,Risikolog[],9),"")</f>
        <v/>
      </c>
      <c r="C96" s="71" t="str">
        <f t="array" ref="C96">IFERROR(SMALL(IF(Risikolog[Beredskabsplan lagt i risikopulje]="Ja",IF(Risikolog[Status]="Risiko",Risikolog[Risiko-id])),A96),"")</f>
        <v/>
      </c>
      <c r="E96" s="71" t="e">
        <f t="array" ref="E96">LARGE(IF(Risikolog[Beredskabsplan lagt i risikopulje]="Ja",IF(Risikolog[Status]="Risiko",Risikolog[Risiko-værdi])),A96)</f>
        <v>#NUM!</v>
      </c>
      <c r="F96" s="71" t="str">
        <f t="shared" si="4"/>
        <v/>
      </c>
      <c r="I96" s="126" t="str">
        <f t="array" ref="I96">IFERROR(VLOOKUP(J96,Risikolog[],9),"")</f>
        <v/>
      </c>
      <c r="J96" s="71" t="str">
        <f t="array" ref="J96">IFERROR(SMALL(IF(Risikolog[Mitigerende tiltag lagt i projektplan]="Ja",IF(Risikolog[Status]="Risiko",Risikolog[Risiko-id])),A96),"")</f>
        <v/>
      </c>
      <c r="L96" s="71" t="e">
        <f t="array" ref="L96">LARGE(IF(Risikolog[Mitigerende tiltag lagt i projektplan]="Ja",IF(Risikolog[Status]="Risiko",Risikolog[Risiko-værdi])),A96)</f>
        <v>#NUM!</v>
      </c>
      <c r="M96" s="71" t="str">
        <f t="shared" si="3"/>
        <v/>
      </c>
    </row>
    <row r="97" spans="1:13" x14ac:dyDescent="0.2">
      <c r="A97" s="71">
        <v>94</v>
      </c>
      <c r="B97" s="126" t="str">
        <f t="array" ref="B97">IFERROR(VLOOKUP(C97,Risikolog[],9),"")</f>
        <v/>
      </c>
      <c r="C97" s="71" t="str">
        <f t="array" ref="C97">IFERROR(SMALL(IF(Risikolog[Beredskabsplan lagt i risikopulje]="Ja",IF(Risikolog[Status]="Risiko",Risikolog[Risiko-id])),A97),"")</f>
        <v/>
      </c>
      <c r="E97" s="71" t="e">
        <f t="array" ref="E97">LARGE(IF(Risikolog[Beredskabsplan lagt i risikopulje]="Ja",IF(Risikolog[Status]="Risiko",Risikolog[Risiko-værdi])),A97)</f>
        <v>#NUM!</v>
      </c>
      <c r="F97" s="71" t="str">
        <f t="shared" si="4"/>
        <v/>
      </c>
      <c r="I97" s="126" t="str">
        <f t="array" ref="I97">IFERROR(VLOOKUP(J97,Risikolog[],9),"")</f>
        <v/>
      </c>
      <c r="J97" s="71" t="str">
        <f t="array" ref="J97">IFERROR(SMALL(IF(Risikolog[Mitigerende tiltag lagt i projektplan]="Ja",IF(Risikolog[Status]="Risiko",Risikolog[Risiko-id])),A97),"")</f>
        <v/>
      </c>
      <c r="L97" s="71" t="e">
        <f t="array" ref="L97">LARGE(IF(Risikolog[Mitigerende tiltag lagt i projektplan]="Ja",IF(Risikolog[Status]="Risiko",Risikolog[Risiko-værdi])),A97)</f>
        <v>#NUM!</v>
      </c>
      <c r="M97" s="71" t="str">
        <f t="shared" si="3"/>
        <v/>
      </c>
    </row>
    <row r="98" spans="1:13" x14ac:dyDescent="0.2">
      <c r="A98" s="71">
        <v>95</v>
      </c>
      <c r="B98" s="126" t="str">
        <f t="array" ref="B98">IFERROR(VLOOKUP(C98,Risikolog[],9),"")</f>
        <v/>
      </c>
      <c r="C98" s="71" t="str">
        <f t="array" ref="C98">IFERROR(SMALL(IF(Risikolog[Beredskabsplan lagt i risikopulje]="Ja",IF(Risikolog[Status]="Risiko",Risikolog[Risiko-id])),A98),"")</f>
        <v/>
      </c>
      <c r="E98" s="71" t="e">
        <f t="array" ref="E98">LARGE(IF(Risikolog[Beredskabsplan lagt i risikopulje]="Ja",IF(Risikolog[Status]="Risiko",Risikolog[Risiko-værdi])),A98)</f>
        <v>#NUM!</v>
      </c>
      <c r="F98" s="71" t="str">
        <f t="shared" si="4"/>
        <v/>
      </c>
      <c r="I98" s="126" t="str">
        <f t="array" ref="I98">IFERROR(VLOOKUP(J98,Risikolog[],9),"")</f>
        <v/>
      </c>
      <c r="J98" s="71" t="str">
        <f t="array" ref="J98">IFERROR(SMALL(IF(Risikolog[Mitigerende tiltag lagt i projektplan]="Ja",IF(Risikolog[Status]="Risiko",Risikolog[Risiko-id])),A98),"")</f>
        <v/>
      </c>
      <c r="L98" s="71" t="e">
        <f t="array" ref="L98">LARGE(IF(Risikolog[Mitigerende tiltag lagt i projektplan]="Ja",IF(Risikolog[Status]="Risiko",Risikolog[Risiko-værdi])),A98)</f>
        <v>#NUM!</v>
      </c>
      <c r="M98" s="71" t="str">
        <f t="shared" si="3"/>
        <v/>
      </c>
    </row>
    <row r="99" spans="1:13" x14ac:dyDescent="0.2">
      <c r="A99" s="71">
        <v>96</v>
      </c>
      <c r="B99" s="126" t="str">
        <f t="array" ref="B99">IFERROR(VLOOKUP(C99,Risikolog[],9),"")</f>
        <v/>
      </c>
      <c r="C99" s="71" t="str">
        <f t="array" ref="C99">IFERROR(SMALL(IF(Risikolog[Beredskabsplan lagt i risikopulje]="Ja",IF(Risikolog[Status]="Risiko",Risikolog[Risiko-id])),A99),"")</f>
        <v/>
      </c>
      <c r="E99" s="71" t="e">
        <f t="array" ref="E99">LARGE(IF(Risikolog[Beredskabsplan lagt i risikopulje]="Ja",IF(Risikolog[Status]="Risiko",Risikolog[Risiko-værdi])),A99)</f>
        <v>#NUM!</v>
      </c>
      <c r="F99" s="71" t="str">
        <f t="shared" si="4"/>
        <v/>
      </c>
      <c r="I99" s="126" t="str">
        <f t="array" ref="I99">IFERROR(VLOOKUP(J99,Risikolog[],9),"")</f>
        <v/>
      </c>
      <c r="J99" s="71" t="str">
        <f t="array" ref="J99">IFERROR(SMALL(IF(Risikolog[Mitigerende tiltag lagt i projektplan]="Ja",IF(Risikolog[Status]="Risiko",Risikolog[Risiko-id])),A99),"")</f>
        <v/>
      </c>
      <c r="L99" s="71" t="e">
        <f t="array" ref="L99">LARGE(IF(Risikolog[Mitigerende tiltag lagt i projektplan]="Ja",IF(Risikolog[Status]="Risiko",Risikolog[Risiko-værdi])),A99)</f>
        <v>#NUM!</v>
      </c>
      <c r="M99" s="71" t="str">
        <f t="shared" si="3"/>
        <v/>
      </c>
    </row>
    <row r="100" spans="1:13" x14ac:dyDescent="0.2">
      <c r="A100" s="71">
        <v>97</v>
      </c>
      <c r="B100" s="126" t="str">
        <f t="array" ref="B100">IFERROR(VLOOKUP(C100,Risikolog[],9),"")</f>
        <v/>
      </c>
      <c r="C100" s="71" t="str">
        <f t="array" ref="C100">IFERROR(SMALL(IF(Risikolog[Beredskabsplan lagt i risikopulje]="Ja",IF(Risikolog[Status]="Risiko",Risikolog[Risiko-id])),A100),"")</f>
        <v/>
      </c>
      <c r="E100" s="71" t="e">
        <f t="array" ref="E100">LARGE(IF(Risikolog[Beredskabsplan lagt i risikopulje]="Ja",IF(Risikolog[Status]="Risiko",Risikolog[Risiko-værdi])),A100)</f>
        <v>#NUM!</v>
      </c>
      <c r="F100" s="71" t="str">
        <f t="shared" si="4"/>
        <v/>
      </c>
      <c r="I100" s="126" t="str">
        <f t="array" ref="I100">IFERROR(VLOOKUP(J100,Risikolog[],9),"")</f>
        <v/>
      </c>
      <c r="J100" s="71" t="str">
        <f t="array" ref="J100">IFERROR(SMALL(IF(Risikolog[Mitigerende tiltag lagt i projektplan]="Ja",IF(Risikolog[Status]="Risiko",Risikolog[Risiko-id])),A100),"")</f>
        <v/>
      </c>
      <c r="L100" s="71" t="e">
        <f t="array" ref="L100">LARGE(IF(Risikolog[Mitigerende tiltag lagt i projektplan]="Ja",IF(Risikolog[Status]="Risiko",Risikolog[Risiko-værdi])),A100)</f>
        <v>#NUM!</v>
      </c>
      <c r="M100" s="71" t="str">
        <f t="shared" si="3"/>
        <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M129"/>
  <sheetViews>
    <sheetView topLeftCell="F1" workbookViewId="0">
      <selection activeCell="G5" sqref="G5"/>
    </sheetView>
  </sheetViews>
  <sheetFormatPr defaultColWidth="9" defaultRowHeight="14.25" x14ac:dyDescent="0.2"/>
  <cols>
    <col min="1" max="1" width="30" style="8" customWidth="1"/>
    <col min="2" max="2" width="14.875" style="9" customWidth="1"/>
    <col min="3" max="3" width="27.375" style="8" customWidth="1"/>
    <col min="4" max="4" width="14.875" style="8" customWidth="1"/>
    <col min="5" max="5" width="17.5" style="8" customWidth="1"/>
    <col min="6" max="6" width="9" style="8"/>
    <col min="7" max="9" width="22.125" style="8" customWidth="1"/>
    <col min="10" max="10" width="12.125" style="8" bestFit="1" customWidth="1"/>
    <col min="11" max="12" width="12.125" style="8" customWidth="1"/>
    <col min="13" max="13" width="10.25" style="8" bestFit="1" customWidth="1"/>
    <col min="14" max="16384" width="9" style="8"/>
  </cols>
  <sheetData>
    <row r="1" spans="1:13" ht="30" x14ac:dyDescent="0.25">
      <c r="A1" s="6" t="s">
        <v>6</v>
      </c>
      <c r="B1" s="7" t="s">
        <v>2</v>
      </c>
      <c r="C1" s="6" t="s">
        <v>1</v>
      </c>
      <c r="D1" s="6" t="s">
        <v>24</v>
      </c>
      <c r="E1" s="6" t="s">
        <v>35</v>
      </c>
      <c r="F1" s="6" t="s">
        <v>47</v>
      </c>
      <c r="G1" s="6" t="s">
        <v>52</v>
      </c>
      <c r="H1" s="52" t="s">
        <v>148</v>
      </c>
      <c r="I1" s="52" t="s">
        <v>153</v>
      </c>
      <c r="J1" s="6" t="s">
        <v>201</v>
      </c>
      <c r="L1" s="52" t="s">
        <v>202</v>
      </c>
      <c r="M1" s="52" t="s">
        <v>203</v>
      </c>
    </row>
    <row r="2" spans="1:13" ht="28.5" x14ac:dyDescent="0.2">
      <c r="A2" s="8" t="s">
        <v>37</v>
      </c>
      <c r="B2" s="25">
        <v>1</v>
      </c>
      <c r="C2" s="8" t="s">
        <v>21</v>
      </c>
      <c r="D2" s="18" t="s">
        <v>149</v>
      </c>
      <c r="E2" s="8" t="s">
        <v>9</v>
      </c>
      <c r="F2" s="8" t="s">
        <v>46</v>
      </c>
      <c r="G2" s="8" t="s">
        <v>53</v>
      </c>
      <c r="H2" s="128" t="s">
        <v>216</v>
      </c>
      <c r="I2" s="127"/>
      <c r="J2" s="27">
        <v>43313</v>
      </c>
      <c r="L2" s="8" t="str">
        <f>YEAR(M2)&amp;" Q"&amp;ROUNDUP(MONTH(M2)/3,0)</f>
        <v>2020 Q1</v>
      </c>
      <c r="M2" s="34">
        <v>43831</v>
      </c>
    </row>
    <row r="3" spans="1:13" x14ac:dyDescent="0.2">
      <c r="A3" s="8" t="s">
        <v>49</v>
      </c>
      <c r="B3" s="25">
        <v>2</v>
      </c>
      <c r="C3" s="8" t="s">
        <v>43</v>
      </c>
      <c r="D3" s="8" t="s">
        <v>41</v>
      </c>
      <c r="E3" s="8" t="s">
        <v>36</v>
      </c>
      <c r="G3" s="8" t="s">
        <v>54</v>
      </c>
      <c r="H3" s="8" t="str">
        <f>YEAR(I3)&amp;" Q"&amp;ROUNDUP(MONTH(I3)/3,0)</f>
        <v>2020 Q1</v>
      </c>
      <c r="I3" s="127">
        <v>43831</v>
      </c>
      <c r="J3" s="27">
        <v>43344</v>
      </c>
      <c r="L3" s="8" t="str">
        <f t="shared" ref="L3:L66" si="0">YEAR(M3)&amp;" Q"&amp;ROUNDUP(MONTH(M3)/3,0)</f>
        <v>2020 Q2</v>
      </c>
      <c r="M3" s="34">
        <f>EDATE(M2,3)</f>
        <v>43922</v>
      </c>
    </row>
    <row r="4" spans="1:13" x14ac:dyDescent="0.2">
      <c r="A4" s="8" t="s">
        <v>39</v>
      </c>
      <c r="B4" s="25">
        <v>3</v>
      </c>
      <c r="C4" s="8" t="s">
        <v>44</v>
      </c>
      <c r="D4" s="8" t="s">
        <v>3</v>
      </c>
      <c r="E4" s="8" t="s">
        <v>42</v>
      </c>
      <c r="G4" s="8" t="s">
        <v>55</v>
      </c>
      <c r="H4" s="8" t="str">
        <f t="shared" ref="H4:H67" si="1">YEAR(I4)&amp;" Q"&amp;ROUNDUP(MONTH(I4)/3,0)</f>
        <v>2020 Q2</v>
      </c>
      <c r="I4" s="127">
        <f>EDATE(I3,3)</f>
        <v>43922</v>
      </c>
      <c r="J4" s="27">
        <v>43374</v>
      </c>
      <c r="L4" s="8" t="str">
        <f t="shared" si="0"/>
        <v>2020 Q3</v>
      </c>
      <c r="M4" s="34">
        <f t="shared" ref="M4:M67" si="2">EDATE(M3,3)</f>
        <v>44013</v>
      </c>
    </row>
    <row r="5" spans="1:13" x14ac:dyDescent="0.2">
      <c r="A5" s="8" t="s">
        <v>50</v>
      </c>
      <c r="B5" s="25">
        <v>4</v>
      </c>
      <c r="D5" s="8" t="s">
        <v>4</v>
      </c>
      <c r="E5" s="8" t="s">
        <v>48</v>
      </c>
      <c r="G5" s="8" t="s">
        <v>226</v>
      </c>
      <c r="H5" s="8" t="str">
        <f t="shared" si="1"/>
        <v>2020 Q3</v>
      </c>
      <c r="I5" s="127">
        <f t="shared" ref="I5:I68" si="3">EDATE(I4,3)</f>
        <v>44013</v>
      </c>
      <c r="J5" s="27">
        <v>43405</v>
      </c>
      <c r="L5" s="8" t="str">
        <f t="shared" si="0"/>
        <v>2020 Q4</v>
      </c>
      <c r="M5" s="34">
        <f t="shared" si="2"/>
        <v>44105</v>
      </c>
    </row>
    <row r="6" spans="1:13" x14ac:dyDescent="0.2">
      <c r="A6" s="8" t="s">
        <v>38</v>
      </c>
      <c r="B6" s="25">
        <v>5</v>
      </c>
      <c r="D6" s="8" t="s">
        <v>5</v>
      </c>
      <c r="H6" s="8" t="str">
        <f t="shared" si="1"/>
        <v>2020 Q4</v>
      </c>
      <c r="I6" s="127">
        <f t="shared" si="3"/>
        <v>44105</v>
      </c>
      <c r="J6" s="27">
        <v>43435</v>
      </c>
      <c r="L6" s="8" t="str">
        <f t="shared" si="0"/>
        <v>2021 Q1</v>
      </c>
      <c r="M6" s="34">
        <f t="shared" si="2"/>
        <v>44197</v>
      </c>
    </row>
    <row r="7" spans="1:13" ht="12.75" customHeight="1" x14ac:dyDescent="0.2">
      <c r="H7" s="8" t="str">
        <f t="shared" si="1"/>
        <v>2021 Q1</v>
      </c>
      <c r="I7" s="127">
        <f t="shared" si="3"/>
        <v>44197</v>
      </c>
      <c r="J7" s="27">
        <v>43466</v>
      </c>
      <c r="L7" s="8" t="str">
        <f t="shared" si="0"/>
        <v>2021 Q2</v>
      </c>
      <c r="M7" s="34">
        <f t="shared" si="2"/>
        <v>44287</v>
      </c>
    </row>
    <row r="8" spans="1:13" ht="12.75" customHeight="1" x14ac:dyDescent="0.2">
      <c r="D8" s="19"/>
      <c r="H8" s="8" t="str">
        <f t="shared" si="1"/>
        <v>2021 Q2</v>
      </c>
      <c r="I8" s="127">
        <f t="shared" si="3"/>
        <v>44287</v>
      </c>
      <c r="J8" s="27">
        <v>43497</v>
      </c>
      <c r="L8" s="8" t="str">
        <f t="shared" si="0"/>
        <v>2021 Q3</v>
      </c>
      <c r="M8" s="34">
        <f t="shared" si="2"/>
        <v>44378</v>
      </c>
    </row>
    <row r="9" spans="1:13" x14ac:dyDescent="0.2">
      <c r="H9" s="8" t="str">
        <f t="shared" si="1"/>
        <v>2021 Q3</v>
      </c>
      <c r="I9" s="127">
        <f t="shared" si="3"/>
        <v>44378</v>
      </c>
      <c r="J9" s="27">
        <v>43525</v>
      </c>
      <c r="L9" s="8" t="str">
        <f t="shared" si="0"/>
        <v>2021 Q4</v>
      </c>
      <c r="M9" s="34">
        <f t="shared" si="2"/>
        <v>44470</v>
      </c>
    </row>
    <row r="10" spans="1:13" x14ac:dyDescent="0.2">
      <c r="H10" s="8" t="str">
        <f t="shared" si="1"/>
        <v>2021 Q4</v>
      </c>
      <c r="I10" s="127">
        <f t="shared" si="3"/>
        <v>44470</v>
      </c>
      <c r="J10" s="27">
        <v>43556</v>
      </c>
      <c r="L10" s="8" t="str">
        <f t="shared" si="0"/>
        <v>2022 Q1</v>
      </c>
      <c r="M10" s="34">
        <f t="shared" si="2"/>
        <v>44562</v>
      </c>
    </row>
    <row r="11" spans="1:13" x14ac:dyDescent="0.2">
      <c r="H11" s="8" t="str">
        <f t="shared" si="1"/>
        <v>2022 Q1</v>
      </c>
      <c r="I11" s="127">
        <f t="shared" si="3"/>
        <v>44562</v>
      </c>
      <c r="J11" s="27">
        <v>43586</v>
      </c>
      <c r="L11" s="8" t="str">
        <f t="shared" si="0"/>
        <v>2022 Q2</v>
      </c>
      <c r="M11" s="34">
        <f t="shared" si="2"/>
        <v>44652</v>
      </c>
    </row>
    <row r="12" spans="1:13" x14ac:dyDescent="0.2">
      <c r="H12" s="8" t="str">
        <f t="shared" si="1"/>
        <v>2022 Q2</v>
      </c>
      <c r="I12" s="127">
        <f t="shared" si="3"/>
        <v>44652</v>
      </c>
      <c r="J12" s="27">
        <v>43617</v>
      </c>
      <c r="L12" s="8" t="str">
        <f t="shared" si="0"/>
        <v>2022 Q3</v>
      </c>
      <c r="M12" s="34">
        <f t="shared" si="2"/>
        <v>44743</v>
      </c>
    </row>
    <row r="13" spans="1:13" x14ac:dyDescent="0.2">
      <c r="H13" s="8" t="str">
        <f t="shared" si="1"/>
        <v>2022 Q3</v>
      </c>
      <c r="I13" s="127">
        <f t="shared" si="3"/>
        <v>44743</v>
      </c>
      <c r="J13" s="27">
        <v>43647</v>
      </c>
      <c r="L13" s="8" t="str">
        <f t="shared" si="0"/>
        <v>2022 Q4</v>
      </c>
      <c r="M13" s="34">
        <f t="shared" si="2"/>
        <v>44835</v>
      </c>
    </row>
    <row r="14" spans="1:13" x14ac:dyDescent="0.2">
      <c r="H14" s="8" t="str">
        <f t="shared" si="1"/>
        <v>2022 Q4</v>
      </c>
      <c r="I14" s="127">
        <f t="shared" si="3"/>
        <v>44835</v>
      </c>
      <c r="J14" s="27">
        <v>43678</v>
      </c>
      <c r="L14" s="8" t="str">
        <f t="shared" si="0"/>
        <v>2023 Q1</v>
      </c>
      <c r="M14" s="34">
        <f t="shared" si="2"/>
        <v>44927</v>
      </c>
    </row>
    <row r="15" spans="1:13" x14ac:dyDescent="0.2">
      <c r="H15" s="8" t="str">
        <f t="shared" si="1"/>
        <v>2023 Q1</v>
      </c>
      <c r="I15" s="127">
        <f t="shared" si="3"/>
        <v>44927</v>
      </c>
      <c r="J15" s="27">
        <v>43709</v>
      </c>
      <c r="L15" s="8" t="str">
        <f t="shared" si="0"/>
        <v>2023 Q2</v>
      </c>
      <c r="M15" s="34">
        <f t="shared" si="2"/>
        <v>45017</v>
      </c>
    </row>
    <row r="16" spans="1:13" x14ac:dyDescent="0.2">
      <c r="H16" s="8" t="str">
        <f t="shared" si="1"/>
        <v>2023 Q2</v>
      </c>
      <c r="I16" s="127">
        <f t="shared" si="3"/>
        <v>45017</v>
      </c>
      <c r="J16" s="27">
        <v>43739</v>
      </c>
      <c r="L16" s="8" t="str">
        <f t="shared" si="0"/>
        <v>2023 Q3</v>
      </c>
      <c r="M16" s="34">
        <f t="shared" si="2"/>
        <v>45108</v>
      </c>
    </row>
    <row r="17" spans="8:13" x14ac:dyDescent="0.2">
      <c r="H17" s="8" t="str">
        <f t="shared" si="1"/>
        <v>2023 Q3</v>
      </c>
      <c r="I17" s="127">
        <f t="shared" si="3"/>
        <v>45108</v>
      </c>
      <c r="J17" s="27">
        <v>43770</v>
      </c>
      <c r="L17" s="8" t="str">
        <f t="shared" si="0"/>
        <v>2023 Q4</v>
      </c>
      <c r="M17" s="34">
        <f t="shared" si="2"/>
        <v>45200</v>
      </c>
    </row>
    <row r="18" spans="8:13" x14ac:dyDescent="0.2">
      <c r="H18" s="8" t="str">
        <f t="shared" si="1"/>
        <v>2023 Q4</v>
      </c>
      <c r="I18" s="127">
        <f t="shared" si="3"/>
        <v>45200</v>
      </c>
      <c r="J18" s="27">
        <v>43800</v>
      </c>
      <c r="L18" s="8" t="str">
        <f t="shared" si="0"/>
        <v>2024 Q1</v>
      </c>
      <c r="M18" s="34">
        <f t="shared" si="2"/>
        <v>45292</v>
      </c>
    </row>
    <row r="19" spans="8:13" x14ac:dyDescent="0.2">
      <c r="H19" s="8" t="str">
        <f t="shared" si="1"/>
        <v>2024 Q1</v>
      </c>
      <c r="I19" s="127">
        <f t="shared" si="3"/>
        <v>45292</v>
      </c>
      <c r="J19" s="27">
        <v>43831</v>
      </c>
      <c r="L19" s="8" t="str">
        <f t="shared" si="0"/>
        <v>2024 Q2</v>
      </c>
      <c r="M19" s="34">
        <f t="shared" si="2"/>
        <v>45383</v>
      </c>
    </row>
    <row r="20" spans="8:13" x14ac:dyDescent="0.2">
      <c r="H20" s="8" t="str">
        <f t="shared" si="1"/>
        <v>2024 Q2</v>
      </c>
      <c r="I20" s="127">
        <f t="shared" si="3"/>
        <v>45383</v>
      </c>
      <c r="J20" s="27">
        <v>43862</v>
      </c>
      <c r="L20" s="8" t="str">
        <f t="shared" si="0"/>
        <v>2024 Q3</v>
      </c>
      <c r="M20" s="34">
        <f t="shared" si="2"/>
        <v>45474</v>
      </c>
    </row>
    <row r="21" spans="8:13" x14ac:dyDescent="0.2">
      <c r="H21" s="8" t="str">
        <f t="shared" si="1"/>
        <v>2024 Q3</v>
      </c>
      <c r="I21" s="127">
        <f t="shared" si="3"/>
        <v>45474</v>
      </c>
      <c r="J21" s="27">
        <v>43891</v>
      </c>
      <c r="L21" s="8" t="str">
        <f t="shared" si="0"/>
        <v>2024 Q4</v>
      </c>
      <c r="M21" s="34">
        <f t="shared" si="2"/>
        <v>45566</v>
      </c>
    </row>
    <row r="22" spans="8:13" x14ac:dyDescent="0.2">
      <c r="H22" s="8" t="str">
        <f t="shared" si="1"/>
        <v>2024 Q4</v>
      </c>
      <c r="I22" s="127">
        <f t="shared" si="3"/>
        <v>45566</v>
      </c>
      <c r="J22" s="27">
        <v>43922</v>
      </c>
      <c r="L22" s="8" t="str">
        <f t="shared" si="0"/>
        <v>2025 Q1</v>
      </c>
      <c r="M22" s="34">
        <f t="shared" si="2"/>
        <v>45658</v>
      </c>
    </row>
    <row r="23" spans="8:13" x14ac:dyDescent="0.2">
      <c r="H23" s="8" t="str">
        <f t="shared" si="1"/>
        <v>2025 Q1</v>
      </c>
      <c r="I23" s="127">
        <f t="shared" si="3"/>
        <v>45658</v>
      </c>
      <c r="J23" s="27">
        <v>43952</v>
      </c>
      <c r="L23" s="8" t="str">
        <f t="shared" si="0"/>
        <v>2025 Q2</v>
      </c>
      <c r="M23" s="34">
        <f t="shared" si="2"/>
        <v>45748</v>
      </c>
    </row>
    <row r="24" spans="8:13" x14ac:dyDescent="0.2">
      <c r="H24" s="8" t="str">
        <f t="shared" si="1"/>
        <v>2025 Q2</v>
      </c>
      <c r="I24" s="127">
        <f t="shared" si="3"/>
        <v>45748</v>
      </c>
      <c r="J24" s="27">
        <v>43983</v>
      </c>
      <c r="L24" s="8" t="str">
        <f t="shared" si="0"/>
        <v>2025 Q3</v>
      </c>
      <c r="M24" s="34">
        <f t="shared" si="2"/>
        <v>45839</v>
      </c>
    </row>
    <row r="25" spans="8:13" x14ac:dyDescent="0.2">
      <c r="H25" s="8" t="str">
        <f t="shared" si="1"/>
        <v>2025 Q3</v>
      </c>
      <c r="I25" s="127">
        <f t="shared" si="3"/>
        <v>45839</v>
      </c>
      <c r="J25" s="27">
        <v>44013</v>
      </c>
      <c r="L25" s="8" t="str">
        <f t="shared" si="0"/>
        <v>2025 Q4</v>
      </c>
      <c r="M25" s="34">
        <f t="shared" si="2"/>
        <v>45931</v>
      </c>
    </row>
    <row r="26" spans="8:13" x14ac:dyDescent="0.2">
      <c r="H26" s="8" t="str">
        <f t="shared" si="1"/>
        <v>2025 Q4</v>
      </c>
      <c r="I26" s="127">
        <f t="shared" si="3"/>
        <v>45931</v>
      </c>
      <c r="J26" s="27">
        <v>44044</v>
      </c>
      <c r="L26" s="8" t="str">
        <f t="shared" si="0"/>
        <v>2026 Q1</v>
      </c>
      <c r="M26" s="34">
        <f t="shared" si="2"/>
        <v>46023</v>
      </c>
    </row>
    <row r="27" spans="8:13" x14ac:dyDescent="0.2">
      <c r="H27" s="8" t="str">
        <f t="shared" si="1"/>
        <v>2026 Q1</v>
      </c>
      <c r="I27" s="127">
        <f t="shared" si="3"/>
        <v>46023</v>
      </c>
      <c r="J27" s="27">
        <v>44075</v>
      </c>
      <c r="L27" s="8" t="str">
        <f t="shared" si="0"/>
        <v>2026 Q2</v>
      </c>
      <c r="M27" s="34">
        <f t="shared" si="2"/>
        <v>46113</v>
      </c>
    </row>
    <row r="28" spans="8:13" x14ac:dyDescent="0.2">
      <c r="H28" s="8" t="str">
        <f t="shared" si="1"/>
        <v>2026 Q2</v>
      </c>
      <c r="I28" s="127">
        <f t="shared" si="3"/>
        <v>46113</v>
      </c>
      <c r="J28" s="27">
        <v>44105</v>
      </c>
      <c r="L28" s="8" t="str">
        <f t="shared" si="0"/>
        <v>2026 Q3</v>
      </c>
      <c r="M28" s="34">
        <f t="shared" si="2"/>
        <v>46204</v>
      </c>
    </row>
    <row r="29" spans="8:13" x14ac:dyDescent="0.2">
      <c r="H29" s="8" t="str">
        <f t="shared" si="1"/>
        <v>2026 Q3</v>
      </c>
      <c r="I29" s="127">
        <f t="shared" si="3"/>
        <v>46204</v>
      </c>
      <c r="J29" s="27">
        <v>44136</v>
      </c>
      <c r="L29" s="8" t="str">
        <f t="shared" si="0"/>
        <v>2026 Q4</v>
      </c>
      <c r="M29" s="34">
        <f t="shared" si="2"/>
        <v>46296</v>
      </c>
    </row>
    <row r="30" spans="8:13" x14ac:dyDescent="0.2">
      <c r="H30" s="8" t="str">
        <f t="shared" si="1"/>
        <v>2026 Q4</v>
      </c>
      <c r="I30" s="127">
        <f t="shared" si="3"/>
        <v>46296</v>
      </c>
      <c r="J30" s="27">
        <v>44166</v>
      </c>
      <c r="L30" s="8" t="str">
        <f t="shared" si="0"/>
        <v>2027 Q1</v>
      </c>
      <c r="M30" s="34">
        <f t="shared" si="2"/>
        <v>46388</v>
      </c>
    </row>
    <row r="31" spans="8:13" x14ac:dyDescent="0.2">
      <c r="H31" s="8" t="str">
        <f t="shared" si="1"/>
        <v>2027 Q1</v>
      </c>
      <c r="I31" s="127">
        <f t="shared" si="3"/>
        <v>46388</v>
      </c>
      <c r="J31" s="34">
        <v>44197</v>
      </c>
      <c r="L31" s="8" t="str">
        <f t="shared" si="0"/>
        <v>2027 Q2</v>
      </c>
      <c r="M31" s="34">
        <f t="shared" si="2"/>
        <v>46478</v>
      </c>
    </row>
    <row r="32" spans="8:13" x14ac:dyDescent="0.2">
      <c r="H32" s="8" t="str">
        <f t="shared" si="1"/>
        <v>2027 Q2</v>
      </c>
      <c r="I32" s="127">
        <f t="shared" si="3"/>
        <v>46478</v>
      </c>
      <c r="J32" s="34">
        <v>44228</v>
      </c>
      <c r="L32" s="8" t="str">
        <f t="shared" si="0"/>
        <v>2027 Q3</v>
      </c>
      <c r="M32" s="34">
        <f t="shared" si="2"/>
        <v>46569</v>
      </c>
    </row>
    <row r="33" spans="8:13" x14ac:dyDescent="0.2">
      <c r="H33" s="8" t="str">
        <f t="shared" si="1"/>
        <v>2027 Q3</v>
      </c>
      <c r="I33" s="127">
        <f t="shared" si="3"/>
        <v>46569</v>
      </c>
      <c r="J33" s="34">
        <v>44256</v>
      </c>
      <c r="L33" s="8" t="str">
        <f t="shared" si="0"/>
        <v>2027 Q4</v>
      </c>
      <c r="M33" s="34">
        <f t="shared" si="2"/>
        <v>46661</v>
      </c>
    </row>
    <row r="34" spans="8:13" x14ac:dyDescent="0.2">
      <c r="H34" s="8" t="str">
        <f t="shared" si="1"/>
        <v>2027 Q4</v>
      </c>
      <c r="I34" s="127">
        <f t="shared" si="3"/>
        <v>46661</v>
      </c>
      <c r="J34" s="34">
        <v>44287</v>
      </c>
      <c r="L34" s="8" t="str">
        <f t="shared" si="0"/>
        <v>2028 Q1</v>
      </c>
      <c r="M34" s="34">
        <f t="shared" si="2"/>
        <v>46753</v>
      </c>
    </row>
    <row r="35" spans="8:13" x14ac:dyDescent="0.2">
      <c r="H35" s="8" t="str">
        <f t="shared" si="1"/>
        <v>2028 Q1</v>
      </c>
      <c r="I35" s="127">
        <f t="shared" si="3"/>
        <v>46753</v>
      </c>
      <c r="J35" s="34">
        <v>44317</v>
      </c>
      <c r="L35" s="8" t="str">
        <f t="shared" si="0"/>
        <v>2028 Q2</v>
      </c>
      <c r="M35" s="34">
        <f t="shared" si="2"/>
        <v>46844</v>
      </c>
    </row>
    <row r="36" spans="8:13" x14ac:dyDescent="0.2">
      <c r="H36" s="8" t="str">
        <f t="shared" si="1"/>
        <v>2028 Q2</v>
      </c>
      <c r="I36" s="127">
        <f t="shared" si="3"/>
        <v>46844</v>
      </c>
      <c r="J36" s="34">
        <v>44348</v>
      </c>
      <c r="L36" s="8" t="str">
        <f t="shared" si="0"/>
        <v>2028 Q3</v>
      </c>
      <c r="M36" s="34">
        <f t="shared" si="2"/>
        <v>46935</v>
      </c>
    </row>
    <row r="37" spans="8:13" x14ac:dyDescent="0.2">
      <c r="H37" s="8" t="str">
        <f t="shared" si="1"/>
        <v>2028 Q3</v>
      </c>
      <c r="I37" s="127">
        <f t="shared" si="3"/>
        <v>46935</v>
      </c>
      <c r="J37" s="34">
        <v>44378</v>
      </c>
      <c r="L37" s="8" t="str">
        <f t="shared" si="0"/>
        <v>2028 Q4</v>
      </c>
      <c r="M37" s="34">
        <f t="shared" si="2"/>
        <v>47027</v>
      </c>
    </row>
    <row r="38" spans="8:13" x14ac:dyDescent="0.2">
      <c r="H38" s="8" t="str">
        <f t="shared" si="1"/>
        <v>2028 Q4</v>
      </c>
      <c r="I38" s="127">
        <f t="shared" si="3"/>
        <v>47027</v>
      </c>
      <c r="J38" s="34">
        <v>44409</v>
      </c>
      <c r="L38" s="8" t="str">
        <f t="shared" si="0"/>
        <v>2029 Q1</v>
      </c>
      <c r="M38" s="34">
        <f t="shared" si="2"/>
        <v>47119</v>
      </c>
    </row>
    <row r="39" spans="8:13" x14ac:dyDescent="0.2">
      <c r="H39" s="8" t="str">
        <f t="shared" si="1"/>
        <v>2029 Q1</v>
      </c>
      <c r="I39" s="127">
        <f t="shared" si="3"/>
        <v>47119</v>
      </c>
      <c r="J39" s="34">
        <v>44440</v>
      </c>
      <c r="L39" s="8" t="str">
        <f t="shared" si="0"/>
        <v>2029 Q2</v>
      </c>
      <c r="M39" s="34">
        <f t="shared" si="2"/>
        <v>47209</v>
      </c>
    </row>
    <row r="40" spans="8:13" x14ac:dyDescent="0.2">
      <c r="H40" s="8" t="str">
        <f t="shared" si="1"/>
        <v>2029 Q2</v>
      </c>
      <c r="I40" s="127">
        <f t="shared" si="3"/>
        <v>47209</v>
      </c>
      <c r="J40" s="34">
        <v>44470</v>
      </c>
      <c r="L40" s="8" t="str">
        <f t="shared" si="0"/>
        <v>2029 Q3</v>
      </c>
      <c r="M40" s="34">
        <f t="shared" si="2"/>
        <v>47300</v>
      </c>
    </row>
    <row r="41" spans="8:13" x14ac:dyDescent="0.2">
      <c r="H41" s="8" t="str">
        <f t="shared" si="1"/>
        <v>2029 Q3</v>
      </c>
      <c r="I41" s="127">
        <f t="shared" si="3"/>
        <v>47300</v>
      </c>
      <c r="J41" s="34">
        <v>44501</v>
      </c>
      <c r="L41" s="8" t="str">
        <f t="shared" si="0"/>
        <v>2029 Q4</v>
      </c>
      <c r="M41" s="34">
        <f t="shared" si="2"/>
        <v>47392</v>
      </c>
    </row>
    <row r="42" spans="8:13" x14ac:dyDescent="0.2">
      <c r="H42" s="8" t="str">
        <f t="shared" si="1"/>
        <v>2029 Q4</v>
      </c>
      <c r="I42" s="127">
        <f t="shared" si="3"/>
        <v>47392</v>
      </c>
      <c r="J42" s="34">
        <v>44531</v>
      </c>
      <c r="L42" s="8" t="str">
        <f t="shared" si="0"/>
        <v>2030 Q1</v>
      </c>
      <c r="M42" s="34">
        <f t="shared" si="2"/>
        <v>47484</v>
      </c>
    </row>
    <row r="43" spans="8:13" x14ac:dyDescent="0.2">
      <c r="H43" s="8" t="str">
        <f t="shared" si="1"/>
        <v>2030 Q1</v>
      </c>
      <c r="I43" s="127">
        <f t="shared" si="3"/>
        <v>47484</v>
      </c>
      <c r="J43" s="34">
        <v>44562</v>
      </c>
      <c r="L43" s="8" t="str">
        <f t="shared" si="0"/>
        <v>2030 Q2</v>
      </c>
      <c r="M43" s="34">
        <f t="shared" si="2"/>
        <v>47574</v>
      </c>
    </row>
    <row r="44" spans="8:13" x14ac:dyDescent="0.2">
      <c r="H44" s="8" t="str">
        <f t="shared" si="1"/>
        <v>2030 Q2</v>
      </c>
      <c r="I44" s="127">
        <f t="shared" si="3"/>
        <v>47574</v>
      </c>
      <c r="J44" s="34">
        <v>44593</v>
      </c>
      <c r="L44" s="8" t="str">
        <f t="shared" si="0"/>
        <v>2030 Q3</v>
      </c>
      <c r="M44" s="34">
        <f t="shared" si="2"/>
        <v>47665</v>
      </c>
    </row>
    <row r="45" spans="8:13" x14ac:dyDescent="0.2">
      <c r="H45" s="8" t="str">
        <f t="shared" si="1"/>
        <v>2030 Q3</v>
      </c>
      <c r="I45" s="127">
        <f t="shared" si="3"/>
        <v>47665</v>
      </c>
      <c r="J45" s="34">
        <v>44621</v>
      </c>
      <c r="L45" s="8" t="str">
        <f t="shared" si="0"/>
        <v>2030 Q4</v>
      </c>
      <c r="M45" s="34">
        <f t="shared" si="2"/>
        <v>47757</v>
      </c>
    </row>
    <row r="46" spans="8:13" x14ac:dyDescent="0.2">
      <c r="H46" s="8" t="str">
        <f t="shared" si="1"/>
        <v>2030 Q4</v>
      </c>
      <c r="I46" s="127">
        <f t="shared" si="3"/>
        <v>47757</v>
      </c>
      <c r="J46" s="34">
        <v>44652</v>
      </c>
      <c r="L46" s="8" t="str">
        <f t="shared" si="0"/>
        <v>2031 Q1</v>
      </c>
      <c r="M46" s="34">
        <f t="shared" si="2"/>
        <v>47849</v>
      </c>
    </row>
    <row r="47" spans="8:13" x14ac:dyDescent="0.2">
      <c r="H47" s="8" t="str">
        <f t="shared" si="1"/>
        <v>2031 Q1</v>
      </c>
      <c r="I47" s="127">
        <f t="shared" si="3"/>
        <v>47849</v>
      </c>
      <c r="J47" s="34">
        <v>44682</v>
      </c>
      <c r="L47" s="8" t="str">
        <f t="shared" si="0"/>
        <v>2031 Q2</v>
      </c>
      <c r="M47" s="34">
        <f t="shared" si="2"/>
        <v>47939</v>
      </c>
    </row>
    <row r="48" spans="8:13" x14ac:dyDescent="0.2">
      <c r="H48" s="8" t="str">
        <f t="shared" si="1"/>
        <v>2031 Q2</v>
      </c>
      <c r="I48" s="127">
        <f t="shared" si="3"/>
        <v>47939</v>
      </c>
      <c r="J48" s="34">
        <v>44713</v>
      </c>
      <c r="L48" s="8" t="str">
        <f t="shared" si="0"/>
        <v>2031 Q3</v>
      </c>
      <c r="M48" s="34">
        <f t="shared" si="2"/>
        <v>48030</v>
      </c>
    </row>
    <row r="49" spans="8:13" x14ac:dyDescent="0.2">
      <c r="H49" s="8" t="str">
        <f t="shared" si="1"/>
        <v>2031 Q3</v>
      </c>
      <c r="I49" s="127">
        <f t="shared" si="3"/>
        <v>48030</v>
      </c>
      <c r="J49" s="34">
        <v>44743</v>
      </c>
      <c r="L49" s="8" t="str">
        <f t="shared" si="0"/>
        <v>2031 Q4</v>
      </c>
      <c r="M49" s="34">
        <f t="shared" si="2"/>
        <v>48122</v>
      </c>
    </row>
    <row r="50" spans="8:13" x14ac:dyDescent="0.2">
      <c r="H50" s="8" t="str">
        <f t="shared" si="1"/>
        <v>2031 Q4</v>
      </c>
      <c r="I50" s="127">
        <f t="shared" si="3"/>
        <v>48122</v>
      </c>
      <c r="J50" s="34">
        <v>44774</v>
      </c>
      <c r="L50" s="8" t="str">
        <f t="shared" si="0"/>
        <v>2032 Q1</v>
      </c>
      <c r="M50" s="34">
        <f t="shared" si="2"/>
        <v>48214</v>
      </c>
    </row>
    <row r="51" spans="8:13" x14ac:dyDescent="0.2">
      <c r="H51" s="8" t="str">
        <f t="shared" si="1"/>
        <v>2032 Q1</v>
      </c>
      <c r="I51" s="127">
        <f t="shared" si="3"/>
        <v>48214</v>
      </c>
      <c r="J51" s="34">
        <v>44805</v>
      </c>
      <c r="L51" s="8" t="str">
        <f t="shared" si="0"/>
        <v>2032 Q2</v>
      </c>
      <c r="M51" s="34">
        <f t="shared" si="2"/>
        <v>48305</v>
      </c>
    </row>
    <row r="52" spans="8:13" x14ac:dyDescent="0.2">
      <c r="H52" s="8" t="str">
        <f t="shared" si="1"/>
        <v>2032 Q2</v>
      </c>
      <c r="I52" s="127">
        <f t="shared" si="3"/>
        <v>48305</v>
      </c>
      <c r="J52" s="34">
        <v>44835</v>
      </c>
      <c r="L52" s="8" t="str">
        <f t="shared" si="0"/>
        <v>2032 Q3</v>
      </c>
      <c r="M52" s="34">
        <f t="shared" si="2"/>
        <v>48396</v>
      </c>
    </row>
    <row r="53" spans="8:13" x14ac:dyDescent="0.2">
      <c r="H53" s="8" t="str">
        <f t="shared" si="1"/>
        <v>2032 Q3</v>
      </c>
      <c r="I53" s="127">
        <f t="shared" si="3"/>
        <v>48396</v>
      </c>
      <c r="J53" s="34">
        <v>44866</v>
      </c>
      <c r="L53" s="8" t="str">
        <f t="shared" si="0"/>
        <v>2032 Q4</v>
      </c>
      <c r="M53" s="34">
        <f t="shared" si="2"/>
        <v>48488</v>
      </c>
    </row>
    <row r="54" spans="8:13" x14ac:dyDescent="0.2">
      <c r="H54" s="8" t="str">
        <f t="shared" si="1"/>
        <v>2032 Q4</v>
      </c>
      <c r="I54" s="127">
        <f t="shared" si="3"/>
        <v>48488</v>
      </c>
      <c r="J54" s="34">
        <v>44896</v>
      </c>
      <c r="L54" s="8" t="str">
        <f t="shared" si="0"/>
        <v>2033 Q1</v>
      </c>
      <c r="M54" s="34">
        <f t="shared" si="2"/>
        <v>48580</v>
      </c>
    </row>
    <row r="55" spans="8:13" x14ac:dyDescent="0.2">
      <c r="H55" s="8" t="str">
        <f t="shared" si="1"/>
        <v>2033 Q1</v>
      </c>
      <c r="I55" s="127">
        <f t="shared" si="3"/>
        <v>48580</v>
      </c>
      <c r="J55" s="34">
        <v>44927</v>
      </c>
      <c r="K55" s="34"/>
      <c r="L55" s="8" t="str">
        <f t="shared" si="0"/>
        <v>2033 Q2</v>
      </c>
      <c r="M55" s="34">
        <f t="shared" si="2"/>
        <v>48670</v>
      </c>
    </row>
    <row r="56" spans="8:13" x14ac:dyDescent="0.2">
      <c r="H56" s="8" t="str">
        <f t="shared" si="1"/>
        <v>2033 Q2</v>
      </c>
      <c r="I56" s="127">
        <f t="shared" si="3"/>
        <v>48670</v>
      </c>
      <c r="J56" s="34">
        <v>44958</v>
      </c>
      <c r="K56" s="34"/>
      <c r="L56" s="8" t="str">
        <f t="shared" si="0"/>
        <v>2033 Q3</v>
      </c>
      <c r="M56" s="34">
        <f t="shared" si="2"/>
        <v>48761</v>
      </c>
    </row>
    <row r="57" spans="8:13" x14ac:dyDescent="0.2">
      <c r="H57" s="8" t="str">
        <f t="shared" si="1"/>
        <v>2033 Q3</v>
      </c>
      <c r="I57" s="127">
        <f t="shared" si="3"/>
        <v>48761</v>
      </c>
      <c r="J57" s="34">
        <v>44986</v>
      </c>
      <c r="K57" s="34"/>
      <c r="L57" s="8" t="str">
        <f t="shared" si="0"/>
        <v>2033 Q4</v>
      </c>
      <c r="M57" s="34">
        <f t="shared" si="2"/>
        <v>48853</v>
      </c>
    </row>
    <row r="58" spans="8:13" x14ac:dyDescent="0.2">
      <c r="H58" s="8" t="str">
        <f t="shared" si="1"/>
        <v>2033 Q4</v>
      </c>
      <c r="I58" s="127">
        <f t="shared" si="3"/>
        <v>48853</v>
      </c>
      <c r="J58" s="34">
        <v>45017</v>
      </c>
      <c r="K58" s="34"/>
      <c r="L58" s="8" t="str">
        <f t="shared" si="0"/>
        <v>2034 Q1</v>
      </c>
      <c r="M58" s="34">
        <f t="shared" si="2"/>
        <v>48945</v>
      </c>
    </row>
    <row r="59" spans="8:13" x14ac:dyDescent="0.2">
      <c r="H59" s="8" t="str">
        <f t="shared" si="1"/>
        <v>2034 Q1</v>
      </c>
      <c r="I59" s="127">
        <f t="shared" si="3"/>
        <v>48945</v>
      </c>
      <c r="J59" s="34">
        <v>45047</v>
      </c>
      <c r="K59" s="34"/>
      <c r="L59" s="8" t="str">
        <f t="shared" si="0"/>
        <v>2034 Q2</v>
      </c>
      <c r="M59" s="34">
        <f t="shared" si="2"/>
        <v>49035</v>
      </c>
    </row>
    <row r="60" spans="8:13" x14ac:dyDescent="0.2">
      <c r="H60" s="8" t="str">
        <f t="shared" si="1"/>
        <v>2034 Q2</v>
      </c>
      <c r="I60" s="127">
        <f t="shared" si="3"/>
        <v>49035</v>
      </c>
      <c r="J60" s="34">
        <v>45078</v>
      </c>
      <c r="K60" s="34"/>
      <c r="L60" s="8" t="str">
        <f t="shared" si="0"/>
        <v>2034 Q3</v>
      </c>
      <c r="M60" s="34">
        <f t="shared" si="2"/>
        <v>49126</v>
      </c>
    </row>
    <row r="61" spans="8:13" x14ac:dyDescent="0.2">
      <c r="H61" s="8" t="str">
        <f t="shared" si="1"/>
        <v>2034 Q3</v>
      </c>
      <c r="I61" s="127">
        <f t="shared" si="3"/>
        <v>49126</v>
      </c>
      <c r="J61" s="34">
        <v>45108</v>
      </c>
      <c r="K61" s="34"/>
      <c r="L61" s="8" t="str">
        <f t="shared" si="0"/>
        <v>2034 Q4</v>
      </c>
      <c r="M61" s="34">
        <f t="shared" si="2"/>
        <v>49218</v>
      </c>
    </row>
    <row r="62" spans="8:13" x14ac:dyDescent="0.2">
      <c r="H62" s="8" t="str">
        <f t="shared" si="1"/>
        <v>2034 Q4</v>
      </c>
      <c r="I62" s="127">
        <f t="shared" si="3"/>
        <v>49218</v>
      </c>
      <c r="J62" s="34">
        <v>45139</v>
      </c>
      <c r="K62" s="34"/>
      <c r="L62" s="8" t="str">
        <f t="shared" si="0"/>
        <v>2035 Q1</v>
      </c>
      <c r="M62" s="34">
        <f t="shared" si="2"/>
        <v>49310</v>
      </c>
    </row>
    <row r="63" spans="8:13" x14ac:dyDescent="0.2">
      <c r="H63" s="8" t="str">
        <f t="shared" si="1"/>
        <v>2035 Q1</v>
      </c>
      <c r="I63" s="127">
        <f t="shared" si="3"/>
        <v>49310</v>
      </c>
      <c r="J63" s="34">
        <v>45170</v>
      </c>
      <c r="K63" s="34"/>
      <c r="L63" s="8" t="str">
        <f t="shared" si="0"/>
        <v>2035 Q2</v>
      </c>
      <c r="M63" s="34">
        <f t="shared" si="2"/>
        <v>49400</v>
      </c>
    </row>
    <row r="64" spans="8:13" x14ac:dyDescent="0.2">
      <c r="H64" s="8" t="str">
        <f t="shared" si="1"/>
        <v>2035 Q2</v>
      </c>
      <c r="I64" s="127">
        <f t="shared" si="3"/>
        <v>49400</v>
      </c>
      <c r="J64" s="34">
        <v>45200</v>
      </c>
      <c r="K64" s="34"/>
      <c r="L64" s="8" t="str">
        <f t="shared" si="0"/>
        <v>2035 Q3</v>
      </c>
      <c r="M64" s="34">
        <f t="shared" si="2"/>
        <v>49491</v>
      </c>
    </row>
    <row r="65" spans="8:13" x14ac:dyDescent="0.2">
      <c r="H65" s="8" t="str">
        <f t="shared" si="1"/>
        <v>2035 Q3</v>
      </c>
      <c r="I65" s="127">
        <f t="shared" si="3"/>
        <v>49491</v>
      </c>
      <c r="J65" s="34">
        <v>45231</v>
      </c>
      <c r="K65" s="34"/>
      <c r="L65" s="8" t="str">
        <f t="shared" si="0"/>
        <v>2035 Q4</v>
      </c>
      <c r="M65" s="34">
        <f t="shared" si="2"/>
        <v>49583</v>
      </c>
    </row>
    <row r="66" spans="8:13" x14ac:dyDescent="0.2">
      <c r="H66" s="8" t="str">
        <f t="shared" si="1"/>
        <v>2035 Q4</v>
      </c>
      <c r="I66" s="127">
        <f t="shared" si="3"/>
        <v>49583</v>
      </c>
      <c r="J66" s="34">
        <v>45261</v>
      </c>
      <c r="K66" s="34"/>
      <c r="L66" s="8" t="str">
        <f t="shared" si="0"/>
        <v>2036 Q1</v>
      </c>
      <c r="M66" s="34">
        <f t="shared" si="2"/>
        <v>49675</v>
      </c>
    </row>
    <row r="67" spans="8:13" x14ac:dyDescent="0.2">
      <c r="H67" s="8" t="str">
        <f t="shared" si="1"/>
        <v>2036 Q1</v>
      </c>
      <c r="I67" s="127">
        <f t="shared" si="3"/>
        <v>49675</v>
      </c>
      <c r="J67" s="34">
        <v>45292</v>
      </c>
      <c r="K67" s="34"/>
      <c r="L67" s="8" t="str">
        <f t="shared" ref="L67:L85" si="4">YEAR(M67)&amp;" Q"&amp;ROUNDUP(MONTH(M67)/3,0)</f>
        <v>2036 Q2</v>
      </c>
      <c r="M67" s="34">
        <f t="shared" si="2"/>
        <v>49766</v>
      </c>
    </row>
    <row r="68" spans="8:13" x14ac:dyDescent="0.2">
      <c r="H68" s="8" t="str">
        <f t="shared" ref="H68:H86" si="5">YEAR(I68)&amp;" Q"&amp;ROUNDUP(MONTH(I68)/3,0)</f>
        <v>2036 Q2</v>
      </c>
      <c r="I68" s="127">
        <f t="shared" si="3"/>
        <v>49766</v>
      </c>
      <c r="J68" s="34">
        <v>45323</v>
      </c>
      <c r="K68" s="34"/>
      <c r="L68" s="8" t="str">
        <f t="shared" si="4"/>
        <v>2036 Q3</v>
      </c>
      <c r="M68" s="34">
        <f t="shared" ref="M68:M85" si="6">EDATE(M67,3)</f>
        <v>49857</v>
      </c>
    </row>
    <row r="69" spans="8:13" x14ac:dyDescent="0.2">
      <c r="H69" s="8" t="str">
        <f t="shared" si="5"/>
        <v>2036 Q3</v>
      </c>
      <c r="I69" s="127">
        <f t="shared" ref="I69:I86" si="7">EDATE(I68,3)</f>
        <v>49857</v>
      </c>
      <c r="J69" s="34">
        <v>45352</v>
      </c>
      <c r="K69" s="34"/>
      <c r="L69" s="8" t="str">
        <f t="shared" si="4"/>
        <v>2036 Q4</v>
      </c>
      <c r="M69" s="34">
        <f t="shared" si="6"/>
        <v>49949</v>
      </c>
    </row>
    <row r="70" spans="8:13" x14ac:dyDescent="0.2">
      <c r="H70" s="8" t="str">
        <f t="shared" si="5"/>
        <v>2036 Q4</v>
      </c>
      <c r="I70" s="127">
        <f t="shared" si="7"/>
        <v>49949</v>
      </c>
      <c r="J70" s="34">
        <v>45383</v>
      </c>
      <c r="K70" s="34"/>
      <c r="L70" s="8" t="str">
        <f t="shared" si="4"/>
        <v>2037 Q1</v>
      </c>
      <c r="M70" s="34">
        <f t="shared" si="6"/>
        <v>50041</v>
      </c>
    </row>
    <row r="71" spans="8:13" x14ac:dyDescent="0.2">
      <c r="H71" s="8" t="str">
        <f t="shared" si="5"/>
        <v>2037 Q1</v>
      </c>
      <c r="I71" s="127">
        <f t="shared" si="7"/>
        <v>50041</v>
      </c>
      <c r="J71" s="34">
        <v>45413</v>
      </c>
      <c r="K71" s="34"/>
      <c r="L71" s="8" t="str">
        <f t="shared" si="4"/>
        <v>2037 Q2</v>
      </c>
      <c r="M71" s="34">
        <f t="shared" si="6"/>
        <v>50131</v>
      </c>
    </row>
    <row r="72" spans="8:13" x14ac:dyDescent="0.2">
      <c r="H72" s="8" t="str">
        <f t="shared" si="5"/>
        <v>2037 Q2</v>
      </c>
      <c r="I72" s="127">
        <f t="shared" si="7"/>
        <v>50131</v>
      </c>
      <c r="J72" s="34">
        <v>45444</v>
      </c>
      <c r="K72" s="34"/>
      <c r="L72" s="8" t="str">
        <f t="shared" si="4"/>
        <v>2037 Q3</v>
      </c>
      <c r="M72" s="34">
        <f t="shared" si="6"/>
        <v>50222</v>
      </c>
    </row>
    <row r="73" spans="8:13" x14ac:dyDescent="0.2">
      <c r="H73" s="8" t="str">
        <f t="shared" si="5"/>
        <v>2037 Q3</v>
      </c>
      <c r="I73" s="127">
        <f t="shared" si="7"/>
        <v>50222</v>
      </c>
      <c r="J73" s="34">
        <v>45474</v>
      </c>
      <c r="K73" s="34"/>
      <c r="L73" s="8" t="str">
        <f t="shared" si="4"/>
        <v>2037 Q4</v>
      </c>
      <c r="M73" s="34">
        <f t="shared" si="6"/>
        <v>50314</v>
      </c>
    </row>
    <row r="74" spans="8:13" x14ac:dyDescent="0.2">
      <c r="H74" s="8" t="str">
        <f t="shared" si="5"/>
        <v>2037 Q4</v>
      </c>
      <c r="I74" s="127">
        <f t="shared" si="7"/>
        <v>50314</v>
      </c>
      <c r="J74" s="34">
        <v>45505</v>
      </c>
      <c r="K74" s="34"/>
      <c r="L74" s="8" t="str">
        <f t="shared" si="4"/>
        <v>2038 Q1</v>
      </c>
      <c r="M74" s="34">
        <f t="shared" si="6"/>
        <v>50406</v>
      </c>
    </row>
    <row r="75" spans="8:13" x14ac:dyDescent="0.2">
      <c r="H75" s="8" t="str">
        <f t="shared" si="5"/>
        <v>2038 Q1</v>
      </c>
      <c r="I75" s="127">
        <f t="shared" si="7"/>
        <v>50406</v>
      </c>
      <c r="J75" s="34">
        <v>45536</v>
      </c>
      <c r="K75" s="34"/>
      <c r="L75" s="8" t="str">
        <f t="shared" si="4"/>
        <v>2038 Q2</v>
      </c>
      <c r="M75" s="34">
        <f t="shared" si="6"/>
        <v>50496</v>
      </c>
    </row>
    <row r="76" spans="8:13" x14ac:dyDescent="0.2">
      <c r="H76" s="8" t="str">
        <f t="shared" si="5"/>
        <v>2038 Q2</v>
      </c>
      <c r="I76" s="127">
        <f t="shared" si="7"/>
        <v>50496</v>
      </c>
      <c r="J76" s="34">
        <v>45566</v>
      </c>
      <c r="K76" s="34"/>
      <c r="L76" s="8" t="str">
        <f t="shared" si="4"/>
        <v>2038 Q3</v>
      </c>
      <c r="M76" s="34">
        <f t="shared" si="6"/>
        <v>50587</v>
      </c>
    </row>
    <row r="77" spans="8:13" x14ac:dyDescent="0.2">
      <c r="H77" s="8" t="str">
        <f t="shared" si="5"/>
        <v>2038 Q3</v>
      </c>
      <c r="I77" s="127">
        <f t="shared" si="7"/>
        <v>50587</v>
      </c>
      <c r="J77" s="34">
        <v>45597</v>
      </c>
      <c r="K77" s="34"/>
      <c r="L77" s="8" t="str">
        <f t="shared" si="4"/>
        <v>2038 Q4</v>
      </c>
      <c r="M77" s="34">
        <f t="shared" si="6"/>
        <v>50679</v>
      </c>
    </row>
    <row r="78" spans="8:13" x14ac:dyDescent="0.2">
      <c r="H78" s="8" t="str">
        <f t="shared" si="5"/>
        <v>2038 Q4</v>
      </c>
      <c r="I78" s="127">
        <f t="shared" si="7"/>
        <v>50679</v>
      </c>
      <c r="J78" s="34">
        <v>45627</v>
      </c>
      <c r="K78" s="34"/>
      <c r="L78" s="8" t="str">
        <f t="shared" si="4"/>
        <v>2039 Q1</v>
      </c>
      <c r="M78" s="34">
        <f t="shared" si="6"/>
        <v>50771</v>
      </c>
    </row>
    <row r="79" spans="8:13" x14ac:dyDescent="0.2">
      <c r="H79" s="8" t="str">
        <f t="shared" si="5"/>
        <v>2039 Q1</v>
      </c>
      <c r="I79" s="127">
        <f t="shared" si="7"/>
        <v>50771</v>
      </c>
      <c r="J79" s="34">
        <v>45658</v>
      </c>
      <c r="K79" s="34"/>
      <c r="L79" s="8" t="str">
        <f t="shared" si="4"/>
        <v>2039 Q2</v>
      </c>
      <c r="M79" s="34">
        <f t="shared" si="6"/>
        <v>50861</v>
      </c>
    </row>
    <row r="80" spans="8:13" x14ac:dyDescent="0.2">
      <c r="H80" s="8" t="str">
        <f t="shared" si="5"/>
        <v>2039 Q2</v>
      </c>
      <c r="I80" s="127">
        <f t="shared" si="7"/>
        <v>50861</v>
      </c>
      <c r="J80" s="34">
        <v>45689</v>
      </c>
      <c r="K80" s="34"/>
      <c r="L80" s="8" t="str">
        <f t="shared" si="4"/>
        <v>2039 Q3</v>
      </c>
      <c r="M80" s="34">
        <f t="shared" si="6"/>
        <v>50952</v>
      </c>
    </row>
    <row r="81" spans="8:13" x14ac:dyDescent="0.2">
      <c r="H81" s="8" t="str">
        <f t="shared" si="5"/>
        <v>2039 Q3</v>
      </c>
      <c r="I81" s="127">
        <f t="shared" si="7"/>
        <v>50952</v>
      </c>
      <c r="J81" s="34">
        <v>45717</v>
      </c>
      <c r="L81" s="8" t="str">
        <f t="shared" si="4"/>
        <v>2039 Q4</v>
      </c>
      <c r="M81" s="34">
        <f t="shared" si="6"/>
        <v>51044</v>
      </c>
    </row>
    <row r="82" spans="8:13" x14ac:dyDescent="0.2">
      <c r="H82" s="8" t="str">
        <f t="shared" si="5"/>
        <v>2039 Q4</v>
      </c>
      <c r="I82" s="127">
        <f t="shared" si="7"/>
        <v>51044</v>
      </c>
      <c r="J82" s="34">
        <v>45748</v>
      </c>
      <c r="L82" s="8" t="str">
        <f t="shared" si="4"/>
        <v>2040 Q1</v>
      </c>
      <c r="M82" s="34">
        <f t="shared" si="6"/>
        <v>51136</v>
      </c>
    </row>
    <row r="83" spans="8:13" x14ac:dyDescent="0.2">
      <c r="H83" s="8" t="str">
        <f t="shared" si="5"/>
        <v>2040 Q1</v>
      </c>
      <c r="I83" s="127">
        <f t="shared" si="7"/>
        <v>51136</v>
      </c>
      <c r="J83" s="34">
        <v>45778</v>
      </c>
      <c r="L83" s="8" t="str">
        <f t="shared" si="4"/>
        <v>2040 Q2</v>
      </c>
      <c r="M83" s="34">
        <f t="shared" si="6"/>
        <v>51227</v>
      </c>
    </row>
    <row r="84" spans="8:13" x14ac:dyDescent="0.2">
      <c r="H84" s="8" t="str">
        <f t="shared" si="5"/>
        <v>2040 Q2</v>
      </c>
      <c r="I84" s="127">
        <f t="shared" si="7"/>
        <v>51227</v>
      </c>
      <c r="J84" s="34">
        <v>45809</v>
      </c>
      <c r="L84" s="8" t="str">
        <f t="shared" si="4"/>
        <v>2040 Q3</v>
      </c>
      <c r="M84" s="34">
        <f t="shared" si="6"/>
        <v>51318</v>
      </c>
    </row>
    <row r="85" spans="8:13" x14ac:dyDescent="0.2">
      <c r="H85" s="8" t="str">
        <f t="shared" si="5"/>
        <v>2040 Q3</v>
      </c>
      <c r="I85" s="127">
        <f t="shared" si="7"/>
        <v>51318</v>
      </c>
      <c r="J85" s="34">
        <v>45839</v>
      </c>
      <c r="L85" s="8" t="str">
        <f t="shared" si="4"/>
        <v>2040 Q4</v>
      </c>
      <c r="M85" s="34">
        <f t="shared" si="6"/>
        <v>51410</v>
      </c>
    </row>
    <row r="86" spans="8:13" x14ac:dyDescent="0.2">
      <c r="H86" s="8" t="str">
        <f t="shared" si="5"/>
        <v>2040 Q4</v>
      </c>
      <c r="I86" s="127">
        <f t="shared" si="7"/>
        <v>51410</v>
      </c>
      <c r="J86" s="34">
        <v>45870</v>
      </c>
    </row>
    <row r="87" spans="8:13" x14ac:dyDescent="0.2">
      <c r="J87" s="34">
        <v>45901</v>
      </c>
    </row>
    <row r="88" spans="8:13" x14ac:dyDescent="0.2">
      <c r="J88" s="34">
        <v>45931</v>
      </c>
    </row>
    <row r="89" spans="8:13" x14ac:dyDescent="0.2">
      <c r="J89" s="34">
        <v>45962</v>
      </c>
    </row>
    <row r="90" spans="8:13" x14ac:dyDescent="0.2">
      <c r="J90" s="34">
        <v>45992</v>
      </c>
    </row>
    <row r="91" spans="8:13" x14ac:dyDescent="0.2">
      <c r="J91" s="34">
        <v>46023</v>
      </c>
    </row>
    <row r="92" spans="8:13" x14ac:dyDescent="0.2">
      <c r="J92" s="34">
        <v>46054</v>
      </c>
    </row>
    <row r="93" spans="8:13" x14ac:dyDescent="0.2">
      <c r="J93" s="34">
        <v>46082</v>
      </c>
    </row>
    <row r="94" spans="8:13" x14ac:dyDescent="0.2">
      <c r="J94" s="34">
        <v>46113</v>
      </c>
    </row>
    <row r="95" spans="8:13" x14ac:dyDescent="0.2">
      <c r="J95" s="34">
        <v>46143</v>
      </c>
    </row>
    <row r="96" spans="8:13" x14ac:dyDescent="0.2">
      <c r="J96" s="34">
        <v>46174</v>
      </c>
    </row>
    <row r="97" spans="10:10" x14ac:dyDescent="0.2">
      <c r="J97" s="34">
        <v>46204</v>
      </c>
    </row>
    <row r="98" spans="10:10" x14ac:dyDescent="0.2">
      <c r="J98" s="34">
        <v>46235</v>
      </c>
    </row>
    <row r="99" spans="10:10" x14ac:dyDescent="0.2">
      <c r="J99" s="34">
        <v>46266</v>
      </c>
    </row>
    <row r="100" spans="10:10" x14ac:dyDescent="0.2">
      <c r="J100" s="34">
        <v>46296</v>
      </c>
    </row>
    <row r="101" spans="10:10" x14ac:dyDescent="0.2">
      <c r="J101" s="34">
        <v>46327</v>
      </c>
    </row>
    <row r="102" spans="10:10" x14ac:dyDescent="0.2">
      <c r="J102" s="34">
        <v>46357</v>
      </c>
    </row>
    <row r="103" spans="10:10" x14ac:dyDescent="0.2">
      <c r="J103" s="34">
        <v>46388</v>
      </c>
    </row>
    <row r="104" spans="10:10" x14ac:dyDescent="0.2">
      <c r="J104" s="34">
        <v>46419</v>
      </c>
    </row>
    <row r="105" spans="10:10" x14ac:dyDescent="0.2">
      <c r="J105" s="34">
        <v>46447</v>
      </c>
    </row>
    <row r="106" spans="10:10" x14ac:dyDescent="0.2">
      <c r="J106" s="34">
        <v>46478</v>
      </c>
    </row>
    <row r="107" spans="10:10" x14ac:dyDescent="0.2">
      <c r="J107" s="34">
        <v>46508</v>
      </c>
    </row>
    <row r="108" spans="10:10" x14ac:dyDescent="0.2">
      <c r="J108" s="34">
        <v>46539</v>
      </c>
    </row>
    <row r="109" spans="10:10" x14ac:dyDescent="0.2">
      <c r="J109" s="34">
        <v>46569</v>
      </c>
    </row>
    <row r="110" spans="10:10" x14ac:dyDescent="0.2">
      <c r="J110" s="34">
        <v>46600</v>
      </c>
    </row>
    <row r="111" spans="10:10" x14ac:dyDescent="0.2">
      <c r="J111" s="34">
        <v>46631</v>
      </c>
    </row>
    <row r="112" spans="10:10" x14ac:dyDescent="0.2">
      <c r="J112" s="34">
        <v>46661</v>
      </c>
    </row>
    <row r="113" spans="10:10" x14ac:dyDescent="0.2">
      <c r="J113" s="34">
        <v>46692</v>
      </c>
    </row>
    <row r="114" spans="10:10" x14ac:dyDescent="0.2">
      <c r="J114" s="34">
        <v>46722</v>
      </c>
    </row>
    <row r="115" spans="10:10" x14ac:dyDescent="0.2">
      <c r="J115" s="34">
        <v>46753</v>
      </c>
    </row>
    <row r="116" spans="10:10" x14ac:dyDescent="0.2">
      <c r="J116" s="34">
        <v>46784</v>
      </c>
    </row>
    <row r="117" spans="10:10" x14ac:dyDescent="0.2">
      <c r="J117" s="34">
        <v>46813</v>
      </c>
    </row>
    <row r="118" spans="10:10" x14ac:dyDescent="0.2">
      <c r="J118" s="34">
        <v>46844</v>
      </c>
    </row>
    <row r="119" spans="10:10" x14ac:dyDescent="0.2">
      <c r="J119" s="34">
        <v>46874</v>
      </c>
    </row>
    <row r="120" spans="10:10" x14ac:dyDescent="0.2">
      <c r="J120" s="34">
        <v>46905</v>
      </c>
    </row>
    <row r="121" spans="10:10" x14ac:dyDescent="0.2">
      <c r="J121" s="34">
        <v>46935</v>
      </c>
    </row>
    <row r="122" spans="10:10" x14ac:dyDescent="0.2">
      <c r="J122" s="34">
        <v>46966</v>
      </c>
    </row>
    <row r="123" spans="10:10" x14ac:dyDescent="0.2">
      <c r="J123" s="34">
        <v>46997</v>
      </c>
    </row>
    <row r="124" spans="10:10" x14ac:dyDescent="0.2">
      <c r="J124" s="34">
        <v>47027</v>
      </c>
    </row>
    <row r="125" spans="10:10" x14ac:dyDescent="0.2">
      <c r="J125" s="34">
        <v>47058</v>
      </c>
    </row>
    <row r="126" spans="10:10" x14ac:dyDescent="0.2">
      <c r="J126" s="34">
        <v>47088</v>
      </c>
    </row>
    <row r="127" spans="10:10" x14ac:dyDescent="0.2">
      <c r="J127" s="34">
        <v>47119</v>
      </c>
    </row>
    <row r="128" spans="10:10" x14ac:dyDescent="0.2">
      <c r="J128" s="34">
        <v>47150</v>
      </c>
    </row>
    <row r="129" spans="10:10" x14ac:dyDescent="0.2">
      <c r="J129" s="34">
        <v>47178</v>
      </c>
    </row>
  </sheetData>
  <phoneticPr fontId="11" type="noConversion"/>
  <pageMargins left="0.7" right="0.7" top="0.75" bottom="0.75" header="0.3" footer="0.3"/>
  <pageSetup paperSize="9" orientation="portrait" horizontalDpi="200" verticalDpi="200" r:id="rId1"/>
  <customProperties>
    <customPr name="Smart"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00"/>
  <sheetViews>
    <sheetView workbookViewId="0">
      <selection activeCell="C1" sqref="C1"/>
    </sheetView>
  </sheetViews>
  <sheetFormatPr defaultColWidth="8.75" defaultRowHeight="14.25" x14ac:dyDescent="0.2"/>
  <cols>
    <col min="1" max="19" width="8.75" style="51"/>
    <col min="20" max="20" width="9.375" style="51" customWidth="1"/>
    <col min="21" max="16384" width="8.75" style="51"/>
  </cols>
  <sheetData>
    <row r="1" spans="1:20" ht="13.9" customHeight="1" x14ac:dyDescent="0.2">
      <c r="A1" s="51">
        <f>D1*E1</f>
        <v>0</v>
      </c>
      <c r="C1" s="51">
        <f>Risikoanalyse!B15</f>
        <v>1</v>
      </c>
      <c r="D1" s="51">
        <f>Risikoanalyse!I15</f>
        <v>0</v>
      </c>
      <c r="E1" s="51">
        <f>IFERROR(IF(VLOOKUP(C1,Risikolog[],22)="Risiko",Risikoanalyse!H15+101,0),"")</f>
        <v>0</v>
      </c>
      <c r="N1" s="214" t="s">
        <v>66</v>
      </c>
    </row>
    <row r="2" spans="1:20" ht="14.45" customHeight="1" x14ac:dyDescent="0.2">
      <c r="A2" s="51">
        <f t="shared" ref="A2:A50" si="0">D2*E2</f>
        <v>0</v>
      </c>
      <c r="C2" s="51">
        <f>Risikoanalyse!B16</f>
        <v>2</v>
      </c>
      <c r="D2" s="51">
        <f>Risikoanalyse!I16</f>
        <v>0</v>
      </c>
      <c r="E2" s="51">
        <f>IFERROR(IF(VLOOKUP(C2,Risikolog[],22)="Risiko",Risikoanalyse!H16+101,0),"")</f>
        <v>0</v>
      </c>
      <c r="G2" s="58">
        <v>5</v>
      </c>
      <c r="H2" s="59">
        <f>G2*H7</f>
        <v>510</v>
      </c>
      <c r="I2" s="59">
        <f>I7*G2</f>
        <v>515</v>
      </c>
      <c r="J2" s="59">
        <f>J7*G2</f>
        <v>520</v>
      </c>
      <c r="K2" s="59">
        <f>K7*G2</f>
        <v>525</v>
      </c>
      <c r="L2" s="59">
        <f>L7*G2</f>
        <v>530</v>
      </c>
      <c r="N2" s="214"/>
      <c r="O2" s="61">
        <v>5</v>
      </c>
      <c r="P2" s="66" t="str">
        <f>(G11&amp;" "&amp;G12&amp;" "&amp;G13&amp;" "&amp;G14&amp;" "&amp;G15&amp;" "&amp;G16&amp;" "&amp;G17&amp;" "&amp;G18&amp;" "&amp;G19)</f>
        <v xml:space="preserve">                 </v>
      </c>
      <c r="Q2" s="51" t="str">
        <f>H11&amp;" "&amp;H12&amp;" "&amp;H13&amp;" "&amp;H14&amp;" "&amp;H15&amp;" "&amp;H16&amp;" "&amp;H17&amp;" "&amp;H18&amp;" "&amp;H19</f>
        <v xml:space="preserve">                 </v>
      </c>
      <c r="R2" s="51" t="str">
        <f>I11&amp;" "&amp;I12&amp;" "&amp;I13&amp;" "&amp;I14&amp;" "&amp;I15&amp;" "&amp;I16&amp;" "&amp;I17&amp;" "&amp;I18&amp;" "&amp;I19</f>
        <v xml:space="preserve">                 </v>
      </c>
      <c r="S2" s="51" t="str">
        <f>J11&amp;" "&amp;J12&amp;" "&amp;J13&amp;" "&amp;J14&amp;" "&amp;J15&amp;" "&amp;J16&amp;" "&amp;J17&amp;" "&amp;J18&amp;" "&amp;J19</f>
        <v xml:space="preserve">                 </v>
      </c>
      <c r="T2" s="51" t="str">
        <f>K11&amp;" "&amp;K12&amp;" "&amp;K13&amp;" "&amp;K14&amp;" "&amp;K15&amp;" "&amp;K16&amp;" "&amp;K17&amp;" "&amp;K18&amp;" "&amp;K19</f>
        <v xml:space="preserve">                 </v>
      </c>
    </row>
    <row r="3" spans="1:20" ht="15" x14ac:dyDescent="0.2">
      <c r="A3" s="51">
        <f t="shared" si="0"/>
        <v>0</v>
      </c>
      <c r="C3" s="51">
        <f>Risikoanalyse!B17</f>
        <v>3</v>
      </c>
      <c r="D3" s="51">
        <f>Risikoanalyse!I17</f>
        <v>0</v>
      </c>
      <c r="E3" s="51">
        <f>IFERROR(IF(VLOOKUP(C3,Risikolog[],22)="Risiko",Risikoanalyse!H17+101,0),"")</f>
        <v>0</v>
      </c>
      <c r="G3" s="58">
        <v>4</v>
      </c>
      <c r="H3" s="59">
        <f>G3*H7</f>
        <v>408</v>
      </c>
      <c r="I3" s="59">
        <f>I7*G3</f>
        <v>412</v>
      </c>
      <c r="J3" s="59">
        <f>J7*G3</f>
        <v>416</v>
      </c>
      <c r="K3" s="59">
        <f>K7*G3</f>
        <v>420</v>
      </c>
      <c r="L3" s="59">
        <f>L7*G3</f>
        <v>424</v>
      </c>
      <c r="N3" s="214"/>
      <c r="O3" s="61">
        <v>4</v>
      </c>
      <c r="P3" s="51" t="str">
        <f>M11&amp;" "&amp;M12&amp;" "&amp;M13&amp;" "&amp;M14&amp;" "&amp;M15&amp;" "&amp;M16&amp;" "&amp;M17&amp;" "&amp;M18&amp;" "&amp;M19</f>
        <v xml:space="preserve">                 </v>
      </c>
      <c r="Q3" s="51" t="str">
        <f>N11&amp;" "&amp;N12&amp;" "&amp;N13&amp;" "&amp;N14&amp;" "&amp;N15&amp;" "&amp;N16&amp;" "&amp;N17&amp;" "&amp;N18&amp;" "&amp;N19</f>
        <v xml:space="preserve">                 </v>
      </c>
      <c r="R3" s="51" t="str">
        <f>O11&amp;" "&amp;O12&amp;" "&amp;O13&amp;" "&amp;O14&amp;" "&amp;O15&amp;" "&amp;O16&amp;" "&amp;O17&amp;" "&amp;O18&amp;" "&amp;O19</f>
        <v xml:space="preserve">                 </v>
      </c>
      <c r="S3" s="51" t="str">
        <f>P11&amp;" "&amp;P12&amp;" "&amp;P13&amp;" "&amp;P14&amp;" "&amp;P15&amp;" "&amp;P16&amp;" "&amp;P17&amp;" "&amp;P18&amp;" "&amp;P19</f>
        <v xml:space="preserve">                 </v>
      </c>
      <c r="T3" s="51" t="str">
        <f>Q11&amp;" "&amp;Q12&amp;" "&amp;Q13&amp;" "&amp;Q14&amp;" "&amp;Q15&amp;" "&amp;Q16&amp;" "&amp;Q17&amp;" "&amp;Q18&amp;" "&amp;Q19</f>
        <v xml:space="preserve">                 </v>
      </c>
    </row>
    <row r="4" spans="1:20" ht="15" x14ac:dyDescent="0.2">
      <c r="A4" s="51">
        <f t="shared" si="0"/>
        <v>0</v>
      </c>
      <c r="C4" s="51">
        <f>Risikoanalyse!B18</f>
        <v>4</v>
      </c>
      <c r="D4" s="51">
        <f>Risikoanalyse!I18</f>
        <v>0</v>
      </c>
      <c r="E4" s="51">
        <f>IFERROR(IF(VLOOKUP(C4,Risikolog[],22)="Risiko",Risikoanalyse!H18+101,0),"")</f>
        <v>0</v>
      </c>
      <c r="G4" s="58">
        <v>3</v>
      </c>
      <c r="H4" s="59">
        <f>H7*G4</f>
        <v>306</v>
      </c>
      <c r="I4" s="59">
        <f>I7*G4</f>
        <v>309</v>
      </c>
      <c r="J4" s="59">
        <f>J7*G4</f>
        <v>312</v>
      </c>
      <c r="K4" s="59">
        <f>K7*G4</f>
        <v>315</v>
      </c>
      <c r="L4" s="59">
        <f>L7*G4</f>
        <v>318</v>
      </c>
      <c r="N4" s="214"/>
      <c r="O4" s="61">
        <v>3</v>
      </c>
      <c r="P4" s="51" t="str">
        <f>(G22&amp;" "&amp;G23&amp;" "&amp;G24&amp;" "&amp;G25&amp;" "&amp;G26&amp;" "&amp;G27&amp;" "&amp;G28&amp;" "&amp;G29&amp;" "&amp;G30&amp;"")</f>
        <v xml:space="preserve">                </v>
      </c>
      <c r="Q4" s="51" t="str">
        <f>(H22&amp;" "&amp;H23&amp;" "&amp;H24&amp;" "&amp;H25&amp;" "&amp;H26&amp;" "&amp;H27&amp;" "&amp;H28&amp;" "&amp;H29&amp;" "&amp;H30&amp;"")</f>
        <v xml:space="preserve">                 </v>
      </c>
      <c r="R4" s="51" t="str">
        <f>(I22&amp;" "&amp;I23&amp;" "&amp;I24&amp;" "&amp;I25&amp;" "&amp;I26&amp;" "&amp;I27&amp;" "&amp;I28&amp;" "&amp;I29&amp;" "&amp;I30&amp;"")</f>
        <v xml:space="preserve">                 </v>
      </c>
      <c r="S4" s="51" t="str">
        <f>(J22&amp;" "&amp;J23&amp;" "&amp;J24&amp;" "&amp;J25&amp;" "&amp;J26&amp;" "&amp;J27&amp;" "&amp;J28&amp;" "&amp;J29&amp;" "&amp;J30&amp;"")</f>
        <v xml:space="preserve">                 </v>
      </c>
      <c r="T4" s="51" t="str">
        <f>(K22&amp;" "&amp;K23&amp;" "&amp;K24&amp;" "&amp;K25&amp;" "&amp;K26&amp;" "&amp;K27&amp;" "&amp;K28&amp;" "&amp;K29&amp;" "&amp;K30&amp;"")</f>
        <v xml:space="preserve">                 </v>
      </c>
    </row>
    <row r="5" spans="1:20" ht="15" x14ac:dyDescent="0.2">
      <c r="A5" s="51">
        <f t="shared" si="0"/>
        <v>0</v>
      </c>
      <c r="C5" s="51">
        <f>Risikoanalyse!B19</f>
        <v>5</v>
      </c>
      <c r="D5" s="51">
        <f>Risikoanalyse!I19</f>
        <v>0</v>
      </c>
      <c r="E5" s="51">
        <f>IFERROR(IF(VLOOKUP(C5,Risikolog[],22)="Risiko",Risikoanalyse!H19+101,0),"")</f>
        <v>0</v>
      </c>
      <c r="G5" s="58">
        <v>2</v>
      </c>
      <c r="H5" s="59">
        <f>H7*G5</f>
        <v>204</v>
      </c>
      <c r="I5" s="59">
        <f>I7*G5</f>
        <v>206</v>
      </c>
      <c r="J5" s="59">
        <f>J7*G5</f>
        <v>208</v>
      </c>
      <c r="K5" s="59">
        <f>105*2</f>
        <v>210</v>
      </c>
      <c r="L5" s="59">
        <f>106*2</f>
        <v>212</v>
      </c>
      <c r="N5" s="214"/>
      <c r="O5" s="61">
        <v>2</v>
      </c>
      <c r="P5" s="51" t="str">
        <f>(M22&amp;" "&amp;M23&amp;" "&amp;M24&amp;" "&amp;M25&amp;" "&amp;M26&amp;" "&amp;M27&amp;" "&amp;M28&amp;" "&amp;M29&amp;" "&amp;M30&amp;"")</f>
        <v xml:space="preserve">                 </v>
      </c>
      <c r="Q5" s="51" t="str">
        <f>(N22&amp;" "&amp;N23&amp;" "&amp;N24&amp;" "&amp;N25&amp;" "&amp;N26&amp;" "&amp;N27&amp;" "&amp;N28&amp;" "&amp;N29&amp;" "&amp;N30&amp;"")</f>
        <v xml:space="preserve">                 </v>
      </c>
      <c r="R5" s="51" t="str">
        <f>(O22&amp;" "&amp;O23&amp;" "&amp;O24&amp;" "&amp;O25&amp;" "&amp;O26&amp;" "&amp;O27&amp;" "&amp;O28&amp;" "&amp;O29&amp;" "&amp;O30&amp;"")</f>
        <v xml:space="preserve">                 </v>
      </c>
      <c r="S5" s="51" t="str">
        <f>(P22&amp;" "&amp;P23&amp;" "&amp;P24&amp;" "&amp;P25&amp;" "&amp;P26&amp;" "&amp;P27&amp;" "&amp;P28&amp;" "&amp;P29&amp;" "&amp;P30&amp;"")</f>
        <v xml:space="preserve">                 </v>
      </c>
      <c r="T5" s="51" t="str">
        <f>(Q22&amp;" "&amp;Q23&amp;" "&amp;Q24&amp;" "&amp;Q25&amp;" "&amp;Q26&amp;" "&amp;Q27&amp;" "&amp;Q28&amp;" "&amp;Q29&amp;" "&amp;Q30&amp;"")</f>
        <v xml:space="preserve">                 </v>
      </c>
    </row>
    <row r="6" spans="1:20" ht="15" x14ac:dyDescent="0.2">
      <c r="A6" s="51">
        <f t="shared" si="0"/>
        <v>0</v>
      </c>
      <c r="C6" s="51">
        <f>Risikoanalyse!B20</f>
        <v>6</v>
      </c>
      <c r="D6" s="51">
        <f>Risikoanalyse!I20</f>
        <v>0</v>
      </c>
      <c r="E6" s="51">
        <f>IFERROR(IF(VLOOKUP(C6,Risikolog[],22)="Risiko",Risikoanalyse!H20+101,0),"")</f>
        <v>0</v>
      </c>
      <c r="G6" s="58">
        <v>1</v>
      </c>
      <c r="H6" s="59">
        <f>H7*G6</f>
        <v>102</v>
      </c>
      <c r="I6" s="59">
        <f>I7*G6</f>
        <v>103</v>
      </c>
      <c r="J6" s="59">
        <v>104</v>
      </c>
      <c r="K6" s="59">
        <v>105</v>
      </c>
      <c r="L6" s="59">
        <v>106</v>
      </c>
      <c r="N6" s="214"/>
      <c r="O6" s="61">
        <v>1</v>
      </c>
      <c r="P6" s="51" t="str">
        <f>(G33&amp;" "&amp;G34&amp;" "&amp;G35&amp;" "&amp;G36&amp;" "&amp;G37&amp;" "&amp;G38&amp;" "&amp;G39&amp;" "&amp;G40&amp;" "&amp;G41&amp;"")</f>
        <v xml:space="preserve">                 </v>
      </c>
      <c r="Q6" s="51" t="str">
        <f>(H33&amp;" "&amp;H34&amp;" "&amp;H35&amp;" "&amp;H36&amp;" "&amp;H37&amp;" "&amp;H38&amp;" "&amp;H39&amp;" "&amp;H40&amp;" "&amp;H41&amp;"")</f>
        <v xml:space="preserve">                 </v>
      </c>
      <c r="R6" s="51" t="str">
        <f>(I33&amp;" "&amp;I34&amp;" "&amp;I35&amp;" "&amp;I36&amp;" "&amp;I37&amp;" "&amp;I38&amp;" "&amp;I39&amp;" "&amp;I40&amp;" "&amp;I41&amp;"")</f>
        <v xml:space="preserve">                 </v>
      </c>
      <c r="S6" s="51" t="str">
        <f>(J33&amp;" "&amp;J34&amp;" "&amp;J35&amp;" "&amp;J36&amp;" "&amp;J37&amp;" "&amp;J38&amp;" "&amp;J39&amp;" "&amp;J40&amp;" "&amp;J41&amp;"")</f>
        <v xml:space="preserve">                 </v>
      </c>
      <c r="T6" s="51" t="str">
        <f>(K33&amp;" "&amp;K34&amp;" "&amp;K35&amp;" "&amp;K36&amp;" "&amp;K37&amp;" "&amp;K38&amp;" "&amp;K39&amp;" "&amp;K40&amp;" "&amp;K41&amp;"")</f>
        <v xml:space="preserve">                 </v>
      </c>
    </row>
    <row r="7" spans="1:20" ht="15" x14ac:dyDescent="0.2">
      <c r="A7" s="51">
        <f t="shared" si="0"/>
        <v>0</v>
      </c>
      <c r="C7" s="51">
        <f>Risikoanalyse!B21</f>
        <v>7</v>
      </c>
      <c r="D7" s="51">
        <f>Risikoanalyse!I21</f>
        <v>0</v>
      </c>
      <c r="E7" s="51">
        <f>IFERROR(IF(VLOOKUP(C7,Risikolog[],22)="Risiko",Risikoanalyse!H21+101,0),"")</f>
        <v>0</v>
      </c>
      <c r="G7" s="58"/>
      <c r="H7" s="58">
        <v>102</v>
      </c>
      <c r="I7" s="58">
        <v>103</v>
      </c>
      <c r="J7" s="58">
        <v>104</v>
      </c>
      <c r="K7" s="58">
        <v>105</v>
      </c>
      <c r="L7" s="58">
        <v>106</v>
      </c>
      <c r="N7" s="214"/>
      <c r="O7" s="50"/>
      <c r="P7" s="62">
        <v>1</v>
      </c>
      <c r="Q7" s="62">
        <v>2</v>
      </c>
      <c r="R7" s="62">
        <v>3</v>
      </c>
      <c r="S7" s="62">
        <v>4</v>
      </c>
      <c r="T7" s="62">
        <v>5</v>
      </c>
    </row>
    <row r="8" spans="1:20" x14ac:dyDescent="0.2">
      <c r="A8" s="51">
        <f t="shared" si="0"/>
        <v>0</v>
      </c>
      <c r="C8" s="51">
        <f>Risikoanalyse!B22</f>
        <v>8</v>
      </c>
      <c r="D8" s="51">
        <f>Risikoanalyse!I22</f>
        <v>0</v>
      </c>
      <c r="E8" s="51">
        <f>IFERROR(IF(VLOOKUP(C8,Risikolog[],22)="Risiko",Risikoanalyse!H22+101,0),"")</f>
        <v>0</v>
      </c>
      <c r="N8" s="50"/>
      <c r="O8" s="50"/>
      <c r="P8" s="50"/>
      <c r="Q8" s="215" t="s">
        <v>72</v>
      </c>
      <c r="R8" s="215"/>
      <c r="S8" s="215"/>
      <c r="T8" s="50"/>
    </row>
    <row r="9" spans="1:20" x14ac:dyDescent="0.2">
      <c r="A9" s="51">
        <f t="shared" si="0"/>
        <v>0</v>
      </c>
      <c r="C9" s="51">
        <f>Risikoanalyse!B23</f>
        <v>9</v>
      </c>
      <c r="D9" s="51">
        <f>Risikoanalyse!I23</f>
        <v>0</v>
      </c>
      <c r="E9" s="51">
        <f>IFERROR(IF(VLOOKUP(C9,Risikolog[],22)="Risiko",Risikoanalyse!H23+101,0),"")</f>
        <v>0</v>
      </c>
    </row>
    <row r="10" spans="1:20" x14ac:dyDescent="0.2">
      <c r="A10" s="51">
        <f t="shared" si="0"/>
        <v>0</v>
      </c>
      <c r="C10" s="51">
        <f>Risikoanalyse!B24</f>
        <v>10</v>
      </c>
      <c r="D10" s="51">
        <f>Risikoanalyse!I24</f>
        <v>0</v>
      </c>
      <c r="E10" s="51">
        <f>IFERROR(IF(VLOOKUP(C10,Risikolog[],22)="Risiko",Risikoanalyse!H24+101,0),"")</f>
        <v>0</v>
      </c>
      <c r="G10" s="58">
        <v>510</v>
      </c>
      <c r="H10" s="58">
        <v>515</v>
      </c>
      <c r="I10" s="58">
        <v>520</v>
      </c>
      <c r="J10" s="58">
        <v>525</v>
      </c>
      <c r="K10" s="58">
        <v>530</v>
      </c>
      <c r="M10" s="58">
        <v>408</v>
      </c>
      <c r="N10" s="58">
        <v>412</v>
      </c>
      <c r="O10" s="58">
        <v>416</v>
      </c>
      <c r="P10" s="58">
        <v>420</v>
      </c>
      <c r="Q10" s="58">
        <v>424</v>
      </c>
    </row>
    <row r="11" spans="1:20" x14ac:dyDescent="0.2">
      <c r="A11" s="51">
        <f t="shared" si="0"/>
        <v>0</v>
      </c>
      <c r="C11" s="51">
        <f>Risikoanalyse!B25</f>
        <v>11</v>
      </c>
      <c r="D11" s="51">
        <f>Risikoanalyse!I25</f>
        <v>0</v>
      </c>
      <c r="E11" s="51">
        <f>IFERROR(IF(VLOOKUP(C11,Risikolog[],22)="Risiko",Risikoanalyse!H25+101,0),"")</f>
        <v>0</v>
      </c>
      <c r="G11" s="60" t="str">
        <f t="array" ref="G11">IFERROR(INDEX($A$1:$C$300,SMALL(IF($A$1:$A$300=H$2,ROW($A$1:$A$300)),ROW(1:1)),3)," ")</f>
        <v xml:space="preserve"> </v>
      </c>
      <c r="H11" s="60" t="str">
        <f t="array" ref="H11">IFERROR(INDEX($A$1:$C$300,SMALL(IF($A$1:$A$300=I$2,ROW($A$1:$A$300)),ROW(1:1)),3)," ")</f>
        <v xml:space="preserve"> </v>
      </c>
      <c r="I11" s="60" t="str">
        <f t="array" ref="I11">IFERROR(INDEX($A$1:$C$300,SMALL(IF($A$1:$A$300=J$2,ROW($A$1:$A$300)),ROW(1:1)),3)," ")</f>
        <v xml:space="preserve"> </v>
      </c>
      <c r="J11" s="60" t="str">
        <f t="array" ref="J11">IFERROR(INDEX($A$1:$C$300,SMALL(IF($A$1:$A$300=K$2,ROW($A$1:$A$300)),ROW(1:1)),3)," ")</f>
        <v xml:space="preserve"> </v>
      </c>
      <c r="K11" s="60" t="str">
        <f t="array" ref="K11">IFERROR(INDEX($A$1:$C$300,SMALL(IF($A$1:$A$300=L$2,ROW($A$1:$A$300)),ROW(1:1)),3)," ")</f>
        <v xml:space="preserve"> </v>
      </c>
      <c r="M11" s="60" t="str">
        <f t="array" ref="M11">IFERROR(INDEX($A$1:$D$300,SMALL(IF($A$1:$A$300=$H$3,ROW($A$1:$A$300)),ROW(1:1)),3)," ")</f>
        <v xml:space="preserve"> </v>
      </c>
      <c r="N11" s="60" t="str">
        <f t="array" ref="N11">IFERROR(INDEX($A$1:$D$300,SMALL(IF($A$1:$A$300=$I$3,ROW($A$1:$A$300)),ROW(1:1)),3)," ")</f>
        <v xml:space="preserve"> </v>
      </c>
      <c r="O11" s="60" t="str">
        <f t="array" ref="O11">IFERROR(INDEX($A$1:$D$300,SMALL(IF($A$1:$A$300=$J$3,ROW($A$1:$A$300)),ROW(1:1)),3)," ")</f>
        <v xml:space="preserve"> </v>
      </c>
      <c r="P11" s="60" t="str">
        <f t="array" ref="P11">IFERROR(INDEX($A$1:$D$300,SMALL(IF($A$1:$A$300=$K$3,ROW($A$1:$A$300)),ROW(1:1)),3)," ")</f>
        <v xml:space="preserve"> </v>
      </c>
      <c r="Q11" s="60" t="str">
        <f t="array" ref="Q11">IFERROR(INDEX($A$1:$D$300,SMALL(IF($A$1:$A$300=$L$3,ROW($A$1:$A$300)),ROW(1:1)),3)," ")</f>
        <v xml:space="preserve"> </v>
      </c>
    </row>
    <row r="12" spans="1:20" x14ac:dyDescent="0.2">
      <c r="A12" s="51">
        <f t="shared" si="0"/>
        <v>0</v>
      </c>
      <c r="C12" s="51">
        <f>Risikoanalyse!B26</f>
        <v>12</v>
      </c>
      <c r="D12" s="51">
        <f>Risikoanalyse!I26</f>
        <v>0</v>
      </c>
      <c r="E12" s="51">
        <f>IFERROR(IF(VLOOKUP(C12,Risikolog[],22)="Risiko",Risikoanalyse!H26+101,0),"")</f>
        <v>0</v>
      </c>
      <c r="G12" s="60" t="str">
        <f t="array" ref="G12">IFERROR(INDEX($A$1:$C$300,SMALL(IF($A$1:$A$300=H$2,ROW($A$1:$A$300)),ROW(2:2)),3)," ")</f>
        <v xml:space="preserve"> </v>
      </c>
      <c r="H12" s="60" t="str">
        <f t="array" ref="H12">IFERROR(INDEX($A$1:$C$300,SMALL(IF($A$1:$A$300=I$2,ROW($A$1:$A$300)),ROW(2:2)),3)," ")</f>
        <v xml:space="preserve"> </v>
      </c>
      <c r="I12" s="60" t="str">
        <f t="array" ref="I12">IFERROR(INDEX($A$1:$C$300,SMALL(IF($A$1:$A$300=J$2,ROW($A$1:$A$300)),ROW(2:2)),3)," ")</f>
        <v xml:space="preserve"> </v>
      </c>
      <c r="J12" s="60" t="str">
        <f t="array" ref="J12">IFERROR(INDEX($A$1:$C$300,SMALL(IF($A$1:$A$300=K$2,ROW($A$1:$A$300)),ROW(2:2)),3)," ")</f>
        <v xml:space="preserve"> </v>
      </c>
      <c r="K12" s="60" t="str">
        <f t="array" ref="K12">IFERROR(INDEX($A$1:$C$300,SMALL(IF($A$1:$A$300=L$2,ROW($A$1:$A$300)),ROW(2:2)),3)," ")</f>
        <v xml:space="preserve"> </v>
      </c>
      <c r="M12" s="60" t="str">
        <f t="array" ref="M12">IFERROR(INDEX($A$1:$D$300,SMALL(IF($A$1:$A$300=$H$3,ROW($A$1:$A$300)),ROW(2:2)),3)," ")</f>
        <v xml:space="preserve"> </v>
      </c>
      <c r="N12" s="60" t="str">
        <f t="array" ref="N12">IFERROR(INDEX($A$1:$D$300,SMALL(IF($A$1:$A$300=$I$3,ROW($A$1:$A$300)),ROW(2:2)),3)," ")</f>
        <v xml:space="preserve"> </v>
      </c>
      <c r="O12" s="60" t="str">
        <f t="array" ref="O12">IFERROR(INDEX($A$1:$D$300,SMALL(IF($A$1:$A$300=$J$3,ROW($A$1:$A$300)),ROW(2:2)),3)," ")</f>
        <v xml:space="preserve"> </v>
      </c>
      <c r="P12" s="60" t="str">
        <f t="array" ref="P12">IFERROR(INDEX($A$1:$D$300,SMALL(IF($A$1:$A$300=$K$3,ROW($A$1:$A$300)),ROW(2:2)),3)," ")</f>
        <v xml:space="preserve"> </v>
      </c>
      <c r="Q12" s="60" t="str">
        <f t="array" ref="Q12">IFERROR(INDEX($A$1:$D$300,SMALL(IF($A$1:$A$300=$L$3,ROW($A$1:$A$300)),ROW(2:2)),3)," ")</f>
        <v xml:space="preserve"> </v>
      </c>
    </row>
    <row r="13" spans="1:20" x14ac:dyDescent="0.2">
      <c r="A13" s="51">
        <f t="shared" si="0"/>
        <v>0</v>
      </c>
      <c r="C13" s="51">
        <f>Risikoanalyse!B27</f>
        <v>13</v>
      </c>
      <c r="D13" s="51">
        <f>Risikoanalyse!I27</f>
        <v>0</v>
      </c>
      <c r="E13" s="51">
        <f>IFERROR(IF(VLOOKUP(C13,Risikolog[],22)="Risiko",Risikoanalyse!H27+101,0),"")</f>
        <v>0</v>
      </c>
      <c r="G13" s="60" t="str">
        <f t="array" ref="G13">IFERROR(INDEX($A$1:$C$300,SMALL(IF($A$1:$A$300=H$2,ROW($A$1:$A$300)),ROW(3:3)),3)," ")</f>
        <v xml:space="preserve"> </v>
      </c>
      <c r="H13" s="60" t="str">
        <f t="array" ref="H13">IFERROR(INDEX($A$1:$C$300,SMALL(IF($A$1:$A$300=I$2,ROW($A$1:$A$300)),ROW(3:3)),3)," ")</f>
        <v xml:space="preserve"> </v>
      </c>
      <c r="I13" s="60" t="str">
        <f t="array" ref="I13">IFERROR(INDEX($A$1:$C$300,SMALL(IF($A$1:$A$300=J$2,ROW($A$1:$A$300)),ROW(3:3)),3)," ")</f>
        <v xml:space="preserve"> </v>
      </c>
      <c r="J13" s="60" t="str">
        <f t="array" ref="J13">IFERROR(INDEX($A$1:$C$300,SMALL(IF($A$1:$A$300=K$2,ROW($A$1:$A$300)),ROW(3:3)),3)," ")</f>
        <v xml:space="preserve"> </v>
      </c>
      <c r="K13" s="60" t="str">
        <f t="array" ref="K13">IFERROR(INDEX($A$1:$C$300,SMALL(IF($A$1:$A$300=L$2,ROW($A$1:$A$300)),ROW(3:3)),3)," ")</f>
        <v xml:space="preserve"> </v>
      </c>
      <c r="M13" s="60" t="str">
        <f t="array" ref="M13">IFERROR(INDEX($A$1:$D$300,SMALL(IF($A$1:$A$300=$H$3,ROW($A$1:$A$300)),ROW(3:3)),3)," ")</f>
        <v xml:space="preserve"> </v>
      </c>
      <c r="N13" s="60" t="str">
        <f t="array" ref="N13">IFERROR(INDEX($A$1:$D$300,SMALL(IF($A$1:$A$300=$I$3,ROW($A$1:$A$300)),ROW(3:3)),3)," ")</f>
        <v xml:space="preserve"> </v>
      </c>
      <c r="O13" s="60" t="str">
        <f t="array" ref="O13">IFERROR(INDEX($A$1:$D$300,SMALL(IF($A$1:$A$300=$J$3,ROW($A$1:$A$300)),ROW(3:3)),3)," ")</f>
        <v xml:space="preserve"> </v>
      </c>
      <c r="P13" s="60" t="str">
        <f t="array" ref="P13">IFERROR(INDEX($A$1:$D$300,SMALL(IF($A$1:$A$300=$K$3,ROW($A$1:$A$300)),ROW(3:3)),3)," ")</f>
        <v xml:space="preserve"> </v>
      </c>
      <c r="Q13" s="60" t="str">
        <f t="array" ref="Q13">IFERROR(INDEX($A$1:$D$300,SMALL(IF($A$1:$A$300=$L$3,ROW($A$1:$A$300)),ROW(3:3)),3)," ")</f>
        <v xml:space="preserve"> </v>
      </c>
    </row>
    <row r="14" spans="1:20" x14ac:dyDescent="0.2">
      <c r="A14" s="51">
        <f t="shared" si="0"/>
        <v>0</v>
      </c>
      <c r="C14" s="51">
        <f>Risikoanalyse!B28</f>
        <v>14</v>
      </c>
      <c r="D14" s="51">
        <f>Risikoanalyse!I28</f>
        <v>0</v>
      </c>
      <c r="E14" s="51">
        <f>IFERROR(IF(VLOOKUP(C14,Risikolog[],22)="Risiko",Risikoanalyse!H28+101,0),"")</f>
        <v>0</v>
      </c>
      <c r="G14" s="60" t="str">
        <f t="array" ref="G14">IFERROR(INDEX($A$1:$C$300,SMALL(IF($A$1:$A$300=H$2,ROW($A$1:$A$300)),ROW(4:4)),3)," ")</f>
        <v xml:space="preserve"> </v>
      </c>
      <c r="H14" s="60" t="str">
        <f t="array" ref="H14">IFERROR(INDEX($A$1:$C$300,SMALL(IF($A$1:$A$300=I$2,ROW($A$1:$A$300)),ROW(4:4)),3)," ")</f>
        <v xml:space="preserve"> </v>
      </c>
      <c r="I14" s="60" t="str">
        <f t="array" ref="I14">IFERROR(INDEX($A$1:$C$300,SMALL(IF($A$1:$A$300=J$2,ROW($A$1:$A$300)),ROW(4:4)),3)," ")</f>
        <v xml:space="preserve"> </v>
      </c>
      <c r="J14" s="60" t="str">
        <f t="array" ref="J14">IFERROR(INDEX($A$1:$C$300,SMALL(IF($A$1:$A$300=K$2,ROW($A$1:$A$300)),ROW(4:4)),3)," ")</f>
        <v xml:space="preserve"> </v>
      </c>
      <c r="K14" s="60" t="str">
        <f t="array" ref="K14">IFERROR(INDEX($A$1:$C$300,SMALL(IF($A$1:$A$300=L$2,ROW($A$1:$A$300)),ROW(4:4)),3)," ")</f>
        <v xml:space="preserve"> </v>
      </c>
      <c r="M14" s="60" t="str">
        <f t="array" ref="M14">IFERROR(INDEX($A$1:$D$300,SMALL(IF($A$1:$A$300=$H$3,ROW($A$1:$A$300)),ROW(4:4)),3)," ")</f>
        <v xml:space="preserve"> </v>
      </c>
      <c r="N14" s="60" t="str">
        <f t="array" ref="N14">IFERROR(INDEX($A$1:$D$300,SMALL(IF($A$1:$A$300=$I$3,ROW($A$1:$A$300)),ROW(4:4)),3)," ")</f>
        <v xml:space="preserve"> </v>
      </c>
      <c r="O14" s="60" t="str">
        <f t="array" ref="O14">IFERROR(INDEX($A$1:$D$300,SMALL(IF($A$1:$A$300=$J$3,ROW($A$1:$A$300)),ROW(4:4)),3)," ")</f>
        <v xml:space="preserve"> </v>
      </c>
      <c r="P14" s="60" t="str">
        <f t="array" ref="P14">IFERROR(INDEX($A$1:$D$300,SMALL(IF($A$1:$A$300=$K$3,ROW($A$1:$A$300)),ROW(4:4)),3)," ")</f>
        <v xml:space="preserve"> </v>
      </c>
      <c r="Q14" s="60" t="str">
        <f t="array" ref="Q14">IFERROR(INDEX($A$1:$D$300,SMALL(IF($A$1:$A$300=$L$3,ROW($A$1:$A$300)),ROW(4:4)),3)," ")</f>
        <v xml:space="preserve"> </v>
      </c>
    </row>
    <row r="15" spans="1:20" x14ac:dyDescent="0.2">
      <c r="A15" s="51">
        <f t="shared" si="0"/>
        <v>0</v>
      </c>
      <c r="C15" s="51">
        <f>Risikoanalyse!B29</f>
        <v>15</v>
      </c>
      <c r="D15" s="51">
        <f>Risikoanalyse!I29</f>
        <v>0</v>
      </c>
      <c r="E15" s="51">
        <f>IFERROR(IF(VLOOKUP(C15,Risikolog[],22)="Risiko",Risikoanalyse!H29+101,0),"")</f>
        <v>0</v>
      </c>
      <c r="G15" s="60" t="str">
        <f t="array" ref="G15">IFERROR(INDEX($A$1:$C$300,SMALL(IF($A$1:$A$300=H$2,ROW($A$1:$A$300)),ROW(5:5)),3)," ")</f>
        <v xml:space="preserve"> </v>
      </c>
      <c r="H15" s="60" t="str">
        <f t="array" ref="H15">IFERROR(INDEX($A$1:$C$300,SMALL(IF($A$1:$A$300=I$2,ROW($A$1:$A$300)),ROW(5:5)),3)," ")</f>
        <v xml:space="preserve"> </v>
      </c>
      <c r="I15" s="60" t="str">
        <f t="array" ref="I15">IFERROR(INDEX($A$1:$C$300,SMALL(IF($A$1:$A$300=J$2,ROW($A$1:$A$300)),ROW(5:5)),3)," ")</f>
        <v xml:space="preserve"> </v>
      </c>
      <c r="J15" s="60" t="str">
        <f t="array" ref="J15">IFERROR(INDEX($A$1:$C$300,SMALL(IF($A$1:$A$300=K$2,ROW($A$1:$A$300)),ROW(5:5)),3)," ")</f>
        <v xml:space="preserve"> </v>
      </c>
      <c r="K15" s="60" t="str">
        <f t="array" ref="K15">IFERROR(INDEX($A$1:$C$300,SMALL(IF($A$1:$A$300=L$2,ROW($A$1:$A$300)),ROW(5:5)),3)," ")</f>
        <v xml:space="preserve"> </v>
      </c>
      <c r="M15" s="60" t="str">
        <f t="array" ref="M15">IFERROR(INDEX($A$1:$D$300,SMALL(IF($A$1:$A$300=$H$3,ROW($A$1:$A$300)),ROW(5:5)),3)," ")</f>
        <v xml:space="preserve"> </v>
      </c>
      <c r="N15" s="60" t="str">
        <f t="array" ref="N15">IFERROR(INDEX($A$1:$D$300,SMALL(IF($A$1:$A$300=$I$3,ROW($A$1:$A$300)),ROW(5:5)),3)," ")</f>
        <v xml:space="preserve"> </v>
      </c>
      <c r="O15" s="60" t="str">
        <f t="array" ref="O15">IFERROR(INDEX($A$1:$D$300,SMALL(IF($A$1:$A$300=$J$3,ROW($A$1:$A$300)),ROW(5:5)),3)," ")</f>
        <v xml:space="preserve"> </v>
      </c>
      <c r="P15" s="60" t="str">
        <f t="array" ref="P15">IFERROR(INDEX($A$1:$D$300,SMALL(IF($A$1:$A$300=$K$3,ROW($A$1:$A$300)),ROW(5:5)),3)," ")</f>
        <v xml:space="preserve"> </v>
      </c>
      <c r="Q15" s="60" t="str">
        <f t="array" ref="Q15">IFERROR(INDEX($A$1:$D$300,SMALL(IF($A$1:$A$300=$L$3,ROW($A$1:$A$300)),ROW(5:5)),3)," ")</f>
        <v xml:space="preserve"> </v>
      </c>
    </row>
    <row r="16" spans="1:20" x14ac:dyDescent="0.2">
      <c r="A16" s="51">
        <f t="shared" si="0"/>
        <v>0</v>
      </c>
      <c r="C16" s="51">
        <f>Risikoanalyse!B30</f>
        <v>16</v>
      </c>
      <c r="D16" s="51">
        <f>Risikoanalyse!I30</f>
        <v>0</v>
      </c>
      <c r="E16" s="51">
        <f>IFERROR(IF(VLOOKUP(C16,Risikolog[],22)="Risiko",Risikoanalyse!H30+101,0),"")</f>
        <v>0</v>
      </c>
      <c r="G16" s="60" t="str">
        <f t="array" ref="G16">IFERROR(INDEX($A$1:$C$300,SMALL(IF($A$1:$A$300=H$2,ROW($A$1:$A$300)),ROW(6:6)),3)," ")</f>
        <v xml:space="preserve"> </v>
      </c>
      <c r="H16" s="60" t="str">
        <f t="array" ref="H16">IFERROR(INDEX($A$1:$C$300,SMALL(IF($A$1:$A$300=I$2,ROW($A$1:$A$300)),ROW(6:6)),3)," ")</f>
        <v xml:space="preserve"> </v>
      </c>
      <c r="I16" s="60" t="str">
        <f t="array" ref="I16">IFERROR(INDEX($A$1:$C$300,SMALL(IF($A$1:$A$300=J$2,ROW($A$1:$A$300)),ROW(6:6)),3)," ")</f>
        <v xml:space="preserve"> </v>
      </c>
      <c r="J16" s="60" t="str">
        <f t="array" ref="J16">IFERROR(INDEX($A$1:$C$300,SMALL(IF($A$1:$A$300=K$2,ROW($A$1:$A$300)),ROW(6:6)),3)," ")</f>
        <v xml:space="preserve"> </v>
      </c>
      <c r="K16" s="60" t="str">
        <f t="array" ref="K16">IFERROR(INDEX($A$1:$C$300,SMALL(IF($A$1:$A$300=L$2,ROW($A$1:$A$300)),ROW(6:6)),3)," ")</f>
        <v xml:space="preserve"> </v>
      </c>
      <c r="M16" s="60" t="str">
        <f t="array" ref="M16">IFERROR(INDEX($A$1:$D$300,SMALL(IF($A$1:$A$300=$H$3,ROW($A$1:$A$300)),ROW(6:6)),3)," ")</f>
        <v xml:space="preserve"> </v>
      </c>
      <c r="N16" s="60" t="str">
        <f t="array" ref="N16">IFERROR(INDEX($A$1:$D$300,SMALL(IF($A$1:$A$300=$I$3,ROW($A$1:$A$300)),ROW(6:6)),3)," ")</f>
        <v xml:space="preserve"> </v>
      </c>
      <c r="O16" s="60" t="str">
        <f t="array" ref="O16">IFERROR(INDEX($A$1:$D$300,SMALL(IF($A$1:$A$300=$J$3,ROW($A$1:$A$300)),ROW(6:6)),3)," ")</f>
        <v xml:space="preserve"> </v>
      </c>
      <c r="P16" s="60" t="str">
        <f t="array" ref="P16">IFERROR(INDEX($A$1:$D$300,SMALL(IF($A$1:$A$300=$K$3,ROW($A$1:$A$300)),ROW(6:6)),3)," ")</f>
        <v xml:space="preserve"> </v>
      </c>
      <c r="Q16" s="60" t="str">
        <f t="array" ref="Q16">IFERROR(INDEX($A$1:$D$300,SMALL(IF($A$1:$A$300=$L$3,ROW($A$1:$A$300)),ROW(6:6)),3)," ")</f>
        <v xml:space="preserve"> </v>
      </c>
    </row>
    <row r="17" spans="1:17" x14ac:dyDescent="0.2">
      <c r="A17" s="51">
        <f t="shared" si="0"/>
        <v>0</v>
      </c>
      <c r="C17" s="51">
        <f>Risikoanalyse!B31</f>
        <v>17</v>
      </c>
      <c r="D17" s="51">
        <f>Risikoanalyse!I31</f>
        <v>0</v>
      </c>
      <c r="E17" s="51">
        <f>IFERROR(IF(VLOOKUP(C17,Risikolog[],22)="Risiko",Risikoanalyse!H31+101,0),"")</f>
        <v>0</v>
      </c>
      <c r="G17" s="60" t="str">
        <f t="array" ref="G17">IFERROR(INDEX($A$1:$C$300,SMALL(IF($A$1:$A$300=H$2,ROW($A$1:$A$300)),ROW(7:7)),3)," ")</f>
        <v xml:space="preserve"> </v>
      </c>
      <c r="H17" s="60" t="str">
        <f t="array" ref="H17">IFERROR(INDEX($A$1:$C$300,SMALL(IF($A$1:$A$300=I$2,ROW($A$1:$A$300)),ROW(7:7)),3)," ")</f>
        <v xml:space="preserve"> </v>
      </c>
      <c r="I17" s="60" t="str">
        <f t="array" ref="I17">IFERROR(INDEX($A$1:$C$300,SMALL(IF($A$1:$A$300=J$2,ROW($A$1:$A$300)),ROW(7:7)),3)," ")</f>
        <v xml:space="preserve"> </v>
      </c>
      <c r="J17" s="60" t="str">
        <f t="array" ref="J17">IFERROR(INDEX($A$1:$C$300,SMALL(IF($A$1:$A$300=K$2,ROW($A$1:$A$300)),ROW(7:7)),3)," ")</f>
        <v xml:space="preserve"> </v>
      </c>
      <c r="K17" s="60" t="str">
        <f t="array" ref="K17">IFERROR(INDEX($A$1:$C$300,SMALL(IF($A$1:$A$300=L$2,ROW($A$1:$A$300)),ROW(7:7)),3)," ")</f>
        <v xml:space="preserve"> </v>
      </c>
      <c r="M17" s="60" t="str">
        <f t="array" ref="M17">IFERROR(INDEX($A$1:$D$300,SMALL(IF($A$1:$A$300=$H$3,ROW($A$1:$A$300)),ROW(7:7)),3)," ")</f>
        <v xml:space="preserve"> </v>
      </c>
      <c r="N17" s="60" t="str">
        <f t="array" ref="N17">IFERROR(INDEX($A$1:$D$300,SMALL(IF($A$1:$A$300=$I$3,ROW($A$1:$A$300)),ROW(7:7)),3)," ")</f>
        <v xml:space="preserve"> </v>
      </c>
      <c r="O17" s="60" t="str">
        <f t="array" ref="O17">IFERROR(INDEX($A$1:$D$300,SMALL(IF($A$1:$A$300=$J$3,ROW($A$1:$A$300)),ROW(7:7)),3)," ")</f>
        <v xml:space="preserve"> </v>
      </c>
      <c r="P17" s="60" t="str">
        <f t="array" ref="P17">IFERROR(INDEX($A$1:$D$300,SMALL(IF($A$1:$A$300=$K$3,ROW($A$1:$A$300)),ROW(7:7)),3)," ")</f>
        <v xml:space="preserve"> </v>
      </c>
      <c r="Q17" s="60" t="str">
        <f t="array" ref="Q17">IFERROR(INDEX($A$1:$D$300,SMALL(IF($A$1:$A$300=$L$3,ROW($A$1:$A$300)),ROW(7:7)),3)," ")</f>
        <v xml:space="preserve"> </v>
      </c>
    </row>
    <row r="18" spans="1:17" x14ac:dyDescent="0.2">
      <c r="A18" s="51">
        <f t="shared" si="0"/>
        <v>0</v>
      </c>
      <c r="C18" s="51">
        <f>Risikoanalyse!B32</f>
        <v>18</v>
      </c>
      <c r="D18" s="51">
        <f>Risikoanalyse!I32</f>
        <v>0</v>
      </c>
      <c r="E18" s="51">
        <f>IFERROR(IF(VLOOKUP(C18,Risikolog[],22)="Risiko",Risikoanalyse!H32+101,0),"")</f>
        <v>0</v>
      </c>
      <c r="G18" s="60" t="str">
        <f t="array" ref="G18">IFERROR(INDEX($A$1:$C$300,SMALL(IF($A$1:$A$300=H$2,ROW($A$1:$A$300)),ROW(8:8)),3)," ")</f>
        <v xml:space="preserve"> </v>
      </c>
      <c r="H18" s="60" t="str">
        <f t="array" ref="H18">IFERROR(INDEX($A$1:$C$300,SMALL(IF($A$1:$A$300=I$2,ROW($A$1:$A$300)),ROW(8:8)),3)," ")</f>
        <v xml:space="preserve"> </v>
      </c>
      <c r="I18" s="60" t="str">
        <f t="array" ref="I18">IFERROR(INDEX($A$1:$C$300,SMALL(IF($A$1:$A$300=J$2,ROW($A$1:$A$300)),ROW(8:8)),3)," ")</f>
        <v xml:space="preserve"> </v>
      </c>
      <c r="J18" s="60" t="str">
        <f t="array" ref="J18">IFERROR(INDEX($A$1:$C$300,SMALL(IF($A$1:$A$300=K$2,ROW($A$1:$A$300)),ROW(8:8)),3)," ")</f>
        <v xml:space="preserve"> </v>
      </c>
      <c r="K18" s="60" t="str">
        <f t="array" ref="K18">IFERROR(INDEX($A$1:$C$300,SMALL(IF($A$1:$A$300=L$2,ROW($A$1:$A$300)),ROW(8:8)),3)," ")</f>
        <v xml:space="preserve"> </v>
      </c>
      <c r="M18" s="60" t="str">
        <f t="array" ref="M18">IFERROR(INDEX($A$1:$D$300,SMALL(IF($A$1:$A$300=$H$3,ROW($A$1:$A$300)),ROW(8:8)),3)," ")</f>
        <v xml:space="preserve"> </v>
      </c>
      <c r="N18" s="60" t="str">
        <f t="array" ref="N18">IFERROR(INDEX($A$1:$D$300,SMALL(IF($A$1:$A$300=$I$3,ROW($A$1:$A$300)),ROW(8:8)),3)," ")</f>
        <v xml:space="preserve"> </v>
      </c>
      <c r="O18" s="60" t="str">
        <f t="array" ref="O18">IFERROR(INDEX($A$1:$D$300,SMALL(IF($A$1:$A$300=$J$3,ROW($A$1:$A$300)),ROW(8:8)),3)," ")</f>
        <v xml:space="preserve"> </v>
      </c>
      <c r="P18" s="60" t="str">
        <f t="array" ref="P18">IFERROR(INDEX($A$1:$D$300,SMALL(IF($A$1:$A$300=$K$3,ROW($A$1:$A$300)),ROW(8:8)),3)," ")</f>
        <v xml:space="preserve"> </v>
      </c>
      <c r="Q18" s="60" t="str">
        <f t="array" ref="Q18">IFERROR(INDEX($A$1:$D$300,SMALL(IF($A$1:$A$300=$L$3,ROW($A$1:$A$300)),ROW(8:8)),3)," ")</f>
        <v xml:space="preserve"> </v>
      </c>
    </row>
    <row r="19" spans="1:17" x14ac:dyDescent="0.2">
      <c r="A19" s="51">
        <f t="shared" si="0"/>
        <v>0</v>
      </c>
      <c r="C19" s="51">
        <f>Risikoanalyse!B33</f>
        <v>19</v>
      </c>
      <c r="D19" s="51">
        <f>Risikoanalyse!I33</f>
        <v>0</v>
      </c>
      <c r="E19" s="51">
        <f>IFERROR(IF(VLOOKUP(C19,Risikolog[],22)="Risiko",Risikoanalyse!H33+101,0),"")</f>
        <v>0</v>
      </c>
      <c r="G19" s="60" t="str">
        <f t="array" ref="G19">IFERROR(INDEX($A$1:$C$300,SMALL(IF($A$1:$A$300=H$2,ROW($A$1:$A$300)),ROW(9:9)),3)," ")</f>
        <v xml:space="preserve"> </v>
      </c>
      <c r="H19" s="60" t="str">
        <f t="array" ref="H19">IFERROR(INDEX($A$1:$C$300,SMALL(IF($A$1:$A$300=I$2,ROW($A$1:$A$300)),ROW(9:9)),3)," ")</f>
        <v xml:space="preserve"> </v>
      </c>
      <c r="I19" s="60" t="str">
        <f t="array" ref="I19">IFERROR(INDEX($A$1:$C$300,SMALL(IF($A$1:$A$300=J$2,ROW($A$1:$A$300)),ROW(9:9)),3)," ")</f>
        <v xml:space="preserve"> </v>
      </c>
      <c r="J19" s="60" t="str">
        <f t="array" ref="J19">IFERROR(INDEX($A$1:$C$300,SMALL(IF($A$1:$A$300=K$2,ROW($A$1:$A$300)),ROW(9:9)),3)," ")</f>
        <v xml:space="preserve"> </v>
      </c>
      <c r="K19" s="60" t="str">
        <f t="array" ref="K19">IFERROR(INDEX($A$1:$C$300,SMALL(IF($A$1:$A$300=L$2,ROW($A$1:$A$300)),ROW(9:9)),3)," ")</f>
        <v xml:space="preserve"> </v>
      </c>
      <c r="M19" s="60" t="str">
        <f t="array" ref="M19">IFERROR(INDEX($A$1:$D$300,SMALL(IF($A$1:$A$300=$H$3,ROW($A$1:$A$300)),ROW(9:9)),3)," ")</f>
        <v xml:space="preserve"> </v>
      </c>
      <c r="N19" s="60" t="str">
        <f t="array" ref="N19">IFERROR(INDEX($A$1:$D$300,SMALL(IF($A$1:$A$300=$I$3,ROW($A$1:$A$300)),ROW(9:9)),3)," ")</f>
        <v xml:space="preserve"> </v>
      </c>
      <c r="O19" s="60" t="str">
        <f t="array" ref="O19">IFERROR(INDEX($A$1:$D$300,SMALL(IF($A$1:$A$300=$J$3,ROW($A$1:$A$300)),ROW(9:9)),3)," ")</f>
        <v xml:space="preserve"> </v>
      </c>
      <c r="P19" s="60" t="str">
        <f t="array" ref="P19">IFERROR(INDEX($A$1:$D$300,SMALL(IF($A$1:$A$300=$K$3,ROW($A$1:$A$300)),ROW(9:9)),3)," ")</f>
        <v xml:space="preserve"> </v>
      </c>
      <c r="Q19" s="60" t="str">
        <f t="array" ref="Q19">IFERROR(INDEX($A$1:$D$300,SMALL(IF($A$1:$A$300=$L$3,ROW($A$1:$A$300)),ROW(9:9)),3)," ")</f>
        <v xml:space="preserve"> </v>
      </c>
    </row>
    <row r="20" spans="1:17" x14ac:dyDescent="0.2">
      <c r="A20" s="51">
        <f t="shared" si="0"/>
        <v>0</v>
      </c>
      <c r="C20" s="51">
        <f>Risikoanalyse!B34</f>
        <v>20</v>
      </c>
      <c r="D20" s="51">
        <f>Risikoanalyse!I34</f>
        <v>0</v>
      </c>
      <c r="E20" s="51">
        <f>IFERROR(IF(VLOOKUP(C20,Risikolog[],22)="Risiko",Risikoanalyse!H34+101,0),"")</f>
        <v>0</v>
      </c>
    </row>
    <row r="21" spans="1:17" x14ac:dyDescent="0.2">
      <c r="A21" s="51">
        <f t="shared" si="0"/>
        <v>0</v>
      </c>
      <c r="C21" s="51">
        <f>Risikoanalyse!B35</f>
        <v>21</v>
      </c>
      <c r="D21" s="51">
        <f>Risikoanalyse!I35</f>
        <v>0</v>
      </c>
      <c r="E21" s="51">
        <f>IFERROR(IF(VLOOKUP(C21,Risikolog[],22)="Risiko",Risikoanalyse!H35+101,0),"")</f>
        <v>0</v>
      </c>
      <c r="G21" s="58">
        <v>306</v>
      </c>
      <c r="H21" s="58">
        <v>309</v>
      </c>
      <c r="I21" s="58">
        <v>312</v>
      </c>
      <c r="J21" s="58">
        <v>315</v>
      </c>
      <c r="K21" s="58">
        <v>318</v>
      </c>
      <c r="M21" s="58">
        <v>204</v>
      </c>
      <c r="N21" s="58">
        <v>206</v>
      </c>
      <c r="O21" s="58">
        <v>208</v>
      </c>
      <c r="P21" s="58">
        <v>210</v>
      </c>
      <c r="Q21" s="58">
        <v>212</v>
      </c>
    </row>
    <row r="22" spans="1:17" x14ac:dyDescent="0.2">
      <c r="A22" s="51">
        <f t="shared" si="0"/>
        <v>0</v>
      </c>
      <c r="C22" s="51">
        <f>Risikoanalyse!B36</f>
        <v>22</v>
      </c>
      <c r="D22" s="51">
        <f>Risikoanalyse!I36</f>
        <v>0</v>
      </c>
      <c r="E22" s="51">
        <f>IFERROR(IF(VLOOKUP(C22,Risikolog[],22)="Risiko",Risikoanalyse!H36+101,0),"")</f>
        <v>0</v>
      </c>
      <c r="G22" s="60" t="str">
        <f t="array" ref="G22">IFERROR(INDEX($A$1:$D$300,SMALL(IF($A$1:$A$300=$H$4,ROW($A$1:$A$300)),ROW(1:1)),3)," ")</f>
        <v xml:space="preserve"> </v>
      </c>
      <c r="H22" s="60" t="str">
        <f t="array" ref="H22">IFERROR(INDEX($A$1:$D$300,SMALL(IF($A$1:$A$300=$I$4,ROW($A$1:$A$300)),ROW(1:1)),3)," ")</f>
        <v xml:space="preserve"> </v>
      </c>
      <c r="I22" s="60" t="str">
        <f t="array" ref="I22">IFERROR(INDEX($A$1:$D$300,SMALL(IF($A$1:$A$300=$J$4,ROW($A$1:$A$300)),ROW(1:1)),3)," ")</f>
        <v xml:space="preserve"> </v>
      </c>
      <c r="J22" s="60" t="str">
        <f t="array" ref="J22">IFERROR(INDEX($A$1:$D$300,SMALL(IF($A$1:$A$300=$K$4,ROW($A$1:$A$300)),ROW(1:1)),3)," ")</f>
        <v xml:space="preserve"> </v>
      </c>
      <c r="K22" s="60" t="str">
        <f t="array" ref="K22">IFERROR(INDEX($A$1:$D$300,SMALL(IF($A$1:$A$300=$L$4,ROW($A$1:$A$300)),ROW(1:1)),3)," ")</f>
        <v xml:space="preserve"> </v>
      </c>
      <c r="M22" s="60" t="str">
        <f t="array" ref="M22">IFERROR(INDEX($A$1:$D$300,SMALL(IF($A$1:$A$300=$H$5,ROW($A$1:$A$300)),ROW(1:1)),3)," ")</f>
        <v xml:space="preserve"> </v>
      </c>
      <c r="N22" s="60" t="str">
        <f t="array" ref="N22">IFERROR(INDEX($A$1:$D$300,SMALL(IF($A$1:$A$300=$I$5,ROW($A$1:$A$300)),ROW(1:1)),3)," ")</f>
        <v xml:space="preserve"> </v>
      </c>
      <c r="O22" s="60" t="str">
        <f t="array" ref="O22">IFERROR(INDEX($A$1:$D$300,SMALL(IF($A$1:$A$300=$J$5,ROW($A$1:$A$300)),ROW(1:1)),3)," ")</f>
        <v xml:space="preserve"> </v>
      </c>
      <c r="P22" s="60" t="str">
        <f t="array" ref="P22">IFERROR(INDEX($A$1:$D$300,SMALL(IF($A$1:$A$300=$K$5,ROW($A$1:$A$300)),ROW(1:1)),3)," ")</f>
        <v xml:space="preserve"> </v>
      </c>
      <c r="Q22" s="60" t="str">
        <f t="array" ref="Q22">IFERROR(INDEX($A$1:$D$300,SMALL(IF($A$1:$A$300=$L$5,ROW($A$1:$A$300)),ROW(1:1)),3)," ")</f>
        <v xml:space="preserve"> </v>
      </c>
    </row>
    <row r="23" spans="1:17" x14ac:dyDescent="0.2">
      <c r="A23" s="51">
        <f t="shared" si="0"/>
        <v>0</v>
      </c>
      <c r="C23" s="51">
        <f>Risikoanalyse!B37</f>
        <v>23</v>
      </c>
      <c r="D23" s="51">
        <f>Risikoanalyse!I37</f>
        <v>0</v>
      </c>
      <c r="E23" s="51">
        <f>IFERROR(IF(VLOOKUP(C23,Risikolog[],22)="Risiko",Risikoanalyse!H37+101,0),"")</f>
        <v>0</v>
      </c>
      <c r="G23" s="60" t="str">
        <f t="array" ref="G23">IFERROR(INDEX($A$1:$D$300,SMALL(IF($A$1:$A$300=$H$4,ROW($A$1:$A$300)),ROW(2:2)),3)," ")</f>
        <v xml:space="preserve"> </v>
      </c>
      <c r="H23" s="60" t="str">
        <f t="array" ref="H23">IFERROR(INDEX($A$1:$D$300,SMALL(IF($A$1:$A$300=$I$4,ROW($A$1:$A$300)),ROW(2:2)),3)," ")</f>
        <v xml:space="preserve"> </v>
      </c>
      <c r="I23" s="60" t="str">
        <f t="array" ref="I23">IFERROR(INDEX($A$1:$D$300,SMALL(IF($A$1:$A$300=$J$4,ROW($A$1:$A$300)),ROW(2:2)),3)," ")</f>
        <v xml:space="preserve"> </v>
      </c>
      <c r="J23" s="60" t="str">
        <f t="array" ref="J23">IFERROR(INDEX($A$1:$D$300,SMALL(IF($A$1:$A$300=$K$4,ROW($A$1:$A$300)),ROW(2:2)),3)," ")</f>
        <v xml:space="preserve"> </v>
      </c>
      <c r="K23" s="60" t="str">
        <f t="array" ref="K23">IFERROR(INDEX($A$1:$D$300,SMALL(IF($A$1:$A$300=$L$4,ROW($A$1:$A$300)),ROW(2:2)),3)," ")</f>
        <v xml:space="preserve"> </v>
      </c>
      <c r="M23" s="60" t="str">
        <f t="array" ref="M23">IFERROR(INDEX($A$1:$D$300,SMALL(IF($A$1:$A$300=$H$5,ROW($A$1:$A$300)),ROW(2:2)),3)," ")</f>
        <v xml:space="preserve"> </v>
      </c>
      <c r="N23" s="60" t="str">
        <f t="array" ref="N23">IFERROR(INDEX($A$1:$D$300,SMALL(IF($A$1:$A$300=$I$5,ROW($A$1:$A$300)),ROW(2:2)),3)," ")</f>
        <v xml:space="preserve"> </v>
      </c>
      <c r="O23" s="60" t="str">
        <f t="array" ref="O23">IFERROR(INDEX($A$1:$D$300,SMALL(IF($A$1:$A$300=$J$5,ROW($A$1:$A$300)),ROW(2:2)),3)," ")</f>
        <v xml:space="preserve"> </v>
      </c>
      <c r="P23" s="60" t="str">
        <f t="array" ref="P23">IFERROR(INDEX($A$1:$D$300,SMALL(IF($A$1:$A$300=$K$5,ROW($A$1:$A$300)),ROW(2:2)),3)," ")</f>
        <v xml:space="preserve"> </v>
      </c>
      <c r="Q23" s="60" t="str">
        <f t="array" ref="Q23">IFERROR(INDEX($A$1:$D$300,SMALL(IF($A$1:$A$300=$L$5,ROW($A$1:$A$300)),ROW(2:2)),3)," ")</f>
        <v xml:space="preserve"> </v>
      </c>
    </row>
    <row r="24" spans="1:17" x14ac:dyDescent="0.2">
      <c r="A24" s="51">
        <f t="shared" si="0"/>
        <v>0</v>
      </c>
      <c r="C24" s="51">
        <f>Risikoanalyse!B38</f>
        <v>24</v>
      </c>
      <c r="D24" s="51">
        <f>Risikoanalyse!I38</f>
        <v>0</v>
      </c>
      <c r="E24" s="51">
        <f>IFERROR(IF(VLOOKUP(C24,Risikolog[],22)="Risiko",Risikoanalyse!H38+101,0),"")</f>
        <v>0</v>
      </c>
      <c r="G24" s="60" t="str">
        <f t="array" ref="G24">IFERROR(INDEX($A$1:$D$300,SMALL(IF($A$1:$A$300=$H$4,ROW($A$1:$A$300)),ROW(3:3)),3)," ")</f>
        <v xml:space="preserve"> </v>
      </c>
      <c r="H24" s="60" t="str">
        <f t="array" ref="H24">IFERROR(INDEX($A$1:$D$300,SMALL(IF($A$1:$A$300=$I$4,ROW($A$1:$A$300)),ROW(3:3)),3)," ")</f>
        <v xml:space="preserve"> </v>
      </c>
      <c r="I24" s="60" t="str">
        <f t="array" ref="I24">IFERROR(INDEX($A$1:$D$300,SMALL(IF($A$1:$A$300=$J$4,ROW($A$1:$A$300)),ROW(3:3)),3)," ")</f>
        <v xml:space="preserve"> </v>
      </c>
      <c r="J24" s="60" t="str">
        <f t="array" ref="J24">IFERROR(INDEX($A$1:$D$300,SMALL(IF($A$1:$A$300=$K$4,ROW($A$1:$A$300)),ROW(3:3)),3)," ")</f>
        <v xml:space="preserve"> </v>
      </c>
      <c r="K24" s="60" t="str">
        <f t="array" ref="K24">IFERROR(INDEX($A$1:$D$300,SMALL(IF($A$1:$A$300=$L$4,ROW($A$1:$A$300)),ROW(3:3)),3)," ")</f>
        <v xml:space="preserve"> </v>
      </c>
      <c r="M24" s="60" t="str">
        <f t="array" ref="M24">IFERROR(INDEX($A$1:$D$300,SMALL(IF($A$1:$A$300=$H$5,ROW($A$1:$A$300)),ROW(3:3)),3)," ")</f>
        <v xml:space="preserve"> </v>
      </c>
      <c r="N24" s="60" t="str">
        <f t="array" ref="N24">IFERROR(INDEX($A$1:$D$300,SMALL(IF($A$1:$A$300=$I$5,ROW($A$1:$A$300)),ROW(3:3)),3)," ")</f>
        <v xml:space="preserve"> </v>
      </c>
      <c r="O24" s="60" t="str">
        <f t="array" ref="O24">IFERROR(INDEX($A$1:$D$300,SMALL(IF($A$1:$A$300=$J$5,ROW($A$1:$A$300)),ROW(3:3)),3)," ")</f>
        <v xml:space="preserve"> </v>
      </c>
      <c r="P24" s="60" t="str">
        <f t="array" ref="P24">IFERROR(INDEX($A$1:$D$300,SMALL(IF($A$1:$A$300=$K$5,ROW($A$1:$A$300)),ROW(3:3)),3)," ")</f>
        <v xml:space="preserve"> </v>
      </c>
      <c r="Q24" s="60" t="str">
        <f t="array" ref="Q24">IFERROR(INDEX($A$1:$D$300,SMALL(IF($A$1:$A$300=$L$5,ROW($A$1:$A$300)),ROW(3:3)),3)," ")</f>
        <v xml:space="preserve"> </v>
      </c>
    </row>
    <row r="25" spans="1:17" x14ac:dyDescent="0.2">
      <c r="A25" s="51">
        <f t="shared" si="0"/>
        <v>0</v>
      </c>
      <c r="C25" s="51">
        <f>Risikoanalyse!B39</f>
        <v>25</v>
      </c>
      <c r="D25" s="51">
        <f>Risikoanalyse!I39</f>
        <v>0</v>
      </c>
      <c r="E25" s="51">
        <f>IFERROR(IF(VLOOKUP(C25,Risikolog[],22)="Risiko",Risikoanalyse!H39+101,0),"")</f>
        <v>0</v>
      </c>
      <c r="G25" s="60" t="str">
        <f t="array" ref="G25">IFERROR(INDEX($A$1:$D$300,SMALL(IF($A$1:$A$300=$H$4,ROW($A$1:$A$300)),ROW(4:4)),3)," ")</f>
        <v xml:space="preserve"> </v>
      </c>
      <c r="H25" s="60" t="str">
        <f t="array" ref="H25">IFERROR(INDEX($A$1:$D$300,SMALL(IF($A$1:$A$300=$I$4,ROW($A$1:$A$300)),ROW(4:4)),3)," ")</f>
        <v xml:space="preserve"> </v>
      </c>
      <c r="I25" s="60" t="str">
        <f t="array" ref="I25">IFERROR(INDEX($A$1:$D$300,SMALL(IF($A$1:$A$300=$J$4,ROW($A$1:$A$300)),ROW(4:4)),3)," ")</f>
        <v xml:space="preserve"> </v>
      </c>
      <c r="J25" s="60" t="str">
        <f t="array" ref="J25">IFERROR(INDEX($A$1:$D$300,SMALL(IF($A$1:$A$300=$K$4,ROW($A$1:$A$300)),ROW(4:4)),3)," ")</f>
        <v xml:space="preserve"> </v>
      </c>
      <c r="K25" s="60" t="str">
        <f t="array" ref="K25">IFERROR(INDEX($A$1:$D$300,SMALL(IF($A$1:$A$300=$L$4,ROW($A$1:$A$300)),ROW(4:4)),3)," ")</f>
        <v xml:space="preserve"> </v>
      </c>
      <c r="M25" s="60" t="str">
        <f t="array" ref="M25">IFERROR(INDEX($A$1:$D$300,SMALL(IF($A$1:$A$300=$H$5,ROW($A$1:$A$300)),ROW(4:4)),3)," ")</f>
        <v xml:space="preserve"> </v>
      </c>
      <c r="N25" s="60" t="str">
        <f t="array" ref="N25">IFERROR(INDEX($A$1:$D$300,SMALL(IF($A$1:$A$300=$I$5,ROW($A$1:$A$300)),ROW(4:4)),3)," ")</f>
        <v xml:space="preserve"> </v>
      </c>
      <c r="O25" s="60" t="str">
        <f t="array" ref="O25">IFERROR(INDEX($A$1:$D$300,SMALL(IF($A$1:$A$300=$J$5,ROW($A$1:$A$300)),ROW(4:4)),3)," ")</f>
        <v xml:space="preserve"> </v>
      </c>
      <c r="P25" s="60" t="str">
        <f t="array" ref="P25">IFERROR(INDEX($A$1:$D$300,SMALL(IF($A$1:$A$300=$K$5,ROW($A$1:$A$300)),ROW(4:4)),3)," ")</f>
        <v xml:space="preserve"> </v>
      </c>
      <c r="Q25" s="60" t="str">
        <f t="array" ref="Q25">IFERROR(INDEX($A$1:$D$300,SMALL(IF($A$1:$A$300=$L$5,ROW($A$1:$A$300)),ROW(4:4)),3)," ")</f>
        <v xml:space="preserve"> </v>
      </c>
    </row>
    <row r="26" spans="1:17" x14ac:dyDescent="0.2">
      <c r="A26" s="51">
        <f t="shared" si="0"/>
        <v>0</v>
      </c>
      <c r="C26" s="51">
        <f>Risikoanalyse!B40</f>
        <v>26</v>
      </c>
      <c r="D26" s="51">
        <f>Risikoanalyse!I40</f>
        <v>0</v>
      </c>
      <c r="E26" s="51">
        <f>IFERROR(IF(VLOOKUP(C26,Risikolog[],22)="Risiko",Risikoanalyse!H40+101,0),"")</f>
        <v>0</v>
      </c>
      <c r="G26" s="60" t="str">
        <f t="array" ref="G26">IFERROR(INDEX($A$1:$D$300,SMALL(IF($A$1:$A$300=$H$4,ROW($A$1:$A$300)),ROW(5:5)),3)," ")</f>
        <v xml:space="preserve"> </v>
      </c>
      <c r="H26" s="60" t="str">
        <f t="array" ref="H26">IFERROR(INDEX($A$1:$D$300,SMALL(IF($A$1:$A$300=$I$4,ROW($A$1:$A$300)),ROW(5:5)),3)," ")</f>
        <v xml:space="preserve"> </v>
      </c>
      <c r="I26" s="60" t="str">
        <f t="array" ref="I26">IFERROR(INDEX($A$1:$D$300,SMALL(IF($A$1:$A$300=$J$4,ROW($A$1:$A$300)),ROW(5:5)),3)," ")</f>
        <v xml:space="preserve"> </v>
      </c>
      <c r="J26" s="60" t="str">
        <f t="array" ref="J26">IFERROR(INDEX($A$1:$D$300,SMALL(IF($A$1:$A$300=$K$4,ROW($A$1:$A$300)),ROW(5:5)),3)," ")</f>
        <v xml:space="preserve"> </v>
      </c>
      <c r="K26" s="60" t="str">
        <f t="array" ref="K26">IFERROR(INDEX($A$1:$D$300,SMALL(IF($A$1:$A$300=$L$4,ROW($A$1:$A$300)),ROW(5:5)),3)," ")</f>
        <v xml:space="preserve"> </v>
      </c>
      <c r="M26" s="60" t="str">
        <f t="array" ref="M26">IFERROR(INDEX($A$1:$D$300,SMALL(IF($A$1:$A$300=$H$5,ROW($A$1:$A$300)),ROW(5:5)),3)," ")</f>
        <v xml:space="preserve"> </v>
      </c>
      <c r="N26" s="60" t="str">
        <f t="array" ref="N26">IFERROR(INDEX($A$1:$D$300,SMALL(IF($A$1:$A$300=$I$5,ROW($A$1:$A$300)),ROW(5:5)),3)," ")</f>
        <v xml:space="preserve"> </v>
      </c>
      <c r="O26" s="60" t="str">
        <f t="array" ref="O26">IFERROR(INDEX($A$1:$D$300,SMALL(IF($A$1:$A$300=$J$5,ROW($A$1:$A$300)),ROW(5:5)),3)," ")</f>
        <v xml:space="preserve"> </v>
      </c>
      <c r="P26" s="60" t="str">
        <f t="array" ref="P26">IFERROR(INDEX($A$1:$D$300,SMALL(IF($A$1:$A$300=$K$5,ROW($A$1:$A$300)),ROW(5:5)),3)," ")</f>
        <v xml:space="preserve"> </v>
      </c>
      <c r="Q26" s="60" t="str">
        <f t="array" ref="Q26">IFERROR(INDEX($A$1:$D$300,SMALL(IF($A$1:$A$300=$L$5,ROW($A$1:$A$300)),ROW(5:5)),3)," ")</f>
        <v xml:space="preserve"> </v>
      </c>
    </row>
    <row r="27" spans="1:17" x14ac:dyDescent="0.2">
      <c r="A27" s="51">
        <f t="shared" si="0"/>
        <v>0</v>
      </c>
      <c r="C27" s="51">
        <f>Risikoanalyse!B41</f>
        <v>27</v>
      </c>
      <c r="D27" s="51">
        <f>Risikoanalyse!I41</f>
        <v>0</v>
      </c>
      <c r="E27" s="51">
        <f>IFERROR(IF(VLOOKUP(C27,Risikolog[],22)="Risiko",Risikoanalyse!H41+101,0),"")</f>
        <v>0</v>
      </c>
      <c r="G27" s="60"/>
      <c r="H27" s="60" t="str">
        <f t="array" ref="H27">IFERROR(INDEX($A$1:$D$300,SMALL(IF($A$1:$A$300=$I$4,ROW($A$1:$A$300)),ROW(6:6)),3)," ")</f>
        <v xml:space="preserve"> </v>
      </c>
      <c r="I27" s="60" t="str">
        <f t="array" ref="I27">IFERROR(INDEX($A$1:$D$300,SMALL(IF($A$1:$A$300=$J$4,ROW($A$1:$A$300)),ROW(6:6)),3)," ")</f>
        <v xml:space="preserve"> </v>
      </c>
      <c r="J27" s="60" t="str">
        <f t="array" ref="J27">IFERROR(INDEX($A$1:$D$300,SMALL(IF($A$1:$A$300=$K$4,ROW($A$1:$A$300)),ROW(6:6)),3)," ")</f>
        <v xml:space="preserve"> </v>
      </c>
      <c r="K27" s="60" t="str">
        <f t="array" ref="K27">IFERROR(INDEX($A$1:$D$300,SMALL(IF($A$1:$A$300=$L$4,ROW($A$1:$A$300)),ROW(6:6)),3)," ")</f>
        <v xml:space="preserve"> </v>
      </c>
      <c r="M27" s="60" t="str">
        <f t="array" ref="M27">IFERROR(INDEX($A$1:$D$300,SMALL(IF($A$1:$A$300=$H$5,ROW($A$1:$A$300)),ROW(6:6)),3)," ")</f>
        <v xml:space="preserve"> </v>
      </c>
      <c r="N27" s="60" t="str">
        <f t="array" ref="N27">IFERROR(INDEX($A$1:$D$300,SMALL(IF($A$1:$A$300=$I$5,ROW($A$1:$A$300)),ROW(6:6)),3)," ")</f>
        <v xml:space="preserve"> </v>
      </c>
      <c r="O27" s="60" t="str">
        <f t="array" ref="O27">IFERROR(INDEX($A$1:$D$300,SMALL(IF($A$1:$A$300=$J$5,ROW($A$1:$A$300)),ROW(6:6)),3)," ")</f>
        <v xml:space="preserve"> </v>
      </c>
      <c r="P27" s="60" t="str">
        <f t="array" ref="P27">IFERROR(INDEX($A$1:$D$300,SMALL(IF($A$1:$A$300=$K$5,ROW($A$1:$A$300)),ROW(6:6)),3)," ")</f>
        <v xml:space="preserve"> </v>
      </c>
      <c r="Q27" s="60" t="str">
        <f t="array" ref="Q27">IFERROR(INDEX($A$1:$D$300,SMALL(IF($A$1:$A$300=$L$5,ROW($A$1:$A$300)),ROW(6:6)),3)," ")</f>
        <v xml:space="preserve"> </v>
      </c>
    </row>
    <row r="28" spans="1:17" x14ac:dyDescent="0.2">
      <c r="A28" s="51">
        <f t="shared" si="0"/>
        <v>0</v>
      </c>
      <c r="C28" s="51">
        <f>Risikoanalyse!B42</f>
        <v>28</v>
      </c>
      <c r="D28" s="51">
        <f>Risikoanalyse!I42</f>
        <v>0</v>
      </c>
      <c r="E28" s="51">
        <f>IFERROR(IF(VLOOKUP(C28,Risikolog[],22)="Risiko",Risikoanalyse!H42+101,0),"")</f>
        <v>0</v>
      </c>
      <c r="G28" s="60" t="str">
        <f t="array" ref="G28">IFERROR(INDEX($A$1:$D$300,SMALL(IF($A$1:$A$300=$H$4,ROW($A$1:$A$300)),ROW(7:7)),3)," ")</f>
        <v xml:space="preserve"> </v>
      </c>
      <c r="H28" s="60" t="str">
        <f t="array" ref="H28">IFERROR(INDEX($A$1:$D$300,SMALL(IF($A$1:$A$300=$I$4,ROW($A$1:$A$300)),ROW(7:7)),3)," ")</f>
        <v xml:space="preserve"> </v>
      </c>
      <c r="I28" s="60" t="str">
        <f t="array" ref="I28">IFERROR(INDEX($A$1:$D$300,SMALL(IF($A$1:$A$300=$J$4,ROW($A$1:$A$300)),ROW(7:7)),3)," ")</f>
        <v xml:space="preserve"> </v>
      </c>
      <c r="J28" s="60" t="str">
        <f t="array" ref="J28">IFERROR(INDEX($A$1:$D$300,SMALL(IF($A$1:$A$300=$K$4,ROW($A$1:$A$300)),ROW(7:7)),3)," ")</f>
        <v xml:space="preserve"> </v>
      </c>
      <c r="K28" s="60" t="str">
        <f t="array" ref="K28">IFERROR(INDEX($A$1:$D$300,SMALL(IF($A$1:$A$300=$L$4,ROW($A$1:$A$300)),ROW(7:7)),3)," ")</f>
        <v xml:space="preserve"> </v>
      </c>
      <c r="M28" s="60" t="str">
        <f t="array" ref="M28">IFERROR(INDEX($A$1:$D$300,SMALL(IF($A$1:$A$300=$H$5,ROW($A$1:$A$300)),ROW(7:7)),3)," ")</f>
        <v xml:space="preserve"> </v>
      </c>
      <c r="N28" s="60" t="str">
        <f t="array" ref="N28">IFERROR(INDEX($A$1:$D$300,SMALL(IF($A$1:$A$300=$I$5,ROW($A$1:$A$300)),ROW(7:7)),3)," ")</f>
        <v xml:space="preserve"> </v>
      </c>
      <c r="O28" s="60" t="str">
        <f t="array" ref="O28">IFERROR(INDEX($A$1:$D$300,SMALL(IF($A$1:$A$300=$J$5,ROW($A$1:$A$300)),ROW(7:7)),3)," ")</f>
        <v xml:space="preserve"> </v>
      </c>
      <c r="P28" s="60" t="str">
        <f t="array" ref="P28">IFERROR(INDEX($A$1:$D$300,SMALL(IF($A$1:$A$300=$K$5,ROW($A$1:$A$300)),ROW(7:7)),3)," ")</f>
        <v xml:space="preserve"> </v>
      </c>
      <c r="Q28" s="60" t="str">
        <f t="array" ref="Q28">IFERROR(INDEX($A$1:$D$300,SMALL(IF($A$1:$A$300=$L$5,ROW($A$1:$A$300)),ROW(7:7)),3)," ")</f>
        <v xml:space="preserve"> </v>
      </c>
    </row>
    <row r="29" spans="1:17" x14ac:dyDescent="0.2">
      <c r="A29" s="51">
        <f t="shared" si="0"/>
        <v>0</v>
      </c>
      <c r="C29" s="51">
        <f>Risikoanalyse!B43</f>
        <v>29</v>
      </c>
      <c r="D29" s="51">
        <f>Risikoanalyse!I43</f>
        <v>0</v>
      </c>
      <c r="E29" s="51">
        <f>IFERROR(IF(VLOOKUP(C29,Risikolog[],22)="Risiko",Risikoanalyse!H43+101,0),"")</f>
        <v>0</v>
      </c>
      <c r="G29" s="60" t="str">
        <f t="array" ref="G29">IFERROR(INDEX($A$1:$D$300,SMALL(IF($A$1:$A$300=$H$4,ROW($A$1:$A$300)),ROW(8:8)),3)," ")</f>
        <v xml:space="preserve"> </v>
      </c>
      <c r="H29" s="60" t="str">
        <f t="array" ref="H29">IFERROR(INDEX($A$1:$D$300,SMALL(IF($A$1:$A$300=$I$4,ROW($A$1:$A$300)),ROW(8:8)),3)," ")</f>
        <v xml:space="preserve"> </v>
      </c>
      <c r="I29" s="60" t="str">
        <f t="array" ref="I29">IFERROR(INDEX($A$1:$D$300,SMALL(IF($A$1:$A$300=$J$4,ROW($A$1:$A$300)),ROW(8:8)),3)," ")</f>
        <v xml:space="preserve"> </v>
      </c>
      <c r="J29" s="60" t="str">
        <f t="array" ref="J29">IFERROR(INDEX($A$1:$D$300,SMALL(IF($A$1:$A$300=$K$4,ROW($A$1:$A$300)),ROW(8:8)),3)," ")</f>
        <v xml:space="preserve"> </v>
      </c>
      <c r="K29" s="60" t="str">
        <f t="array" ref="K29">IFERROR(INDEX($A$1:$D$300,SMALL(IF($A$1:$A$300=$L$4,ROW($A$1:$A$300)),ROW(8:8)),3)," ")</f>
        <v xml:space="preserve"> </v>
      </c>
      <c r="M29" s="60" t="str">
        <f t="array" ref="M29">IFERROR(INDEX($A$1:$D$300,SMALL(IF($A$1:$A$300=$H$5,ROW($A$1:$A$300)),ROW(8:8)),3)," ")</f>
        <v xml:space="preserve"> </v>
      </c>
      <c r="N29" s="60" t="str">
        <f t="array" ref="N29">IFERROR(INDEX($A$1:$D$300,SMALL(IF($A$1:$A$300=$I$5,ROW($A$1:$A$300)),ROW(8:8)),3)," ")</f>
        <v xml:space="preserve"> </v>
      </c>
      <c r="O29" s="60" t="str">
        <f t="array" ref="O29">IFERROR(INDEX($A$1:$D$300,SMALL(IF($A$1:$A$300=$J$5,ROW($A$1:$A$300)),ROW(8:8)),3)," ")</f>
        <v xml:space="preserve"> </v>
      </c>
      <c r="P29" s="60" t="str">
        <f t="array" ref="P29">IFERROR(INDEX($A$1:$D$300,SMALL(IF($A$1:$A$300=$K$5,ROW($A$1:$A$300)),ROW(8:8)),3)," ")</f>
        <v xml:space="preserve"> </v>
      </c>
      <c r="Q29" s="60" t="str">
        <f t="array" ref="Q29">IFERROR(INDEX($A$1:$D$300,SMALL(IF($A$1:$A$300=$L$5,ROW($A$1:$A$300)),ROW(8:8)),3)," ")</f>
        <v xml:space="preserve"> </v>
      </c>
    </row>
    <row r="30" spans="1:17" x14ac:dyDescent="0.2">
      <c r="A30" s="51">
        <f t="shared" si="0"/>
        <v>0</v>
      </c>
      <c r="C30" s="51">
        <f>Risikoanalyse!B44</f>
        <v>30</v>
      </c>
      <c r="D30" s="51">
        <f>Risikoanalyse!I44</f>
        <v>0</v>
      </c>
      <c r="E30" s="51">
        <f>IFERROR(IF(VLOOKUP(C30,Risikolog[],22)="Risiko",Risikoanalyse!H44+101,0),"")</f>
        <v>0</v>
      </c>
      <c r="G30" s="60" t="str">
        <f t="array" ref="G30">IFERROR(INDEX($A$1:$D$300,SMALL(IF($A$1:$A$300=$H$4,ROW($A$1:$A$300)),ROW(9:9)),3)," ")</f>
        <v xml:space="preserve"> </v>
      </c>
      <c r="H30" s="60" t="str">
        <f t="array" ref="H30">IFERROR(INDEX($A$1:$D$300,SMALL(IF($A$1:$A$300=$I$4,ROW($A$1:$A$300)),ROW(9:9)),3)," ")</f>
        <v xml:space="preserve"> </v>
      </c>
      <c r="I30" s="60" t="str">
        <f t="array" ref="I30">IFERROR(INDEX($A$1:$D$300,SMALL(IF($A$1:$A$300=$J$4,ROW($A$1:$A$300)),ROW(9:9)),3)," ")</f>
        <v xml:space="preserve"> </v>
      </c>
      <c r="J30" s="60" t="str">
        <f t="array" ref="J30">IFERROR(INDEX($A$1:$D$300,SMALL(IF($A$1:$A$300=$K$4,ROW($A$1:$A$300)),ROW(9:9)),3)," ")</f>
        <v xml:space="preserve"> </v>
      </c>
      <c r="K30" s="60" t="str">
        <f t="array" ref="K30">IFERROR(INDEX($A$1:$D$300,SMALL(IF($A$1:$A$300=$L$4,ROW($A$1:$A$300)),ROW(9:9)),3)," ")</f>
        <v xml:space="preserve"> </v>
      </c>
      <c r="M30" s="60" t="str">
        <f t="array" ref="M30">IFERROR(INDEX($A$1:$D$300,SMALL(IF($A$1:$A$300=$H$5,ROW($A$1:$A$300)),ROW(9:9)),3)," ")</f>
        <v xml:space="preserve"> </v>
      </c>
      <c r="N30" s="60" t="str">
        <f t="array" ref="N30">IFERROR(INDEX($A$1:$D$300,SMALL(IF($A$1:$A$300=$I$5,ROW($A$1:$A$300)),ROW(9:9)),3)," ")</f>
        <v xml:space="preserve"> </v>
      </c>
      <c r="O30" s="60" t="str">
        <f t="array" ref="O30">IFERROR(INDEX($A$1:$D$300,SMALL(IF($A$1:$A$300=$J$5,ROW($A$1:$A$300)),ROW(9:9)),3)," ")</f>
        <v xml:space="preserve"> </v>
      </c>
      <c r="P30" s="60" t="str">
        <f t="array" ref="P30">IFERROR(INDEX($A$1:$D$300,SMALL(IF($A$1:$A$300=$K$5,ROW($A$1:$A$300)),ROW(9:9)),3)," ")</f>
        <v xml:space="preserve"> </v>
      </c>
      <c r="Q30" s="60" t="str">
        <f t="array" ref="Q30">IFERROR(INDEX($A$1:$D$300,SMALL(IF($A$1:$A$300=$L$5,ROW($A$1:$A$300)),ROW(9:9)),3)," ")</f>
        <v xml:space="preserve"> </v>
      </c>
    </row>
    <row r="31" spans="1:17" x14ac:dyDescent="0.2">
      <c r="A31" s="51">
        <f t="shared" si="0"/>
        <v>0</v>
      </c>
      <c r="C31" s="51">
        <f>Risikoanalyse!B45</f>
        <v>31</v>
      </c>
      <c r="D31" s="51">
        <f>Risikoanalyse!I45</f>
        <v>0</v>
      </c>
      <c r="E31" s="51">
        <f>IFERROR(IF(VLOOKUP(C31,Risikolog[],22)="Risiko",Risikoanalyse!H45+101,0),"")</f>
        <v>0</v>
      </c>
    </row>
    <row r="32" spans="1:17" x14ac:dyDescent="0.2">
      <c r="A32" s="51">
        <f t="shared" si="0"/>
        <v>0</v>
      </c>
      <c r="C32" s="51">
        <f>Risikoanalyse!B46</f>
        <v>32</v>
      </c>
      <c r="D32" s="51">
        <f>Risikoanalyse!I46</f>
        <v>0</v>
      </c>
      <c r="E32" s="51">
        <f>IFERROR(IF(VLOOKUP(C32,Risikolog[],22)="Risiko",Risikoanalyse!H46+101,0),"")</f>
        <v>0</v>
      </c>
      <c r="G32" s="58">
        <v>102</v>
      </c>
      <c r="H32" s="58">
        <v>103</v>
      </c>
      <c r="I32" s="58">
        <v>104</v>
      </c>
      <c r="J32" s="58">
        <v>105</v>
      </c>
      <c r="K32" s="58">
        <v>106</v>
      </c>
    </row>
    <row r="33" spans="1:11" x14ac:dyDescent="0.2">
      <c r="A33" s="51">
        <f t="shared" si="0"/>
        <v>0</v>
      </c>
      <c r="C33" s="51">
        <f>Risikoanalyse!B47</f>
        <v>33</v>
      </c>
      <c r="D33" s="51">
        <f>Risikoanalyse!I47</f>
        <v>0</v>
      </c>
      <c r="E33" s="51">
        <f>IFERROR(IF(VLOOKUP(C33,Risikolog[],22)="Risiko",Risikoanalyse!H47+101,0),"")</f>
        <v>0</v>
      </c>
      <c r="G33" s="60" t="str">
        <f t="array" ref="G33">IFERROR(INDEX($A$1:$D$300,SMALL(IF($A$1:$A$300=$H$6,ROW($A$1:$A$300)),ROW(1:1)),3)," ")</f>
        <v xml:space="preserve"> </v>
      </c>
      <c r="H33" s="60" t="str">
        <f t="array" ref="H33">IFERROR(INDEX($A$1:$D$300,SMALL(IF($A$1:$A$300=$I$6,ROW($A$1:$A$300)),ROW(1:1)),3)," ")</f>
        <v xml:space="preserve"> </v>
      </c>
      <c r="I33" s="60" t="str">
        <f t="array" ref="I33">IFERROR(INDEX($A$1:$D$300,SMALL(IF($A$1:$A$300=$J$6,ROW($A$1:$A$300)),ROW(1:1)),3)," ")</f>
        <v xml:space="preserve"> </v>
      </c>
      <c r="J33" s="60" t="str">
        <f t="array" ref="J33">IFERROR(INDEX($A$1:$D$300,SMALL(IF($A$1:$A$300=$K$6,ROW($A$1:$A$300)),ROW(1:1)),3)," ")</f>
        <v xml:space="preserve"> </v>
      </c>
      <c r="K33" s="60" t="str">
        <f t="array" ref="K33">IFERROR(INDEX($A$1:$D$300,SMALL(IF($A$1:$A$300=$L$6,ROW($A$1:$A$300)),ROW(1:1)),3)," ")</f>
        <v xml:space="preserve"> </v>
      </c>
    </row>
    <row r="34" spans="1:11" x14ac:dyDescent="0.2">
      <c r="A34" s="51">
        <f t="shared" si="0"/>
        <v>0</v>
      </c>
      <c r="C34" s="51">
        <f>Risikoanalyse!B48</f>
        <v>34</v>
      </c>
      <c r="D34" s="51">
        <f>Risikoanalyse!I48</f>
        <v>0</v>
      </c>
      <c r="E34" s="51">
        <f>IFERROR(IF(VLOOKUP(C34,Risikolog[],22)="Risiko",Risikoanalyse!H48+101,0),"")</f>
        <v>0</v>
      </c>
      <c r="G34" s="60" t="str">
        <f t="array" ref="G34">IFERROR(INDEX($A$1:$D$300,SMALL(IF($A$1:$A$300=$H$6,ROW($A$1:$A$300)),ROW(2:2)),3)," ")</f>
        <v xml:space="preserve"> </v>
      </c>
      <c r="H34" s="60" t="str">
        <f t="array" ref="H34">IFERROR(INDEX($A$1:$D$300,SMALL(IF($A$1:$A$300=$I$6,ROW($A$1:$A$300)),ROW(2:2)),3)," ")</f>
        <v xml:space="preserve"> </v>
      </c>
      <c r="I34" s="60" t="str">
        <f t="array" ref="I34">IFERROR(INDEX($A$1:$D$300,SMALL(IF($A$1:$A$300=$J$6,ROW($A$1:$A$300)),ROW(2:2)),3)," ")</f>
        <v xml:space="preserve"> </v>
      </c>
      <c r="J34" s="60" t="str">
        <f t="array" ref="J34">IFERROR(INDEX($A$1:$D$300,SMALL(IF($A$1:$A$300=$K$6,ROW($A$1:$A$300)),ROW(2:2)),3)," ")</f>
        <v xml:space="preserve"> </v>
      </c>
      <c r="K34" s="60" t="str">
        <f t="array" ref="K34">IFERROR(INDEX($A$1:$D$300,SMALL(IF($A$1:$A$300=$L$6,ROW($A$1:$A$300)),ROW(2:2)),3)," ")</f>
        <v xml:space="preserve"> </v>
      </c>
    </row>
    <row r="35" spans="1:11" x14ac:dyDescent="0.2">
      <c r="A35" s="51">
        <f t="shared" si="0"/>
        <v>0</v>
      </c>
      <c r="C35" s="51">
        <f>Risikoanalyse!B49</f>
        <v>35</v>
      </c>
      <c r="D35" s="51">
        <f>Risikoanalyse!I49</f>
        <v>0</v>
      </c>
      <c r="E35" s="51">
        <f>IFERROR(IF(VLOOKUP(C35,Risikolog[],22)="Risiko",Risikoanalyse!H49+101,0),"")</f>
        <v>0</v>
      </c>
      <c r="G35" s="60" t="str">
        <f t="array" ref="G35">IFERROR(INDEX($A$1:$D$300,SMALL(IF($A$1:$A$300=$H$6,ROW($A$1:$A$300)),ROW(3:3)),3)," ")</f>
        <v xml:space="preserve"> </v>
      </c>
      <c r="H35" s="60" t="str">
        <f t="array" ref="H35">IFERROR(INDEX($A$1:$D$300,SMALL(IF($A$1:$A$300=$I$6,ROW($A$1:$A$300)),ROW(3:3)),3)," ")</f>
        <v xml:space="preserve"> </v>
      </c>
      <c r="I35" s="60" t="str">
        <f t="array" ref="I35">IFERROR(INDEX($A$1:$D$300,SMALL(IF($A$1:$A$300=$J$6,ROW($A$1:$A$300)),ROW(3:3)),3)," ")</f>
        <v xml:space="preserve"> </v>
      </c>
      <c r="J35" s="60" t="str">
        <f t="array" ref="J35">IFERROR(INDEX($A$1:$D$300,SMALL(IF($A$1:$A$300=$K$6,ROW($A$1:$A$300)),ROW(3:3)),3)," ")</f>
        <v xml:space="preserve"> </v>
      </c>
      <c r="K35" s="60" t="str">
        <f t="array" ref="K35">IFERROR(INDEX($A$1:$D$300,SMALL(IF($A$1:$A$300=$L$6,ROW($A$1:$A$300)),ROW(3:3)),3)," ")</f>
        <v xml:space="preserve"> </v>
      </c>
    </row>
    <row r="36" spans="1:11" x14ac:dyDescent="0.2">
      <c r="A36" s="51">
        <f t="shared" si="0"/>
        <v>0</v>
      </c>
      <c r="C36" s="51">
        <f>Risikoanalyse!B50</f>
        <v>36</v>
      </c>
      <c r="D36" s="51">
        <f>Risikoanalyse!I50</f>
        <v>0</v>
      </c>
      <c r="E36" s="51">
        <f>IFERROR(IF(VLOOKUP(C36,Risikolog[],22)="Risiko",Risikoanalyse!H50+101,0),"")</f>
        <v>0</v>
      </c>
      <c r="G36" s="60" t="str">
        <f t="array" ref="G36">IFERROR(INDEX($A$1:$D$300,SMALL(IF($A$1:$A$300=$H$6,ROW($A$1:$A$300)),ROW(4:4)),3)," ")</f>
        <v xml:space="preserve"> </v>
      </c>
      <c r="H36" s="60" t="str">
        <f t="array" ref="H36">IFERROR(INDEX($A$1:$D$300,SMALL(IF($A$1:$A$300=$I$6,ROW($A$1:$A$300)),ROW(4:4)),3)," ")</f>
        <v xml:space="preserve"> </v>
      </c>
      <c r="I36" s="60" t="str">
        <f t="array" ref="I36">IFERROR(INDEX($A$1:$D$300,SMALL(IF($A$1:$A$300=$J$6,ROW($A$1:$A$300)),ROW(4:4)),3)," ")</f>
        <v xml:space="preserve"> </v>
      </c>
      <c r="J36" s="60" t="str">
        <f t="array" ref="J36">IFERROR(INDEX($A$1:$D$300,SMALL(IF($A$1:$A$300=$K$6,ROW($A$1:$A$300)),ROW(4:4)),3)," ")</f>
        <v xml:space="preserve"> </v>
      </c>
      <c r="K36" s="60" t="str">
        <f t="array" ref="K36">IFERROR(INDEX($A$1:$D$300,SMALL(IF($A$1:$A$300=$L$6,ROW($A$1:$A$300)),ROW(4:4)),3)," ")</f>
        <v xml:space="preserve"> </v>
      </c>
    </row>
    <row r="37" spans="1:11" x14ac:dyDescent="0.2">
      <c r="A37" s="51">
        <f t="shared" si="0"/>
        <v>0</v>
      </c>
      <c r="C37" s="51">
        <f>Risikoanalyse!B51</f>
        <v>37</v>
      </c>
      <c r="D37" s="51">
        <f>Risikoanalyse!I51</f>
        <v>0</v>
      </c>
      <c r="E37" s="51">
        <f>IFERROR(IF(VLOOKUP(C37,Risikolog[],22)="Risiko",Risikoanalyse!H51+101,0),"")</f>
        <v>0</v>
      </c>
      <c r="G37" s="60" t="str">
        <f t="array" ref="G37">IFERROR(INDEX($A$1:$D$300,SMALL(IF($A$1:$A$300=$H$6,ROW($A$1:$A$300)),ROW(5:5)),3)," ")</f>
        <v xml:space="preserve"> </v>
      </c>
      <c r="H37" s="60" t="str">
        <f t="array" ref="H37">IFERROR(INDEX($A$1:$D$300,SMALL(IF($A$1:$A$300=$I$6,ROW($A$1:$A$300)),ROW(5:5)),3)," ")</f>
        <v xml:space="preserve"> </v>
      </c>
      <c r="I37" s="60" t="str">
        <f t="array" ref="I37">IFERROR(INDEX($A$1:$D$300,SMALL(IF($A$1:$A$300=$J$6,ROW($A$1:$A$300)),ROW(5:5)),3)," ")</f>
        <v xml:space="preserve"> </v>
      </c>
      <c r="J37" s="60" t="str">
        <f t="array" ref="J37">IFERROR(INDEX($A$1:$D$300,SMALL(IF($A$1:$A$300=$K$6,ROW($A$1:$A$300)),ROW(5:5)),3)," ")</f>
        <v xml:space="preserve"> </v>
      </c>
      <c r="K37" s="60" t="str">
        <f t="array" ref="K37">IFERROR(INDEX($A$1:$D$300,SMALL(IF($A$1:$A$300=$L$6,ROW($A$1:$A$300)),ROW(5:5)),3)," ")</f>
        <v xml:space="preserve"> </v>
      </c>
    </row>
    <row r="38" spans="1:11" x14ac:dyDescent="0.2">
      <c r="A38" s="51">
        <f t="shared" si="0"/>
        <v>0</v>
      </c>
      <c r="C38" s="51">
        <f>Risikoanalyse!B52</f>
        <v>38</v>
      </c>
      <c r="D38" s="51">
        <f>Risikoanalyse!I52</f>
        <v>0</v>
      </c>
      <c r="E38" s="51">
        <f>IFERROR(IF(VLOOKUP(C38,Risikolog[],22)="Risiko",Risikoanalyse!H52+101,0),"")</f>
        <v>0</v>
      </c>
      <c r="G38" s="60" t="str">
        <f t="array" ref="G38">IFERROR(INDEX($A$1:$D$300,SMALL(IF($A$1:$A$300=$H$6,ROW($A$1:$A$300)),ROW(6:6)),3)," ")</f>
        <v xml:space="preserve"> </v>
      </c>
      <c r="H38" s="60" t="str">
        <f t="array" ref="H38">IFERROR(INDEX($A$1:$D$300,SMALL(IF($A$1:$A$300=$I$6,ROW($A$1:$A$300)),ROW(6:6)),3)," ")</f>
        <v xml:space="preserve"> </v>
      </c>
      <c r="I38" s="60" t="str">
        <f t="array" ref="I38">IFERROR(INDEX($A$1:$D$300,SMALL(IF($A$1:$A$300=$J$6,ROW($A$1:$A$300)),ROW(6:6)),3)," ")</f>
        <v xml:space="preserve"> </v>
      </c>
      <c r="J38" s="60" t="str">
        <f t="array" ref="J38">IFERROR(INDEX($A$1:$D$300,SMALL(IF($A$1:$A$300=$K$6,ROW($A$1:$A$300)),ROW(6:6)),3)," ")</f>
        <v xml:space="preserve"> </v>
      </c>
      <c r="K38" s="60" t="str">
        <f t="array" ref="K38">IFERROR(INDEX($A$1:$D$300,SMALL(IF($A$1:$A$300=$L$6,ROW($A$1:$A$300)),ROW(6:6)),3)," ")</f>
        <v xml:space="preserve"> </v>
      </c>
    </row>
    <row r="39" spans="1:11" x14ac:dyDescent="0.2">
      <c r="A39" s="51">
        <f t="shared" si="0"/>
        <v>0</v>
      </c>
      <c r="C39" s="51">
        <f>Risikoanalyse!B53</f>
        <v>39</v>
      </c>
      <c r="D39" s="51">
        <f>Risikoanalyse!I53</f>
        <v>0</v>
      </c>
      <c r="E39" s="51">
        <f>IFERROR(IF(VLOOKUP(C39,Risikolog[],22)="Risiko",Risikoanalyse!H53+101,0),"")</f>
        <v>0</v>
      </c>
      <c r="G39" s="60" t="str">
        <f t="array" ref="G39">IFERROR(INDEX($A$1:$D$300,SMALL(IF($A$1:$A$300=$H$6,ROW($A$1:$A$300)),ROW(7:7)),3)," ")</f>
        <v xml:space="preserve"> </v>
      </c>
      <c r="H39" s="60" t="str">
        <f t="array" ref="H39">IFERROR(INDEX($A$1:$D$300,SMALL(IF($A$1:$A$300=$I$6,ROW($A$1:$A$300)),ROW(7:7)),3)," ")</f>
        <v xml:space="preserve"> </v>
      </c>
      <c r="I39" s="60" t="str">
        <f t="array" ref="I39">IFERROR(INDEX($A$1:$D$300,SMALL(IF($A$1:$A$300=$J$6,ROW($A$1:$A$300)),ROW(7:7)),3)," ")</f>
        <v xml:space="preserve"> </v>
      </c>
      <c r="J39" s="60" t="str">
        <f t="array" ref="J39">IFERROR(INDEX($A$1:$D$300,SMALL(IF($A$1:$A$300=$K$6,ROW($A$1:$A$300)),ROW(7:7)),3)," ")</f>
        <v xml:space="preserve"> </v>
      </c>
      <c r="K39" s="60" t="str">
        <f t="array" ref="K39">IFERROR(INDEX($A$1:$D$300,SMALL(IF($A$1:$A$300=$L$6,ROW($A$1:$A$300)),ROW(7:7)),3)," ")</f>
        <v xml:space="preserve"> </v>
      </c>
    </row>
    <row r="40" spans="1:11" x14ac:dyDescent="0.2">
      <c r="A40" s="51">
        <f t="shared" si="0"/>
        <v>0</v>
      </c>
      <c r="C40" s="51">
        <f>Risikoanalyse!B54</f>
        <v>40</v>
      </c>
      <c r="D40" s="51">
        <f>Risikoanalyse!I54</f>
        <v>0</v>
      </c>
      <c r="E40" s="51">
        <f>IFERROR(IF(VLOOKUP(C40,Risikolog[],22)="Risiko",Risikoanalyse!H54+101,0),"")</f>
        <v>0</v>
      </c>
      <c r="G40" s="60" t="str">
        <f t="array" ref="G40">IFERROR(INDEX($A$1:$D$300,SMALL(IF($A$1:$A$300=$H$6,ROW($A$1:$A$300)),ROW(8:8)),3)," ")</f>
        <v xml:space="preserve"> </v>
      </c>
      <c r="H40" s="60" t="str">
        <f t="array" ref="H40">IFERROR(INDEX($A$1:$D$300,SMALL(IF($A$1:$A$300=$I$6,ROW($A$1:$A$300)),ROW(8:8)),3)," ")</f>
        <v xml:space="preserve"> </v>
      </c>
      <c r="I40" s="60" t="str">
        <f t="array" ref="I40">IFERROR(INDEX($A$1:$D$300,SMALL(IF($A$1:$A$300=$J$6,ROW($A$1:$A$300)),ROW(8:8)),3)," ")</f>
        <v xml:space="preserve"> </v>
      </c>
      <c r="J40" s="60" t="str">
        <f t="array" ref="J40">IFERROR(INDEX($A$1:$D$300,SMALL(IF($A$1:$A$300=$K$6,ROW($A$1:$A$300)),ROW(8:8)),3)," ")</f>
        <v xml:space="preserve"> </v>
      </c>
      <c r="K40" s="60" t="str">
        <f t="array" ref="K40">IFERROR(INDEX($A$1:$D$300,SMALL(IF($A$1:$A$300=$L$6,ROW($A$1:$A$300)),ROW(8:8)),3)," ")</f>
        <v xml:space="preserve"> </v>
      </c>
    </row>
    <row r="41" spans="1:11" x14ac:dyDescent="0.2">
      <c r="A41" s="51">
        <f t="shared" si="0"/>
        <v>0</v>
      </c>
      <c r="C41" s="51">
        <f>Risikoanalyse!B55</f>
        <v>41</v>
      </c>
      <c r="D41" s="51">
        <f>Risikoanalyse!I55</f>
        <v>0</v>
      </c>
      <c r="E41" s="51">
        <f>IFERROR(IF(VLOOKUP(C41,Risikolog[],22)="Risiko",Risikoanalyse!H55+101,0),0)</f>
        <v>0</v>
      </c>
      <c r="G41" s="60" t="str">
        <f t="array" ref="G41">IFERROR(INDEX($A$1:$D$300,SMALL(IF($A$1:$A$300=$H$6,ROW($A$1:$A$300)),ROW(9:9)),3)," ")</f>
        <v xml:space="preserve"> </v>
      </c>
      <c r="H41" s="60" t="str">
        <f t="array" ref="H41">IFERROR(INDEX($A$1:$D$300,SMALL(IF($A$1:$A$300=$I$6,ROW($A$1:$A$300)),ROW(9:9)),3)," ")</f>
        <v xml:space="preserve"> </v>
      </c>
      <c r="I41" s="60" t="str">
        <f t="array" ref="I41">IFERROR(INDEX($A$1:$D$300,SMALL(IF($A$1:$A$300=$J$6,ROW($A$1:$A$300)),ROW(9:9)),3)," ")</f>
        <v xml:space="preserve"> </v>
      </c>
      <c r="J41" s="60" t="str">
        <f t="array" ref="J41">IFERROR(INDEX($A$1:$D$300,SMALL(IF($A$1:$A$300=$K$6,ROW($A$1:$A$300)),ROW(9:9)),3)," ")</f>
        <v xml:space="preserve"> </v>
      </c>
      <c r="K41" s="60" t="str">
        <f t="array" ref="K41">IFERROR(INDEX($A$1:$D$300,SMALL(IF($A$1:$A$300=$L$6,ROW($A$1:$A$300)),ROW(9:9)),3)," ")</f>
        <v xml:space="preserve"> </v>
      </c>
    </row>
    <row r="42" spans="1:11" x14ac:dyDescent="0.2">
      <c r="A42" s="51">
        <f t="shared" si="0"/>
        <v>0</v>
      </c>
      <c r="C42" s="51">
        <f>Risikoanalyse!B56</f>
        <v>42</v>
      </c>
      <c r="D42" s="51">
        <f>Risikoanalyse!I56</f>
        <v>0</v>
      </c>
      <c r="E42" s="51">
        <f>IFERROR(IF(VLOOKUP(C42,Risikolog[],22)="Risiko",Risikoanalyse!H56+101,0),0)</f>
        <v>0</v>
      </c>
    </row>
    <row r="43" spans="1:11" x14ac:dyDescent="0.2">
      <c r="A43" s="51">
        <f t="shared" si="0"/>
        <v>0</v>
      </c>
      <c r="C43" s="51">
        <f>Risikoanalyse!B57</f>
        <v>43</v>
      </c>
      <c r="D43" s="51">
        <f>Risikoanalyse!I57</f>
        <v>0</v>
      </c>
      <c r="E43" s="51">
        <f>IFERROR(IF(VLOOKUP(C43,Risikolog[],22)="Risiko",Risikoanalyse!H57+101,0),0)</f>
        <v>0</v>
      </c>
    </row>
    <row r="44" spans="1:11" x14ac:dyDescent="0.2">
      <c r="A44" s="51">
        <f t="shared" si="0"/>
        <v>0</v>
      </c>
      <c r="C44" s="51">
        <f>Risikoanalyse!B58</f>
        <v>44</v>
      </c>
      <c r="D44" s="51">
        <f>Risikoanalyse!I58</f>
        <v>0</v>
      </c>
      <c r="E44" s="51">
        <f>IFERROR(IF(VLOOKUP(C44,Risikolog[],22)="Risiko",Risikoanalyse!H58+101,0),0)</f>
        <v>0</v>
      </c>
    </row>
    <row r="45" spans="1:11" x14ac:dyDescent="0.2">
      <c r="A45" s="51">
        <f t="shared" si="0"/>
        <v>0</v>
      </c>
      <c r="C45" s="51">
        <f>Risikoanalyse!B59</f>
        <v>45</v>
      </c>
      <c r="D45" s="51">
        <f>Risikoanalyse!I59</f>
        <v>0</v>
      </c>
      <c r="E45" s="51">
        <f>IFERROR(IF(VLOOKUP(C45,Risikolog[],22)="Risiko",Risikoanalyse!H59+101,0),0)</f>
        <v>0</v>
      </c>
    </row>
    <row r="46" spans="1:11" x14ac:dyDescent="0.2">
      <c r="A46" s="51">
        <f t="shared" si="0"/>
        <v>0</v>
      </c>
      <c r="C46" s="51">
        <f>Risikoanalyse!B60</f>
        <v>46</v>
      </c>
      <c r="D46" s="51">
        <f>Risikoanalyse!I60</f>
        <v>0</v>
      </c>
      <c r="E46" s="51">
        <f>IFERROR(IF(VLOOKUP(C46,Risikolog[],22)="Risiko",Risikoanalyse!H60+101,0),0)</f>
        <v>0</v>
      </c>
    </row>
    <row r="47" spans="1:11" x14ac:dyDescent="0.2">
      <c r="A47" s="51">
        <f t="shared" si="0"/>
        <v>0</v>
      </c>
      <c r="C47" s="51">
        <f>Risikoanalyse!B61</f>
        <v>47</v>
      </c>
      <c r="D47" s="51">
        <f>Risikoanalyse!I61</f>
        <v>0</v>
      </c>
      <c r="E47" s="51">
        <f>IFERROR(IF(VLOOKUP(C47,Risikolog[],22)="Risiko",Risikoanalyse!H61+101,0),0)</f>
        <v>0</v>
      </c>
    </row>
    <row r="48" spans="1:11" x14ac:dyDescent="0.2">
      <c r="A48" s="51">
        <f t="shared" si="0"/>
        <v>0</v>
      </c>
      <c r="C48" s="51">
        <f>Risikoanalyse!B62</f>
        <v>48</v>
      </c>
      <c r="D48" s="51">
        <f>Risikoanalyse!I62</f>
        <v>0</v>
      </c>
      <c r="E48" s="51">
        <f>IFERROR(IF(VLOOKUP(C48,Risikolog[],22)="Risiko",Risikoanalyse!H62+101,0),0)</f>
        <v>0</v>
      </c>
    </row>
    <row r="49" spans="1:5" x14ac:dyDescent="0.2">
      <c r="A49" s="51">
        <f t="shared" si="0"/>
        <v>0</v>
      </c>
      <c r="C49" s="51">
        <f>Risikoanalyse!B63</f>
        <v>49</v>
      </c>
      <c r="D49" s="51">
        <f>Risikoanalyse!I63</f>
        <v>0</v>
      </c>
      <c r="E49" s="51">
        <f>IFERROR(IF(VLOOKUP(C49,Risikolog[],22)="Risiko",Risikoanalyse!H63+101,0),0)</f>
        <v>0</v>
      </c>
    </row>
    <row r="50" spans="1:5" x14ac:dyDescent="0.2">
      <c r="A50" s="51">
        <f t="shared" si="0"/>
        <v>0</v>
      </c>
      <c r="C50" s="51">
        <f>Risikoanalyse!B64</f>
        <v>50</v>
      </c>
      <c r="D50" s="51">
        <f>Risikoanalyse!I64</f>
        <v>0</v>
      </c>
      <c r="E50" s="51">
        <f>IFERROR(IF(VLOOKUP(C50,Risikolog[],22)="Risiko",Risikoanalyse!H64+101,0),0)</f>
        <v>0</v>
      </c>
    </row>
    <row r="51" spans="1:5" x14ac:dyDescent="0.2">
      <c r="A51" s="51">
        <f>D51*E51</f>
        <v>0</v>
      </c>
      <c r="C51" s="51">
        <f>Risikoanalyse!B65</f>
        <v>51</v>
      </c>
      <c r="D51" s="51">
        <f>Risikoanalyse!I65</f>
        <v>0</v>
      </c>
      <c r="E51" s="51">
        <f>IFERROR(IF(VLOOKUP(C51,Risikolog[],22)="Risiko",Risikoanalyse!H65+101,0),"")</f>
        <v>0</v>
      </c>
    </row>
    <row r="52" spans="1:5" x14ac:dyDescent="0.2">
      <c r="A52" s="51">
        <f t="shared" ref="A52:A100" si="1">D52*E52</f>
        <v>0</v>
      </c>
      <c r="C52" s="51">
        <f>Risikoanalyse!B66</f>
        <v>52</v>
      </c>
      <c r="D52" s="51">
        <f>Risikoanalyse!I66</f>
        <v>0</v>
      </c>
      <c r="E52" s="51">
        <f>IFERROR(IF(VLOOKUP(C52,Risikolog[],22)="Risiko",Risikoanalyse!H66+101,0),"")</f>
        <v>0</v>
      </c>
    </row>
    <row r="53" spans="1:5" x14ac:dyDescent="0.2">
      <c r="A53" s="51">
        <f t="shared" si="1"/>
        <v>0</v>
      </c>
      <c r="C53" s="51">
        <f>Risikoanalyse!B67</f>
        <v>53</v>
      </c>
      <c r="D53" s="51">
        <f>Risikoanalyse!I67</f>
        <v>0</v>
      </c>
      <c r="E53" s="51">
        <f>IFERROR(IF(VLOOKUP(C53,Risikolog[],22)="Risiko",Risikoanalyse!H67+101,0),"")</f>
        <v>0</v>
      </c>
    </row>
    <row r="54" spans="1:5" x14ac:dyDescent="0.2">
      <c r="A54" s="51">
        <f t="shared" si="1"/>
        <v>0</v>
      </c>
      <c r="C54" s="51">
        <f>Risikoanalyse!B68</f>
        <v>54</v>
      </c>
      <c r="D54" s="51">
        <f>Risikoanalyse!I68</f>
        <v>0</v>
      </c>
      <c r="E54" s="51">
        <f>IFERROR(IF(VLOOKUP(C54,Risikolog[],22)="Risiko",Risikoanalyse!H68+101,0),"")</f>
        <v>0</v>
      </c>
    </row>
    <row r="55" spans="1:5" x14ac:dyDescent="0.2">
      <c r="A55" s="51">
        <f t="shared" si="1"/>
        <v>0</v>
      </c>
      <c r="C55" s="51">
        <f>Risikoanalyse!B69</f>
        <v>55</v>
      </c>
      <c r="D55" s="51">
        <f>Risikoanalyse!I69</f>
        <v>0</v>
      </c>
      <c r="E55" s="51">
        <f>IFERROR(IF(VLOOKUP(C55,Risikolog[],22)="Risiko",Risikoanalyse!H69+101,0),"")</f>
        <v>0</v>
      </c>
    </row>
    <row r="56" spans="1:5" x14ac:dyDescent="0.2">
      <c r="A56" s="51">
        <f t="shared" si="1"/>
        <v>0</v>
      </c>
      <c r="C56" s="51">
        <f>Risikoanalyse!B70</f>
        <v>56</v>
      </c>
      <c r="D56" s="51">
        <f>Risikoanalyse!I70</f>
        <v>0</v>
      </c>
      <c r="E56" s="51">
        <f>IFERROR(IF(VLOOKUP(C56,Risikolog[],22)="Risiko",Risikoanalyse!H70+101,0),"")</f>
        <v>0</v>
      </c>
    </row>
    <row r="57" spans="1:5" x14ac:dyDescent="0.2">
      <c r="A57" s="51">
        <f t="shared" si="1"/>
        <v>0</v>
      </c>
      <c r="C57" s="51">
        <f>Risikoanalyse!B71</f>
        <v>57</v>
      </c>
      <c r="D57" s="51">
        <f>Risikoanalyse!I71</f>
        <v>0</v>
      </c>
      <c r="E57" s="51">
        <f>IFERROR(IF(VLOOKUP(C57,Risikolog[],22)="Risiko",Risikoanalyse!H71+101,0),"")</f>
        <v>0</v>
      </c>
    </row>
    <row r="58" spans="1:5" x14ac:dyDescent="0.2">
      <c r="A58" s="51">
        <f t="shared" si="1"/>
        <v>0</v>
      </c>
      <c r="C58" s="51">
        <f>Risikoanalyse!B72</f>
        <v>58</v>
      </c>
      <c r="D58" s="51">
        <f>Risikoanalyse!I72</f>
        <v>0</v>
      </c>
      <c r="E58" s="51">
        <f>IFERROR(IF(VLOOKUP(C58,Risikolog[],22)="Risiko",Risikoanalyse!H72+101,0),"")</f>
        <v>0</v>
      </c>
    </row>
    <row r="59" spans="1:5" x14ac:dyDescent="0.2">
      <c r="A59" s="51">
        <f t="shared" si="1"/>
        <v>0</v>
      </c>
      <c r="C59" s="51">
        <f>Risikoanalyse!B73</f>
        <v>59</v>
      </c>
      <c r="D59" s="51">
        <f>Risikoanalyse!I73</f>
        <v>0</v>
      </c>
      <c r="E59" s="51">
        <f>IFERROR(IF(VLOOKUP(C59,Risikolog[],22)="Risiko",Risikoanalyse!H73+101,0),"")</f>
        <v>0</v>
      </c>
    </row>
    <row r="60" spans="1:5" x14ac:dyDescent="0.2">
      <c r="A60" s="51">
        <f t="shared" si="1"/>
        <v>0</v>
      </c>
      <c r="C60" s="51">
        <f>Risikoanalyse!B74</f>
        <v>60</v>
      </c>
      <c r="D60" s="51">
        <f>Risikoanalyse!I74</f>
        <v>0</v>
      </c>
      <c r="E60" s="51">
        <f>IFERROR(IF(VLOOKUP(C60,Risikolog[],22)="Risiko",Risikoanalyse!H74+101,0),"")</f>
        <v>0</v>
      </c>
    </row>
    <row r="61" spans="1:5" x14ac:dyDescent="0.2">
      <c r="A61" s="51">
        <f t="shared" si="1"/>
        <v>0</v>
      </c>
      <c r="C61" s="51">
        <f>Risikoanalyse!B75</f>
        <v>61</v>
      </c>
      <c r="D61" s="51">
        <f>Risikoanalyse!I75</f>
        <v>0</v>
      </c>
      <c r="E61" s="51">
        <f>IFERROR(IF(VLOOKUP(C61,Risikolog[],22)="Risiko",Risikoanalyse!H75+101,0),"")</f>
        <v>0</v>
      </c>
    </row>
    <row r="62" spans="1:5" x14ac:dyDescent="0.2">
      <c r="A62" s="51">
        <f t="shared" si="1"/>
        <v>0</v>
      </c>
      <c r="C62" s="51">
        <f>Risikoanalyse!B76</f>
        <v>62</v>
      </c>
      <c r="D62" s="51">
        <f>Risikoanalyse!I76</f>
        <v>0</v>
      </c>
      <c r="E62" s="51">
        <f>IFERROR(IF(VLOOKUP(C62,Risikolog[],22)="Risiko",Risikoanalyse!H76+101,0),"")</f>
        <v>0</v>
      </c>
    </row>
    <row r="63" spans="1:5" x14ac:dyDescent="0.2">
      <c r="A63" s="51">
        <f t="shared" si="1"/>
        <v>0</v>
      </c>
      <c r="C63" s="51">
        <f>Risikoanalyse!B77</f>
        <v>63</v>
      </c>
      <c r="D63" s="51">
        <f>Risikoanalyse!I77</f>
        <v>0</v>
      </c>
      <c r="E63" s="51">
        <f>IFERROR(IF(VLOOKUP(C63,Risikolog[],22)="Risiko",Risikoanalyse!H77+101,0),"")</f>
        <v>0</v>
      </c>
    </row>
    <row r="64" spans="1:5" x14ac:dyDescent="0.2">
      <c r="A64" s="51">
        <f t="shared" si="1"/>
        <v>0</v>
      </c>
      <c r="C64" s="51">
        <f>Risikoanalyse!B78</f>
        <v>64</v>
      </c>
      <c r="D64" s="51">
        <f>Risikoanalyse!I78</f>
        <v>0</v>
      </c>
      <c r="E64" s="51">
        <f>IFERROR(IF(VLOOKUP(C64,Risikolog[],22)="Risiko",Risikoanalyse!H78+101,0),"")</f>
        <v>0</v>
      </c>
    </row>
    <row r="65" spans="1:5" x14ac:dyDescent="0.2">
      <c r="A65" s="51">
        <f t="shared" si="1"/>
        <v>0</v>
      </c>
      <c r="C65" s="51">
        <f>Risikoanalyse!B79</f>
        <v>65</v>
      </c>
      <c r="D65" s="51">
        <f>Risikoanalyse!I79</f>
        <v>0</v>
      </c>
      <c r="E65" s="51">
        <f>IFERROR(IF(VLOOKUP(C65,Risikolog[],22)="Risiko",Risikoanalyse!H79+101,0),"")</f>
        <v>0</v>
      </c>
    </row>
    <row r="66" spans="1:5" x14ac:dyDescent="0.2">
      <c r="A66" s="51">
        <f t="shared" si="1"/>
        <v>0</v>
      </c>
      <c r="C66" s="51">
        <f>Risikoanalyse!B80</f>
        <v>66</v>
      </c>
      <c r="D66" s="51">
        <f>Risikoanalyse!I80</f>
        <v>0</v>
      </c>
      <c r="E66" s="51">
        <f>IFERROR(IF(VLOOKUP(C66,Risikolog[],22)="Risiko",Risikoanalyse!H80+101,0),"")</f>
        <v>0</v>
      </c>
    </row>
    <row r="67" spans="1:5" x14ac:dyDescent="0.2">
      <c r="A67" s="51">
        <f t="shared" si="1"/>
        <v>0</v>
      </c>
      <c r="C67" s="51">
        <f>Risikoanalyse!B81</f>
        <v>67</v>
      </c>
      <c r="D67" s="51">
        <f>Risikoanalyse!I81</f>
        <v>0</v>
      </c>
      <c r="E67" s="51">
        <f>IFERROR(IF(VLOOKUP(C67,Risikolog[],22)="Risiko",Risikoanalyse!H81+101,0),"")</f>
        <v>0</v>
      </c>
    </row>
    <row r="68" spans="1:5" x14ac:dyDescent="0.2">
      <c r="A68" s="51">
        <f t="shared" si="1"/>
        <v>0</v>
      </c>
      <c r="C68" s="51">
        <f>Risikoanalyse!B82</f>
        <v>68</v>
      </c>
      <c r="D68" s="51">
        <f>Risikoanalyse!I82</f>
        <v>0</v>
      </c>
      <c r="E68" s="51">
        <f>IFERROR(IF(VLOOKUP(C68,Risikolog[],22)="Risiko",Risikoanalyse!H82+101,0),"")</f>
        <v>0</v>
      </c>
    </row>
    <row r="69" spans="1:5" x14ac:dyDescent="0.2">
      <c r="A69" s="51">
        <f t="shared" si="1"/>
        <v>0</v>
      </c>
      <c r="C69" s="51">
        <f>Risikoanalyse!B83</f>
        <v>69</v>
      </c>
      <c r="D69" s="51">
        <f>Risikoanalyse!I83</f>
        <v>0</v>
      </c>
      <c r="E69" s="51">
        <f>IFERROR(IF(VLOOKUP(C69,Risikolog[],22)="Risiko",Risikoanalyse!H83+101,0),"")</f>
        <v>0</v>
      </c>
    </row>
    <row r="70" spans="1:5" x14ac:dyDescent="0.2">
      <c r="A70" s="51">
        <f t="shared" si="1"/>
        <v>0</v>
      </c>
      <c r="C70" s="51">
        <f>Risikoanalyse!B84</f>
        <v>70</v>
      </c>
      <c r="D70" s="51">
        <f>Risikoanalyse!I84</f>
        <v>0</v>
      </c>
      <c r="E70" s="51">
        <f>IFERROR(IF(VLOOKUP(C70,Risikolog[],22)="Risiko",Risikoanalyse!H84+101,0),"")</f>
        <v>0</v>
      </c>
    </row>
    <row r="71" spans="1:5" x14ac:dyDescent="0.2">
      <c r="A71" s="51">
        <f t="shared" si="1"/>
        <v>0</v>
      </c>
      <c r="C71" s="51">
        <f>Risikoanalyse!B85</f>
        <v>71</v>
      </c>
      <c r="D71" s="51">
        <f>Risikoanalyse!I85</f>
        <v>0</v>
      </c>
      <c r="E71" s="51">
        <f>IFERROR(IF(VLOOKUP(C71,Risikolog[],22)="Risiko",Risikoanalyse!H85+101,0),"")</f>
        <v>0</v>
      </c>
    </row>
    <row r="72" spans="1:5" x14ac:dyDescent="0.2">
      <c r="A72" s="51">
        <f t="shared" si="1"/>
        <v>0</v>
      </c>
      <c r="C72" s="51">
        <f>Risikoanalyse!B86</f>
        <v>72</v>
      </c>
      <c r="D72" s="51">
        <f>Risikoanalyse!I86</f>
        <v>0</v>
      </c>
      <c r="E72" s="51">
        <f>IFERROR(IF(VLOOKUP(C72,Risikolog[],22)="Risiko",Risikoanalyse!H86+101,0),"")</f>
        <v>0</v>
      </c>
    </row>
    <row r="73" spans="1:5" x14ac:dyDescent="0.2">
      <c r="A73" s="51">
        <f t="shared" si="1"/>
        <v>0</v>
      </c>
      <c r="C73" s="51">
        <f>Risikoanalyse!B87</f>
        <v>73</v>
      </c>
      <c r="D73" s="51">
        <f>Risikoanalyse!I87</f>
        <v>0</v>
      </c>
      <c r="E73" s="51">
        <f>IFERROR(IF(VLOOKUP(C73,Risikolog[],22)="Risiko",Risikoanalyse!H87+101,0),"")</f>
        <v>0</v>
      </c>
    </row>
    <row r="74" spans="1:5" x14ac:dyDescent="0.2">
      <c r="A74" s="51">
        <f t="shared" si="1"/>
        <v>0</v>
      </c>
      <c r="C74" s="51">
        <f>Risikoanalyse!B88</f>
        <v>74</v>
      </c>
      <c r="D74" s="51">
        <f>Risikoanalyse!I88</f>
        <v>0</v>
      </c>
      <c r="E74" s="51">
        <f>IFERROR(IF(VLOOKUP(C74,Risikolog[],22)="Risiko",Risikoanalyse!H88+101,0),"")</f>
        <v>0</v>
      </c>
    </row>
    <row r="75" spans="1:5" x14ac:dyDescent="0.2">
      <c r="A75" s="51">
        <f t="shared" si="1"/>
        <v>0</v>
      </c>
      <c r="C75" s="51">
        <f>Risikoanalyse!B89</f>
        <v>75</v>
      </c>
      <c r="D75" s="51">
        <f>Risikoanalyse!I89</f>
        <v>0</v>
      </c>
      <c r="E75" s="51">
        <f>IFERROR(IF(VLOOKUP(C75,Risikolog[],22)="Risiko",Risikoanalyse!H89+101,0),"")</f>
        <v>0</v>
      </c>
    </row>
    <row r="76" spans="1:5" x14ac:dyDescent="0.2">
      <c r="A76" s="51">
        <f t="shared" si="1"/>
        <v>0</v>
      </c>
      <c r="C76" s="51">
        <f>Risikoanalyse!B90</f>
        <v>76</v>
      </c>
      <c r="D76" s="51">
        <f>Risikoanalyse!I90</f>
        <v>0</v>
      </c>
      <c r="E76" s="51">
        <f>IFERROR(IF(VLOOKUP(C76,Risikolog[],22)="Risiko",Risikoanalyse!H90+101,0),"")</f>
        <v>0</v>
      </c>
    </row>
    <row r="77" spans="1:5" x14ac:dyDescent="0.2">
      <c r="A77" s="51">
        <f t="shared" si="1"/>
        <v>0</v>
      </c>
      <c r="C77" s="51">
        <f>Risikoanalyse!B91</f>
        <v>77</v>
      </c>
      <c r="D77" s="51">
        <f>Risikoanalyse!I91</f>
        <v>0</v>
      </c>
      <c r="E77" s="51">
        <f>IFERROR(IF(VLOOKUP(C77,Risikolog[],22)="Risiko",Risikoanalyse!H91+101,0),"")</f>
        <v>0</v>
      </c>
    </row>
    <row r="78" spans="1:5" x14ac:dyDescent="0.2">
      <c r="A78" s="51">
        <f t="shared" si="1"/>
        <v>0</v>
      </c>
      <c r="C78" s="51">
        <f>Risikoanalyse!B92</f>
        <v>78</v>
      </c>
      <c r="D78" s="51">
        <f>Risikoanalyse!I92</f>
        <v>0</v>
      </c>
      <c r="E78" s="51">
        <f>IFERROR(IF(VLOOKUP(C78,Risikolog[],22)="Risiko",Risikoanalyse!H92+101,0),"")</f>
        <v>0</v>
      </c>
    </row>
    <row r="79" spans="1:5" x14ac:dyDescent="0.2">
      <c r="A79" s="51">
        <f t="shared" si="1"/>
        <v>0</v>
      </c>
      <c r="C79" s="51">
        <f>Risikoanalyse!B93</f>
        <v>79</v>
      </c>
      <c r="D79" s="51">
        <f>Risikoanalyse!I93</f>
        <v>0</v>
      </c>
      <c r="E79" s="51">
        <f>IFERROR(IF(VLOOKUP(C79,Risikolog[],22)="Risiko",Risikoanalyse!H93+101,0),"")</f>
        <v>0</v>
      </c>
    </row>
    <row r="80" spans="1:5" x14ac:dyDescent="0.2">
      <c r="A80" s="51">
        <f t="shared" si="1"/>
        <v>0</v>
      </c>
      <c r="C80" s="51">
        <f>Risikoanalyse!B94</f>
        <v>80</v>
      </c>
      <c r="D80" s="51">
        <f>Risikoanalyse!I94</f>
        <v>0</v>
      </c>
      <c r="E80" s="51">
        <f>IFERROR(IF(VLOOKUP(C80,Risikolog[],22)="Risiko",Risikoanalyse!H94+101,0),"")</f>
        <v>0</v>
      </c>
    </row>
    <row r="81" spans="1:5" x14ac:dyDescent="0.2">
      <c r="A81" s="51">
        <f t="shared" si="1"/>
        <v>0</v>
      </c>
      <c r="C81" s="51">
        <f>Risikoanalyse!B95</f>
        <v>81</v>
      </c>
      <c r="D81" s="51">
        <f>Risikoanalyse!I95</f>
        <v>0</v>
      </c>
      <c r="E81" s="51">
        <f>IFERROR(IF(VLOOKUP(C81,Risikolog[],22)="Risiko",Risikoanalyse!H95+101,0),"")</f>
        <v>0</v>
      </c>
    </row>
    <row r="82" spans="1:5" x14ac:dyDescent="0.2">
      <c r="A82" s="51">
        <f t="shared" si="1"/>
        <v>0</v>
      </c>
      <c r="C82" s="51">
        <f>Risikoanalyse!B96</f>
        <v>82</v>
      </c>
      <c r="D82" s="51">
        <f>Risikoanalyse!I96</f>
        <v>0</v>
      </c>
      <c r="E82" s="51">
        <f>IFERROR(IF(VLOOKUP(C82,Risikolog[],22)="Risiko",Risikoanalyse!H96+101,0),"")</f>
        <v>0</v>
      </c>
    </row>
    <row r="83" spans="1:5" x14ac:dyDescent="0.2">
      <c r="A83" s="51">
        <f t="shared" si="1"/>
        <v>0</v>
      </c>
      <c r="C83" s="51">
        <f>Risikoanalyse!B97</f>
        <v>83</v>
      </c>
      <c r="D83" s="51">
        <f>Risikoanalyse!I97</f>
        <v>0</v>
      </c>
      <c r="E83" s="51">
        <f>IFERROR(IF(VLOOKUP(C83,Risikolog[],22)="Risiko",Risikoanalyse!H97+101,0),"")</f>
        <v>0</v>
      </c>
    </row>
    <row r="84" spans="1:5" x14ac:dyDescent="0.2">
      <c r="A84" s="51">
        <f t="shared" si="1"/>
        <v>0</v>
      </c>
      <c r="C84" s="51">
        <f>Risikoanalyse!B98</f>
        <v>84</v>
      </c>
      <c r="D84" s="51">
        <f>Risikoanalyse!I98</f>
        <v>0</v>
      </c>
      <c r="E84" s="51">
        <f>IFERROR(IF(VLOOKUP(C84,Risikolog[],22)="Risiko",Risikoanalyse!H98+101,0),"")</f>
        <v>0</v>
      </c>
    </row>
    <row r="85" spans="1:5" x14ac:dyDescent="0.2">
      <c r="A85" s="51">
        <f t="shared" si="1"/>
        <v>0</v>
      </c>
      <c r="C85" s="51">
        <f>Risikoanalyse!B99</f>
        <v>85</v>
      </c>
      <c r="D85" s="51">
        <f>Risikoanalyse!I99</f>
        <v>0</v>
      </c>
      <c r="E85" s="51">
        <f>IFERROR(IF(VLOOKUP(C85,Risikolog[],22)="Risiko",Risikoanalyse!H99+101,0),"")</f>
        <v>0</v>
      </c>
    </row>
    <row r="86" spans="1:5" x14ac:dyDescent="0.2">
      <c r="A86" s="51">
        <f t="shared" si="1"/>
        <v>0</v>
      </c>
      <c r="C86" s="51">
        <f>Risikoanalyse!B100</f>
        <v>86</v>
      </c>
      <c r="D86" s="51">
        <f>Risikoanalyse!I100</f>
        <v>0</v>
      </c>
      <c r="E86" s="51">
        <f>IFERROR(IF(VLOOKUP(C86,Risikolog[],22)="Risiko",Risikoanalyse!H100+101,0),"")</f>
        <v>0</v>
      </c>
    </row>
    <row r="87" spans="1:5" x14ac:dyDescent="0.2">
      <c r="A87" s="51">
        <f t="shared" si="1"/>
        <v>0</v>
      </c>
      <c r="C87" s="51">
        <f>Risikoanalyse!B101</f>
        <v>87</v>
      </c>
      <c r="D87" s="51">
        <f>Risikoanalyse!I101</f>
        <v>0</v>
      </c>
      <c r="E87" s="51">
        <f>IFERROR(IF(VLOOKUP(C87,Risikolog[],22)="Risiko",Risikoanalyse!H101+101,0),"")</f>
        <v>0</v>
      </c>
    </row>
    <row r="88" spans="1:5" x14ac:dyDescent="0.2">
      <c r="A88" s="51">
        <f t="shared" si="1"/>
        <v>0</v>
      </c>
      <c r="C88" s="51">
        <f>Risikoanalyse!B102</f>
        <v>88</v>
      </c>
      <c r="D88" s="51">
        <f>Risikoanalyse!I102</f>
        <v>0</v>
      </c>
      <c r="E88" s="51">
        <f>IFERROR(IF(VLOOKUP(C88,Risikolog[],22)="Risiko",Risikoanalyse!H102+101,0),"")</f>
        <v>0</v>
      </c>
    </row>
    <row r="89" spans="1:5" x14ac:dyDescent="0.2">
      <c r="A89" s="51">
        <f t="shared" si="1"/>
        <v>0</v>
      </c>
      <c r="C89" s="51">
        <f>Risikoanalyse!B103</f>
        <v>89</v>
      </c>
      <c r="D89" s="51">
        <f>Risikoanalyse!I103</f>
        <v>0</v>
      </c>
      <c r="E89" s="51">
        <f>IFERROR(IF(VLOOKUP(C89,Risikolog[],22)="Risiko",Risikoanalyse!H103+101,0),"")</f>
        <v>0</v>
      </c>
    </row>
    <row r="90" spans="1:5" x14ac:dyDescent="0.2">
      <c r="A90" s="51">
        <f t="shared" si="1"/>
        <v>0</v>
      </c>
      <c r="C90" s="51">
        <f>Risikoanalyse!B104</f>
        <v>90</v>
      </c>
      <c r="D90" s="51">
        <f>Risikoanalyse!I104</f>
        <v>0</v>
      </c>
      <c r="E90" s="51">
        <f>IFERROR(IF(VLOOKUP(C90,Risikolog[],22)="Risiko",Risikoanalyse!H104+101,0),"")</f>
        <v>0</v>
      </c>
    </row>
    <row r="91" spans="1:5" x14ac:dyDescent="0.2">
      <c r="A91" s="51">
        <f t="shared" si="1"/>
        <v>0</v>
      </c>
      <c r="C91" s="51">
        <f>Risikoanalyse!B105</f>
        <v>91</v>
      </c>
      <c r="D91" s="51">
        <f>Risikoanalyse!I105</f>
        <v>0</v>
      </c>
      <c r="E91" s="51">
        <f>IFERROR(IF(VLOOKUP(C91,Risikolog[],22)="Risiko",Risikoanalyse!H105+101,0),0)</f>
        <v>0</v>
      </c>
    </row>
    <row r="92" spans="1:5" x14ac:dyDescent="0.2">
      <c r="A92" s="51">
        <f t="shared" si="1"/>
        <v>0</v>
      </c>
      <c r="C92" s="51">
        <f>Risikoanalyse!B106</f>
        <v>92</v>
      </c>
      <c r="D92" s="51">
        <f>Risikoanalyse!I106</f>
        <v>0</v>
      </c>
      <c r="E92" s="51">
        <f>IFERROR(IF(VLOOKUP(C92,Risikolog[],22)="Risiko",Risikoanalyse!H106+101,0),0)</f>
        <v>0</v>
      </c>
    </row>
    <row r="93" spans="1:5" x14ac:dyDescent="0.2">
      <c r="A93" s="51">
        <f t="shared" si="1"/>
        <v>0</v>
      </c>
      <c r="C93" s="51">
        <f>Risikoanalyse!B107</f>
        <v>93</v>
      </c>
      <c r="D93" s="51">
        <f>Risikoanalyse!I107</f>
        <v>0</v>
      </c>
      <c r="E93" s="51">
        <f>IFERROR(IF(VLOOKUP(C93,Risikolog[],22)="Risiko",Risikoanalyse!H107+101,0),0)</f>
        <v>0</v>
      </c>
    </row>
    <row r="94" spans="1:5" x14ac:dyDescent="0.2">
      <c r="A94" s="51">
        <f t="shared" si="1"/>
        <v>0</v>
      </c>
      <c r="C94" s="51">
        <f>Risikoanalyse!B108</f>
        <v>94</v>
      </c>
      <c r="D94" s="51">
        <f>Risikoanalyse!I108</f>
        <v>0</v>
      </c>
      <c r="E94" s="51">
        <f>IFERROR(IF(VLOOKUP(C94,Risikolog[],22)="Risiko",Risikoanalyse!H108+101,0),0)</f>
        <v>0</v>
      </c>
    </row>
    <row r="95" spans="1:5" x14ac:dyDescent="0.2">
      <c r="A95" s="51">
        <f t="shared" si="1"/>
        <v>0</v>
      </c>
      <c r="C95" s="51">
        <f>Risikoanalyse!B109</f>
        <v>95</v>
      </c>
      <c r="D95" s="51">
        <f>Risikoanalyse!I109</f>
        <v>0</v>
      </c>
      <c r="E95" s="51">
        <f>IFERROR(IF(VLOOKUP(C95,Risikolog[],22)="Risiko",Risikoanalyse!H109+101,0),0)</f>
        <v>0</v>
      </c>
    </row>
    <row r="96" spans="1:5" x14ac:dyDescent="0.2">
      <c r="A96" s="51">
        <f t="shared" si="1"/>
        <v>0</v>
      </c>
      <c r="C96" s="51">
        <f>Risikoanalyse!B110</f>
        <v>96</v>
      </c>
      <c r="D96" s="51">
        <f>Risikoanalyse!I110</f>
        <v>0</v>
      </c>
      <c r="E96" s="51">
        <f>IFERROR(IF(VLOOKUP(C96,Risikolog[],22)="Risiko",Risikoanalyse!H110+101,0),0)</f>
        <v>0</v>
      </c>
    </row>
    <row r="97" spans="1:5" x14ac:dyDescent="0.2">
      <c r="A97" s="51">
        <f t="shared" si="1"/>
        <v>0</v>
      </c>
      <c r="C97" s="51">
        <f>Risikoanalyse!B111</f>
        <v>97</v>
      </c>
      <c r="D97" s="51">
        <f>Risikoanalyse!I111</f>
        <v>0</v>
      </c>
      <c r="E97" s="51">
        <f>IFERROR(IF(VLOOKUP(C97,Risikolog[],22)="Risiko",Risikoanalyse!H111+101,0),0)</f>
        <v>0</v>
      </c>
    </row>
    <row r="98" spans="1:5" x14ac:dyDescent="0.2">
      <c r="A98" s="51">
        <f t="shared" si="1"/>
        <v>0</v>
      </c>
      <c r="C98" s="51">
        <f>Risikoanalyse!B112</f>
        <v>98</v>
      </c>
      <c r="D98" s="51">
        <f>Risikoanalyse!I112</f>
        <v>0</v>
      </c>
      <c r="E98" s="51">
        <f>IFERROR(IF(VLOOKUP(C98,Risikolog[],22)="Risiko",Risikoanalyse!H112+101,0),0)</f>
        <v>0</v>
      </c>
    </row>
    <row r="99" spans="1:5" x14ac:dyDescent="0.2">
      <c r="A99" s="51">
        <f t="shared" si="1"/>
        <v>0</v>
      </c>
      <c r="C99" s="51">
        <f>Risikoanalyse!B113</f>
        <v>99</v>
      </c>
      <c r="D99" s="51">
        <f>Risikoanalyse!I113</f>
        <v>0</v>
      </c>
      <c r="E99" s="51">
        <f>IFERROR(IF(VLOOKUP(C99,Risikolog[],22)="Risiko",Risikoanalyse!H113+101,0),0)</f>
        <v>0</v>
      </c>
    </row>
    <row r="100" spans="1:5" x14ac:dyDescent="0.2">
      <c r="A100" s="51">
        <f t="shared" si="1"/>
        <v>0</v>
      </c>
      <c r="C100" s="51">
        <f>Risikoanalyse!B114</f>
        <v>100</v>
      </c>
      <c r="D100" s="51">
        <f>Risikoanalyse!I114</f>
        <v>0</v>
      </c>
      <c r="E100" s="51">
        <f>IFERROR(IF(VLOOKUP(C100,Risikolog[],22)="Risiko",Risikoanalyse!H114+101,0),0)</f>
        <v>0</v>
      </c>
    </row>
  </sheetData>
  <mergeCells count="2">
    <mergeCell ref="N1:N7"/>
    <mergeCell ref="Q8:S8"/>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activeCell="P3" sqref="P3"/>
    </sheetView>
  </sheetViews>
  <sheetFormatPr defaultColWidth="8.75" defaultRowHeight="14.25" x14ac:dyDescent="0.2"/>
  <cols>
    <col min="1" max="19" width="8.75" style="51"/>
    <col min="20" max="20" width="9.375" style="51" customWidth="1"/>
    <col min="21" max="16384" width="8.75" style="51"/>
  </cols>
  <sheetData>
    <row r="1" spans="1:20" ht="13.9" customHeight="1" x14ac:dyDescent="0.2">
      <c r="A1" s="51">
        <f>D1*E1</f>
        <v>0</v>
      </c>
      <c r="C1" s="51">
        <f>Risikoanalyse!B15</f>
        <v>1</v>
      </c>
      <c r="D1" s="51">
        <f>Risikoanalyse!S15</f>
        <v>0</v>
      </c>
      <c r="E1" s="51">
        <f>IFERROR(IF(VLOOKUP(C1,Risikolog[],22)="Risiko",Risikoanalyse!R15+101,0),"")</f>
        <v>0</v>
      </c>
      <c r="N1" s="214" t="s">
        <v>66</v>
      </c>
    </row>
    <row r="2" spans="1:20" ht="14.45" customHeight="1" x14ac:dyDescent="0.2">
      <c r="A2" s="51">
        <f t="shared" ref="A2:A50" si="0">D2*E2</f>
        <v>0</v>
      </c>
      <c r="C2" s="51">
        <f>Risikoanalyse!B16</f>
        <v>2</v>
      </c>
      <c r="D2" s="51">
        <f>Risikoanalyse!S16</f>
        <v>0</v>
      </c>
      <c r="E2" s="51">
        <f>IFERROR(IF(VLOOKUP(C2,Risikolog[],22)="Risiko",Risikoanalyse!R16+101,0),"")</f>
        <v>0</v>
      </c>
      <c r="G2" s="58">
        <v>5</v>
      </c>
      <c r="H2" s="59">
        <f>G2*H7</f>
        <v>510</v>
      </c>
      <c r="I2" s="59">
        <f>I7*G2</f>
        <v>515</v>
      </c>
      <c r="J2" s="59">
        <f>J7*G2</f>
        <v>520</v>
      </c>
      <c r="K2" s="59">
        <f>K7*G2</f>
        <v>525</v>
      </c>
      <c r="L2" s="59">
        <f>L7*G2</f>
        <v>530</v>
      </c>
      <c r="N2" s="214"/>
      <c r="O2" s="61">
        <v>5</v>
      </c>
      <c r="P2" s="66" t="str">
        <f>(G11&amp;" "&amp;G12&amp;" "&amp;G13&amp;" "&amp;G14&amp;" "&amp;G15&amp;" "&amp;G16&amp;" "&amp;G17&amp;" "&amp;G18&amp;" "&amp;G19)</f>
        <v xml:space="preserve">                 </v>
      </c>
      <c r="Q2" s="51" t="str">
        <f>H11&amp;" "&amp;H12&amp;" "&amp;H13&amp;" "&amp;H14&amp;" "&amp;H15&amp;" "&amp;H16&amp;" "&amp;H17&amp;" "&amp;H18&amp;" "&amp;H19</f>
        <v xml:space="preserve">                 </v>
      </c>
      <c r="R2" s="51" t="str">
        <f>I11&amp;" "&amp;I12&amp;" "&amp;I13&amp;" "&amp;I14&amp;" "&amp;I15&amp;" "&amp;I16&amp;" "&amp;I17&amp;" "&amp;I18&amp;" "&amp;I19</f>
        <v xml:space="preserve">                 </v>
      </c>
      <c r="S2" s="51" t="str">
        <f>J11&amp;" "&amp;J12&amp;" "&amp;J13&amp;" "&amp;J14&amp;" "&amp;J15&amp;" "&amp;J16&amp;" "&amp;J17&amp;" "&amp;J18&amp;" "&amp;J19</f>
        <v xml:space="preserve">                 </v>
      </c>
      <c r="T2" s="51" t="str">
        <f>K11&amp;" "&amp;K12&amp;" "&amp;K13&amp;" "&amp;K14&amp;" "&amp;K15&amp;" "&amp;K16&amp;" "&amp;K17&amp;" "&amp;K18&amp;" "&amp;K19</f>
        <v xml:space="preserve">                 </v>
      </c>
    </row>
    <row r="3" spans="1:20" ht="15" x14ac:dyDescent="0.2">
      <c r="A3" s="51">
        <f t="shared" si="0"/>
        <v>0</v>
      </c>
      <c r="C3" s="51">
        <f>Risikoanalyse!B17</f>
        <v>3</v>
      </c>
      <c r="D3" s="51">
        <f>Risikoanalyse!S17</f>
        <v>0</v>
      </c>
      <c r="E3" s="51">
        <f>IFERROR(IF(VLOOKUP(C3,Risikolog[],22)="Risiko",Risikoanalyse!R17+101,0),"")</f>
        <v>0</v>
      </c>
      <c r="G3" s="58">
        <v>4</v>
      </c>
      <c r="H3" s="59">
        <f>G3*H7</f>
        <v>408</v>
      </c>
      <c r="I3" s="59">
        <f>I7*G3</f>
        <v>412</v>
      </c>
      <c r="J3" s="59">
        <f>J7*G3</f>
        <v>416</v>
      </c>
      <c r="K3" s="59">
        <f>K7*G3</f>
        <v>420</v>
      </c>
      <c r="L3" s="59">
        <f>L7*G3</f>
        <v>424</v>
      </c>
      <c r="N3" s="214"/>
      <c r="O3" s="61">
        <v>4</v>
      </c>
      <c r="P3" s="51" t="str">
        <f>M11&amp;" "&amp;M12&amp;" "&amp;M13&amp;" "&amp;M14&amp;" "&amp;M15&amp;" "&amp;M16&amp;" "&amp;M17&amp;" "&amp;M18&amp;" "&amp;M19</f>
        <v xml:space="preserve">                 </v>
      </c>
      <c r="Q3" s="51" t="str">
        <f>N11&amp;" "&amp;N12&amp;" "&amp;N13&amp;" "&amp;N14&amp;" "&amp;N15&amp;" "&amp;N16&amp;" "&amp;N17&amp;" "&amp;N18&amp;" "&amp;N19</f>
        <v xml:space="preserve">                 </v>
      </c>
      <c r="R3" s="51" t="str">
        <f>O11&amp;" "&amp;O12&amp;" "&amp;O13&amp;" "&amp;O14&amp;" "&amp;O15&amp;" "&amp;O16&amp;" "&amp;O17&amp;" "&amp;O18&amp;" "&amp;O19</f>
        <v xml:space="preserve">                 </v>
      </c>
      <c r="S3" s="51" t="str">
        <f>P11&amp;" "&amp;P12&amp;" "&amp;P13&amp;" "&amp;P14&amp;" "&amp;P15&amp;" "&amp;P16&amp;" "&amp;P17&amp;" "&amp;P18&amp;" "&amp;P19</f>
        <v xml:space="preserve">                 </v>
      </c>
      <c r="T3" s="51" t="str">
        <f>Q11&amp;" "&amp;Q12&amp;" "&amp;Q13&amp;" "&amp;Q14&amp;" "&amp;Q15&amp;" "&amp;Q16&amp;" "&amp;Q17&amp;" "&amp;Q18&amp;" "&amp;Q19</f>
        <v xml:space="preserve">                 </v>
      </c>
    </row>
    <row r="4" spans="1:20" ht="15" x14ac:dyDescent="0.2">
      <c r="A4" s="51">
        <f t="shared" si="0"/>
        <v>0</v>
      </c>
      <c r="C4" s="51">
        <f>Risikoanalyse!B18</f>
        <v>4</v>
      </c>
      <c r="D4" s="51">
        <f>Risikoanalyse!S18</f>
        <v>0</v>
      </c>
      <c r="E4" s="51">
        <f>IFERROR(IF(VLOOKUP(C4,Risikolog[],22)="Risiko",Risikoanalyse!R18+101,0),"")</f>
        <v>0</v>
      </c>
      <c r="G4" s="58">
        <v>3</v>
      </c>
      <c r="H4" s="59">
        <f>H7*G4</f>
        <v>306</v>
      </c>
      <c r="I4" s="59">
        <f>I7*G4</f>
        <v>309</v>
      </c>
      <c r="J4" s="59">
        <f>J7*G4</f>
        <v>312</v>
      </c>
      <c r="K4" s="59">
        <f>K7*G4</f>
        <v>315</v>
      </c>
      <c r="L4" s="59">
        <f>L7*G4</f>
        <v>318</v>
      </c>
      <c r="N4" s="214"/>
      <c r="O4" s="61">
        <v>3</v>
      </c>
      <c r="P4" s="51" t="str">
        <f>(G22&amp;" "&amp;G23&amp;" "&amp;G24&amp;" "&amp;G25&amp;" "&amp;G26&amp;" "&amp;G27&amp;" "&amp;G28&amp;" "&amp;G29&amp;" "&amp;G30&amp;"")</f>
        <v xml:space="preserve">                </v>
      </c>
      <c r="Q4" s="51" t="str">
        <f>(H22&amp;" "&amp;H23&amp;" "&amp;H24&amp;" "&amp;H25&amp;" "&amp;H26&amp;" "&amp;H27&amp;" "&amp;H28&amp;" "&amp;H29&amp;" "&amp;H30&amp;"")</f>
        <v xml:space="preserve">                 </v>
      </c>
      <c r="R4" s="51" t="str">
        <f>(I22&amp;" "&amp;I23&amp;" "&amp;I24&amp;" "&amp;I25&amp;" "&amp;I26&amp;" "&amp;I27&amp;" "&amp;I28&amp;" "&amp;I29&amp;" "&amp;I30&amp;"")</f>
        <v xml:space="preserve">                 </v>
      </c>
      <c r="S4" s="51" t="str">
        <f>(J22&amp;" "&amp;J23&amp;" "&amp;J24&amp;" "&amp;J25&amp;" "&amp;J26&amp;" "&amp;J27&amp;" "&amp;J28&amp;" "&amp;J29&amp;" "&amp;J30&amp;"")</f>
        <v xml:space="preserve">                 </v>
      </c>
      <c r="T4" s="51" t="str">
        <f>(K22&amp;" "&amp;K23&amp;" "&amp;K24&amp;" "&amp;K25&amp;" "&amp;K26&amp;" "&amp;K27&amp;" "&amp;K28&amp;" "&amp;K29&amp;" "&amp;K30&amp;"")</f>
        <v xml:space="preserve">                 </v>
      </c>
    </row>
    <row r="5" spans="1:20" ht="15" x14ac:dyDescent="0.2">
      <c r="A5" s="51">
        <f t="shared" si="0"/>
        <v>0</v>
      </c>
      <c r="C5" s="51">
        <f>Risikoanalyse!B19</f>
        <v>5</v>
      </c>
      <c r="D5" s="51">
        <f>Risikoanalyse!S19</f>
        <v>0</v>
      </c>
      <c r="E5" s="51">
        <f>IFERROR(IF(VLOOKUP(C5,Risikolog[],22)="Risiko",Risikoanalyse!R19+101,0),"")</f>
        <v>0</v>
      </c>
      <c r="G5" s="58">
        <v>2</v>
      </c>
      <c r="H5" s="59">
        <f>H7*G5</f>
        <v>204</v>
      </c>
      <c r="I5" s="59">
        <f>I7*G5</f>
        <v>206</v>
      </c>
      <c r="J5" s="59">
        <f>J7*G5</f>
        <v>208</v>
      </c>
      <c r="K5" s="59">
        <f>105*2</f>
        <v>210</v>
      </c>
      <c r="L5" s="59">
        <f>106*2</f>
        <v>212</v>
      </c>
      <c r="N5" s="214"/>
      <c r="O5" s="61">
        <v>2</v>
      </c>
      <c r="P5" s="51" t="str">
        <f>(M22&amp;" "&amp;M23&amp;" "&amp;M24&amp;" "&amp;M25&amp;" "&amp;M26&amp;" "&amp;M27&amp;" "&amp;M28&amp;" "&amp;M29&amp;" "&amp;M30&amp;"")</f>
        <v xml:space="preserve">                 </v>
      </c>
      <c r="Q5" s="51" t="str">
        <f>(N22&amp;" "&amp;N23&amp;" "&amp;N24&amp;" "&amp;N25&amp;" "&amp;N26&amp;" "&amp;N27&amp;" "&amp;N28&amp;" "&amp;N29&amp;" "&amp;N30&amp;"")</f>
        <v xml:space="preserve">                 </v>
      </c>
      <c r="R5" s="51" t="str">
        <f>(O22&amp;" "&amp;O23&amp;" "&amp;O24&amp;" "&amp;O25&amp;" "&amp;O26&amp;" "&amp;O27&amp;" "&amp;O28&amp;" "&amp;O29&amp;" "&amp;O30&amp;"")</f>
        <v xml:space="preserve">                 </v>
      </c>
      <c r="S5" s="51" t="str">
        <f>(P22&amp;" "&amp;P23&amp;" "&amp;P24&amp;" "&amp;P25&amp;" "&amp;P26&amp;" "&amp;P27&amp;" "&amp;P28&amp;" "&amp;P29&amp;" "&amp;P30&amp;"")</f>
        <v xml:space="preserve">                 </v>
      </c>
      <c r="T5" s="51" t="str">
        <f>(Q22&amp;" "&amp;Q23&amp;" "&amp;Q24&amp;" "&amp;Q25&amp;" "&amp;Q26&amp;" "&amp;Q27&amp;" "&amp;Q28&amp;" "&amp;Q29&amp;" "&amp;Q30&amp;"")</f>
        <v xml:space="preserve">                 </v>
      </c>
    </row>
    <row r="6" spans="1:20" ht="15" x14ac:dyDescent="0.2">
      <c r="A6" s="51">
        <f t="shared" si="0"/>
        <v>0</v>
      </c>
      <c r="C6" s="51">
        <f>Risikoanalyse!B20</f>
        <v>6</v>
      </c>
      <c r="D6" s="51">
        <f>Risikoanalyse!S20</f>
        <v>0</v>
      </c>
      <c r="E6" s="51">
        <f>IFERROR(IF(VLOOKUP(C6,Risikolog[],22)="Risiko",Risikoanalyse!R20+101,0),"")</f>
        <v>0</v>
      </c>
      <c r="G6" s="58">
        <v>1</v>
      </c>
      <c r="H6" s="59">
        <f>H7*G6</f>
        <v>102</v>
      </c>
      <c r="I6" s="59">
        <f>I7*G6</f>
        <v>103</v>
      </c>
      <c r="J6" s="59">
        <v>104</v>
      </c>
      <c r="K6" s="59">
        <v>105</v>
      </c>
      <c r="L6" s="59">
        <v>106</v>
      </c>
      <c r="N6" s="214"/>
      <c r="O6" s="61">
        <v>1</v>
      </c>
      <c r="P6" s="51" t="str">
        <f>(G33&amp;" "&amp;G34&amp;" "&amp;G35&amp;" "&amp;G36&amp;" "&amp;G37&amp;" "&amp;G38&amp;" "&amp;G39&amp;" "&amp;G40&amp;" "&amp;G41&amp;"")</f>
        <v xml:space="preserve">                 </v>
      </c>
      <c r="Q6" s="51" t="str">
        <f>(H33&amp;" "&amp;H34&amp;" "&amp;H35&amp;" "&amp;H36&amp;" "&amp;H37&amp;" "&amp;H38&amp;" "&amp;H39&amp;" "&amp;H40&amp;" "&amp;H41&amp;"")</f>
        <v xml:space="preserve">                 </v>
      </c>
      <c r="R6" s="51" t="str">
        <f>(I33&amp;" "&amp;I34&amp;" "&amp;I35&amp;" "&amp;I36&amp;" "&amp;I37&amp;" "&amp;I38&amp;" "&amp;I39&amp;" "&amp;I40&amp;" "&amp;I41&amp;"")</f>
        <v xml:space="preserve">                 </v>
      </c>
      <c r="S6" s="51" t="str">
        <f>(J33&amp;" "&amp;J34&amp;" "&amp;J35&amp;" "&amp;J36&amp;" "&amp;J37&amp;" "&amp;J38&amp;" "&amp;J39&amp;" "&amp;J40&amp;" "&amp;J41&amp;"")</f>
        <v xml:space="preserve">                 </v>
      </c>
      <c r="T6" s="51" t="str">
        <f>(K33&amp;" "&amp;K34&amp;" "&amp;K35&amp;" "&amp;K36&amp;" "&amp;K37&amp;" "&amp;K38&amp;" "&amp;K39&amp;" "&amp;K40&amp;" "&amp;K41&amp;"")</f>
        <v xml:space="preserve">                 </v>
      </c>
    </row>
    <row r="7" spans="1:20" ht="15" x14ac:dyDescent="0.2">
      <c r="A7" s="51">
        <f t="shared" si="0"/>
        <v>0</v>
      </c>
      <c r="C7" s="51">
        <f>Risikoanalyse!B21</f>
        <v>7</v>
      </c>
      <c r="D7" s="51">
        <f>Risikoanalyse!S21</f>
        <v>0</v>
      </c>
      <c r="E7" s="51">
        <f>IFERROR(IF(VLOOKUP(C7,Risikolog[],22)="Risiko",Risikoanalyse!R21+101,0),"")</f>
        <v>0</v>
      </c>
      <c r="G7" s="58"/>
      <c r="H7" s="58">
        <v>102</v>
      </c>
      <c r="I7" s="58">
        <v>103</v>
      </c>
      <c r="J7" s="58">
        <v>104</v>
      </c>
      <c r="K7" s="58">
        <v>105</v>
      </c>
      <c r="L7" s="58">
        <v>106</v>
      </c>
      <c r="N7" s="214"/>
      <c r="O7" s="50"/>
      <c r="P7" s="62">
        <v>1</v>
      </c>
      <c r="Q7" s="62">
        <v>2</v>
      </c>
      <c r="R7" s="62">
        <v>3</v>
      </c>
      <c r="S7" s="62">
        <v>4</v>
      </c>
      <c r="T7" s="62">
        <v>5</v>
      </c>
    </row>
    <row r="8" spans="1:20" x14ac:dyDescent="0.2">
      <c r="A8" s="51">
        <f t="shared" si="0"/>
        <v>0</v>
      </c>
      <c r="C8" s="51">
        <f>Risikoanalyse!B22</f>
        <v>8</v>
      </c>
      <c r="D8" s="51">
        <f>Risikoanalyse!S22</f>
        <v>0</v>
      </c>
      <c r="E8" s="51">
        <f>IFERROR(IF(VLOOKUP(C8,Risikolog[],22)="Risiko",Risikoanalyse!R22+101,0),"")</f>
        <v>0</v>
      </c>
      <c r="N8" s="50"/>
      <c r="O8" s="50"/>
      <c r="P8" s="50"/>
      <c r="Q8" s="215" t="s">
        <v>72</v>
      </c>
      <c r="R8" s="215"/>
      <c r="S8" s="215"/>
      <c r="T8" s="50"/>
    </row>
    <row r="9" spans="1:20" x14ac:dyDescent="0.2">
      <c r="A9" s="51">
        <f t="shared" si="0"/>
        <v>0</v>
      </c>
      <c r="C9" s="51">
        <f>Risikoanalyse!B23</f>
        <v>9</v>
      </c>
      <c r="D9" s="51">
        <f>Risikoanalyse!S23</f>
        <v>0</v>
      </c>
      <c r="E9" s="51">
        <f>IFERROR(IF(VLOOKUP(C9,Risikolog[],22)="Risiko",Risikoanalyse!R23+101,0),"")</f>
        <v>0</v>
      </c>
    </row>
    <row r="10" spans="1:20" x14ac:dyDescent="0.2">
      <c r="A10" s="51">
        <f t="shared" si="0"/>
        <v>0</v>
      </c>
      <c r="C10" s="51">
        <f>Risikoanalyse!B24</f>
        <v>10</v>
      </c>
      <c r="D10" s="51">
        <f>Risikoanalyse!S24</f>
        <v>0</v>
      </c>
      <c r="E10" s="51">
        <f>IFERROR(IF(VLOOKUP(C10,Risikolog[],22)="Risiko",Risikoanalyse!R24+101,0),"")</f>
        <v>0</v>
      </c>
      <c r="G10" s="58">
        <v>510</v>
      </c>
      <c r="H10" s="58">
        <v>515</v>
      </c>
      <c r="I10" s="58">
        <v>520</v>
      </c>
      <c r="J10" s="58">
        <v>525</v>
      </c>
      <c r="K10" s="58">
        <v>530</v>
      </c>
      <c r="M10" s="58">
        <v>408</v>
      </c>
      <c r="N10" s="58">
        <v>412</v>
      </c>
      <c r="O10" s="58">
        <v>416</v>
      </c>
      <c r="P10" s="58">
        <v>420</v>
      </c>
      <c r="Q10" s="58">
        <v>424</v>
      </c>
    </row>
    <row r="11" spans="1:20" x14ac:dyDescent="0.2">
      <c r="A11" s="51">
        <f t="shared" si="0"/>
        <v>0</v>
      </c>
      <c r="C11" s="51">
        <f>Risikoanalyse!B25</f>
        <v>11</v>
      </c>
      <c r="D11" s="51">
        <f>Risikoanalyse!S25</f>
        <v>0</v>
      </c>
      <c r="E11" s="51">
        <f>IFERROR(IF(VLOOKUP(C11,Risikolog[],22)="Risiko",Risikoanalyse!R25+101,0),"")</f>
        <v>0</v>
      </c>
      <c r="G11" s="60" t="str">
        <f t="array" ref="G11">IFERROR(INDEX($A$1:$C$300,SMALL(IF($A$1:$A$300=H$2,ROW($A$1:$A$300)),ROW(1:1)),3)," ")</f>
        <v xml:space="preserve"> </v>
      </c>
      <c r="H11" s="60" t="str">
        <f t="array" ref="H11">IFERROR(INDEX($A$1:$C$300,SMALL(IF($A$1:$A$300=I$2,ROW($A$1:$A$300)),ROW(1:1)),3)," ")</f>
        <v xml:space="preserve"> </v>
      </c>
      <c r="I11" s="60" t="str">
        <f t="array" ref="I11">IFERROR(INDEX($A$1:$C$300,SMALL(IF($A$1:$A$300=J$2,ROW($A$1:$A$300)),ROW(1:1)),3)," ")</f>
        <v xml:space="preserve"> </v>
      </c>
      <c r="J11" s="60" t="str">
        <f t="array" ref="J11">IFERROR(INDEX($A$1:$C$300,SMALL(IF($A$1:$A$300=K$2,ROW($A$1:$A$300)),ROW(1:1)),3)," ")</f>
        <v xml:space="preserve"> </v>
      </c>
      <c r="K11" s="60" t="str">
        <f t="array" ref="K11">IFERROR(INDEX($A$1:$C$300,SMALL(IF($A$1:$A$300=L$2,ROW($A$1:$A$300)),ROW(1:1)),3)," ")</f>
        <v xml:space="preserve"> </v>
      </c>
      <c r="M11" s="60" t="str">
        <f t="array" ref="M11">IFERROR(INDEX($A$1:$D$300,SMALL(IF($A$1:$A$300=$H$3,ROW($A$1:$A$300)),ROW(1:1)),3)," ")</f>
        <v xml:space="preserve"> </v>
      </c>
      <c r="N11" s="60" t="str">
        <f t="array" ref="N11">IFERROR(INDEX($A$1:$D$300,SMALL(IF($A$1:$A$300=$I$3,ROW($A$1:$A$300)),ROW(1:1)),3)," ")</f>
        <v xml:space="preserve"> </v>
      </c>
      <c r="O11" s="60" t="str">
        <f t="array" ref="O11">IFERROR(INDEX($A$1:$D$300,SMALL(IF($A$1:$A$300=$J$3,ROW($A$1:$A$300)),ROW(1:1)),3)," ")</f>
        <v xml:space="preserve"> </v>
      </c>
      <c r="P11" s="60" t="str">
        <f t="array" ref="P11">IFERROR(INDEX($A$1:$D$300,SMALL(IF($A$1:$A$300=$K$3,ROW($A$1:$A$300)),ROW(1:1)),3)," ")</f>
        <v xml:space="preserve"> </v>
      </c>
      <c r="Q11" s="60" t="str">
        <f t="array" ref="Q11">IFERROR(INDEX($A$1:$D$300,SMALL(IF($A$1:$A$300=$L$3,ROW($A$1:$A$300)),ROW(1:1)),3)," ")</f>
        <v xml:space="preserve"> </v>
      </c>
    </row>
    <row r="12" spans="1:20" x14ac:dyDescent="0.2">
      <c r="A12" s="51">
        <f t="shared" si="0"/>
        <v>0</v>
      </c>
      <c r="C12" s="51">
        <f>Risikoanalyse!B26</f>
        <v>12</v>
      </c>
      <c r="D12" s="51">
        <f>Risikoanalyse!S26</f>
        <v>0</v>
      </c>
      <c r="E12" s="51">
        <f>IFERROR(IF(VLOOKUP(C12,Risikolog[],22)="Risiko",Risikoanalyse!R26+101,0),"")</f>
        <v>0</v>
      </c>
      <c r="G12" s="60" t="str">
        <f t="array" ref="G12">IFERROR(INDEX($A$1:$C$300,SMALL(IF($A$1:$A$300=H$2,ROW($A$1:$A$300)),ROW(2:2)),3)," ")</f>
        <v xml:space="preserve"> </v>
      </c>
      <c r="H12" s="60" t="str">
        <f t="array" ref="H12">IFERROR(INDEX($A$1:$C$300,SMALL(IF($A$1:$A$300=I$2,ROW($A$1:$A$300)),ROW(2:2)),3)," ")</f>
        <v xml:space="preserve"> </v>
      </c>
      <c r="I12" s="60" t="str">
        <f t="array" ref="I12">IFERROR(INDEX($A$1:$C$300,SMALL(IF($A$1:$A$300=J$2,ROW($A$1:$A$300)),ROW(2:2)),3)," ")</f>
        <v xml:space="preserve"> </v>
      </c>
      <c r="J12" s="60" t="str">
        <f t="array" ref="J12">IFERROR(INDEX($A$1:$C$300,SMALL(IF($A$1:$A$300=K$2,ROW($A$1:$A$300)),ROW(2:2)),3)," ")</f>
        <v xml:space="preserve"> </v>
      </c>
      <c r="K12" s="60" t="str">
        <f t="array" ref="K12">IFERROR(INDEX($A$1:$C$300,SMALL(IF($A$1:$A$300=L$2,ROW($A$1:$A$300)),ROW(2:2)),3)," ")</f>
        <v xml:space="preserve"> </v>
      </c>
      <c r="M12" s="60" t="str">
        <f t="array" ref="M12">IFERROR(INDEX($A$1:$D$300,SMALL(IF($A$1:$A$300=$H$3,ROW($A$1:$A$300)),ROW(2:2)),3)," ")</f>
        <v xml:space="preserve"> </v>
      </c>
      <c r="N12" s="60" t="str">
        <f t="array" ref="N12">IFERROR(INDEX($A$1:$D$300,SMALL(IF($A$1:$A$300=$I$3,ROW($A$1:$A$300)),ROW(2:2)),3)," ")</f>
        <v xml:space="preserve"> </v>
      </c>
      <c r="O12" s="60" t="str">
        <f t="array" ref="O12">IFERROR(INDEX($A$1:$D$300,SMALL(IF($A$1:$A$300=$J$3,ROW($A$1:$A$300)),ROW(2:2)),3)," ")</f>
        <v xml:space="preserve"> </v>
      </c>
      <c r="P12" s="60" t="str">
        <f t="array" ref="P12">IFERROR(INDEX($A$1:$D$300,SMALL(IF($A$1:$A$300=$K$3,ROW($A$1:$A$300)),ROW(2:2)),3)," ")</f>
        <v xml:space="preserve"> </v>
      </c>
      <c r="Q12" s="60" t="str">
        <f t="array" ref="Q12">IFERROR(INDEX($A$1:$D$300,SMALL(IF($A$1:$A$300=$L$3,ROW($A$1:$A$300)),ROW(2:2)),3)," ")</f>
        <v xml:space="preserve"> </v>
      </c>
    </row>
    <row r="13" spans="1:20" x14ac:dyDescent="0.2">
      <c r="A13" s="51">
        <f t="shared" si="0"/>
        <v>0</v>
      </c>
      <c r="C13" s="51">
        <f>Risikoanalyse!B27</f>
        <v>13</v>
      </c>
      <c r="D13" s="51">
        <f>Risikoanalyse!S27</f>
        <v>0</v>
      </c>
      <c r="E13" s="51">
        <f>IFERROR(IF(VLOOKUP(C13,Risikolog[],22)="Risiko",Risikoanalyse!R27+101,0),"")</f>
        <v>0</v>
      </c>
      <c r="G13" s="60" t="str">
        <f t="array" ref="G13">IFERROR(INDEX($A$1:$C$300,SMALL(IF($A$1:$A$300=H$2,ROW($A$1:$A$300)),ROW(3:3)),3)," ")</f>
        <v xml:space="preserve"> </v>
      </c>
      <c r="H13" s="60" t="str">
        <f t="array" ref="H13">IFERROR(INDEX($A$1:$C$300,SMALL(IF($A$1:$A$300=I$2,ROW($A$1:$A$300)),ROW(3:3)),3)," ")</f>
        <v xml:space="preserve"> </v>
      </c>
      <c r="I13" s="60" t="str">
        <f t="array" ref="I13">IFERROR(INDEX($A$1:$C$300,SMALL(IF($A$1:$A$300=J$2,ROW($A$1:$A$300)),ROW(3:3)),3)," ")</f>
        <v xml:space="preserve"> </v>
      </c>
      <c r="J13" s="60" t="str">
        <f t="array" ref="J13">IFERROR(INDEX($A$1:$C$300,SMALL(IF($A$1:$A$300=K$2,ROW($A$1:$A$300)),ROW(3:3)),3)," ")</f>
        <v xml:space="preserve"> </v>
      </c>
      <c r="K13" s="60" t="str">
        <f t="array" ref="K13">IFERROR(INDEX($A$1:$C$300,SMALL(IF($A$1:$A$300=L$2,ROW($A$1:$A$300)),ROW(3:3)),3)," ")</f>
        <v xml:space="preserve"> </v>
      </c>
      <c r="M13" s="60" t="str">
        <f t="array" ref="M13">IFERROR(INDEX($A$1:$D$300,SMALL(IF($A$1:$A$300=$H$3,ROW($A$1:$A$300)),ROW(3:3)),3)," ")</f>
        <v xml:space="preserve"> </v>
      </c>
      <c r="N13" s="60" t="str">
        <f t="array" ref="N13">IFERROR(INDEX($A$1:$D$300,SMALL(IF($A$1:$A$300=$I$3,ROW($A$1:$A$300)),ROW(3:3)),3)," ")</f>
        <v xml:space="preserve"> </v>
      </c>
      <c r="O13" s="60" t="str">
        <f t="array" ref="O13">IFERROR(INDEX($A$1:$D$300,SMALL(IF($A$1:$A$300=$J$3,ROW($A$1:$A$300)),ROW(3:3)),3)," ")</f>
        <v xml:space="preserve"> </v>
      </c>
      <c r="P13" s="60" t="str">
        <f t="array" ref="P13">IFERROR(INDEX($A$1:$D$300,SMALL(IF($A$1:$A$300=$K$3,ROW($A$1:$A$300)),ROW(3:3)),3)," ")</f>
        <v xml:space="preserve"> </v>
      </c>
      <c r="Q13" s="60" t="str">
        <f t="array" ref="Q13">IFERROR(INDEX($A$1:$D$300,SMALL(IF($A$1:$A$300=$L$3,ROW($A$1:$A$300)),ROW(3:3)),3)," ")</f>
        <v xml:space="preserve"> </v>
      </c>
    </row>
    <row r="14" spans="1:20" x14ac:dyDescent="0.2">
      <c r="A14" s="51">
        <f t="shared" si="0"/>
        <v>0</v>
      </c>
      <c r="C14" s="51">
        <f>Risikoanalyse!B28</f>
        <v>14</v>
      </c>
      <c r="D14" s="51">
        <f>Risikoanalyse!S28</f>
        <v>0</v>
      </c>
      <c r="E14" s="51">
        <f>IFERROR(IF(VLOOKUP(C14,Risikolog[],22)="Risiko",Risikoanalyse!R28+101,0),"")</f>
        <v>0</v>
      </c>
      <c r="G14" s="60" t="str">
        <f t="array" ref="G14">IFERROR(INDEX($A$1:$C$300,SMALL(IF($A$1:$A$300=H$2,ROW($A$1:$A$300)),ROW(4:4)),3)," ")</f>
        <v xml:space="preserve"> </v>
      </c>
      <c r="H14" s="60" t="str">
        <f t="array" ref="H14">IFERROR(INDEX($A$1:$C$300,SMALL(IF($A$1:$A$300=I$2,ROW($A$1:$A$300)),ROW(4:4)),3)," ")</f>
        <v xml:space="preserve"> </v>
      </c>
      <c r="I14" s="60" t="str">
        <f t="array" ref="I14">IFERROR(INDEX($A$1:$C$300,SMALL(IF($A$1:$A$300=J$2,ROW($A$1:$A$300)),ROW(4:4)),3)," ")</f>
        <v xml:space="preserve"> </v>
      </c>
      <c r="J14" s="60" t="str">
        <f t="array" ref="J14">IFERROR(INDEX($A$1:$C$300,SMALL(IF($A$1:$A$300=K$2,ROW($A$1:$A$300)),ROW(4:4)),3)," ")</f>
        <v xml:space="preserve"> </v>
      </c>
      <c r="K14" s="60" t="str">
        <f t="array" ref="K14">IFERROR(INDEX($A$1:$C$300,SMALL(IF($A$1:$A$300=L$2,ROW($A$1:$A$300)),ROW(4:4)),3)," ")</f>
        <v xml:space="preserve"> </v>
      </c>
      <c r="M14" s="60" t="str">
        <f t="array" ref="M14">IFERROR(INDEX($A$1:$D$300,SMALL(IF($A$1:$A$300=$H$3,ROW($A$1:$A$300)),ROW(4:4)),3)," ")</f>
        <v xml:space="preserve"> </v>
      </c>
      <c r="N14" s="60" t="str">
        <f t="array" ref="N14">IFERROR(INDEX($A$1:$D$300,SMALL(IF($A$1:$A$300=$I$3,ROW($A$1:$A$300)),ROW(4:4)),3)," ")</f>
        <v xml:space="preserve"> </v>
      </c>
      <c r="O14" s="60" t="str">
        <f t="array" ref="O14">IFERROR(INDEX($A$1:$D$300,SMALL(IF($A$1:$A$300=$J$3,ROW($A$1:$A$300)),ROW(4:4)),3)," ")</f>
        <v xml:space="preserve"> </v>
      </c>
      <c r="P14" s="60" t="str">
        <f t="array" ref="P14">IFERROR(INDEX($A$1:$D$300,SMALL(IF($A$1:$A$300=$K$3,ROW($A$1:$A$300)),ROW(4:4)),3)," ")</f>
        <v xml:space="preserve"> </v>
      </c>
      <c r="Q14" s="60" t="str">
        <f t="array" ref="Q14">IFERROR(INDEX($A$1:$D$300,SMALL(IF($A$1:$A$300=$L$3,ROW($A$1:$A$300)),ROW(4:4)),3)," ")</f>
        <v xml:space="preserve"> </v>
      </c>
    </row>
    <row r="15" spans="1:20" x14ac:dyDescent="0.2">
      <c r="A15" s="51">
        <f t="shared" si="0"/>
        <v>0</v>
      </c>
      <c r="C15" s="51">
        <f>Risikoanalyse!B29</f>
        <v>15</v>
      </c>
      <c r="D15" s="51">
        <f>Risikoanalyse!S29</f>
        <v>0</v>
      </c>
      <c r="E15" s="51">
        <f>IFERROR(IF(VLOOKUP(C15,Risikolog[],22)="Risiko",Risikoanalyse!R29+101,0),"")</f>
        <v>0</v>
      </c>
      <c r="G15" s="60" t="str">
        <f t="array" ref="G15">IFERROR(INDEX($A$1:$C$300,SMALL(IF($A$1:$A$300=H$2,ROW($A$1:$A$300)),ROW(5:5)),3)," ")</f>
        <v xml:space="preserve"> </v>
      </c>
      <c r="H15" s="60" t="str">
        <f t="array" ref="H15">IFERROR(INDEX($A$1:$C$300,SMALL(IF($A$1:$A$300=I$2,ROW($A$1:$A$300)),ROW(5:5)),3)," ")</f>
        <v xml:space="preserve"> </v>
      </c>
      <c r="I15" s="60" t="str">
        <f t="array" ref="I15">IFERROR(INDEX($A$1:$C$300,SMALL(IF($A$1:$A$300=J$2,ROW($A$1:$A$300)),ROW(5:5)),3)," ")</f>
        <v xml:space="preserve"> </v>
      </c>
      <c r="J15" s="60" t="str">
        <f t="array" ref="J15">IFERROR(INDEX($A$1:$C$300,SMALL(IF($A$1:$A$300=K$2,ROW($A$1:$A$300)),ROW(5:5)),3)," ")</f>
        <v xml:space="preserve"> </v>
      </c>
      <c r="K15" s="60" t="str">
        <f t="array" ref="K15">IFERROR(INDEX($A$1:$C$300,SMALL(IF($A$1:$A$300=L$2,ROW($A$1:$A$300)),ROW(5:5)),3)," ")</f>
        <v xml:space="preserve"> </v>
      </c>
      <c r="M15" s="60" t="str">
        <f t="array" ref="M15">IFERROR(INDEX($A$1:$D$300,SMALL(IF($A$1:$A$300=$H$3,ROW($A$1:$A$300)),ROW(5:5)),3)," ")</f>
        <v xml:space="preserve"> </v>
      </c>
      <c r="N15" s="60" t="str">
        <f t="array" ref="N15">IFERROR(INDEX($A$1:$D$300,SMALL(IF($A$1:$A$300=$I$3,ROW($A$1:$A$300)),ROW(5:5)),3)," ")</f>
        <v xml:space="preserve"> </v>
      </c>
      <c r="O15" s="60" t="str">
        <f t="array" ref="O15">IFERROR(INDEX($A$1:$D$300,SMALL(IF($A$1:$A$300=$J$3,ROW($A$1:$A$300)),ROW(5:5)),3)," ")</f>
        <v xml:space="preserve"> </v>
      </c>
      <c r="P15" s="60" t="str">
        <f t="array" ref="P15">IFERROR(INDEX($A$1:$D$300,SMALL(IF($A$1:$A$300=$K$3,ROW($A$1:$A$300)),ROW(5:5)),3)," ")</f>
        <v xml:space="preserve"> </v>
      </c>
      <c r="Q15" s="60" t="str">
        <f t="array" ref="Q15">IFERROR(INDEX($A$1:$D$300,SMALL(IF($A$1:$A$300=$L$3,ROW($A$1:$A$300)),ROW(5:5)),3)," ")</f>
        <v xml:space="preserve"> </v>
      </c>
    </row>
    <row r="16" spans="1:20" x14ac:dyDescent="0.2">
      <c r="A16" s="51">
        <f t="shared" si="0"/>
        <v>0</v>
      </c>
      <c r="C16" s="51">
        <f>Risikoanalyse!B30</f>
        <v>16</v>
      </c>
      <c r="D16" s="51">
        <f>Risikoanalyse!S30</f>
        <v>0</v>
      </c>
      <c r="E16" s="51">
        <f>IFERROR(IF(VLOOKUP(C16,Risikolog[],22)="Risiko",Risikoanalyse!R30+101,0),"")</f>
        <v>0</v>
      </c>
      <c r="G16" s="60" t="str">
        <f t="array" ref="G16">IFERROR(INDEX($A$1:$C$300,SMALL(IF($A$1:$A$300=H$2,ROW($A$1:$A$300)),ROW(6:6)),3)," ")</f>
        <v xml:space="preserve"> </v>
      </c>
      <c r="H16" s="60" t="str">
        <f t="array" ref="H16">IFERROR(INDEX($A$1:$C$300,SMALL(IF($A$1:$A$300=I$2,ROW($A$1:$A$300)),ROW(6:6)),3)," ")</f>
        <v xml:space="preserve"> </v>
      </c>
      <c r="I16" s="60" t="str">
        <f t="array" ref="I16">IFERROR(INDEX($A$1:$C$300,SMALL(IF($A$1:$A$300=J$2,ROW($A$1:$A$300)),ROW(6:6)),3)," ")</f>
        <v xml:space="preserve"> </v>
      </c>
      <c r="J16" s="60" t="str">
        <f t="array" ref="J16">IFERROR(INDEX($A$1:$C$300,SMALL(IF($A$1:$A$300=K$2,ROW($A$1:$A$300)),ROW(6:6)),3)," ")</f>
        <v xml:space="preserve"> </v>
      </c>
      <c r="K16" s="60" t="str">
        <f t="array" ref="K16">IFERROR(INDEX($A$1:$C$300,SMALL(IF($A$1:$A$300=L$2,ROW($A$1:$A$300)),ROW(6:6)),3)," ")</f>
        <v xml:space="preserve"> </v>
      </c>
      <c r="M16" s="60" t="str">
        <f t="array" ref="M16">IFERROR(INDEX($A$1:$D$300,SMALL(IF($A$1:$A$300=$H$3,ROW($A$1:$A$300)),ROW(6:6)),3)," ")</f>
        <v xml:space="preserve"> </v>
      </c>
      <c r="N16" s="60" t="str">
        <f t="array" ref="N16">IFERROR(INDEX($A$1:$D$300,SMALL(IF($A$1:$A$300=$I$3,ROW($A$1:$A$300)),ROW(6:6)),3)," ")</f>
        <v xml:space="preserve"> </v>
      </c>
      <c r="O16" s="60" t="str">
        <f t="array" ref="O16">IFERROR(INDEX($A$1:$D$300,SMALL(IF($A$1:$A$300=$J$3,ROW($A$1:$A$300)),ROW(6:6)),3)," ")</f>
        <v xml:space="preserve"> </v>
      </c>
      <c r="P16" s="60" t="str">
        <f t="array" ref="P16">IFERROR(INDEX($A$1:$D$300,SMALL(IF($A$1:$A$300=$K$3,ROW($A$1:$A$300)),ROW(6:6)),3)," ")</f>
        <v xml:space="preserve"> </v>
      </c>
      <c r="Q16" s="60" t="str">
        <f t="array" ref="Q16">IFERROR(INDEX($A$1:$D$300,SMALL(IF($A$1:$A$300=$L$3,ROW($A$1:$A$300)),ROW(6:6)),3)," ")</f>
        <v xml:space="preserve"> </v>
      </c>
    </row>
    <row r="17" spans="1:17" x14ac:dyDescent="0.2">
      <c r="A17" s="51">
        <f t="shared" si="0"/>
        <v>0</v>
      </c>
      <c r="C17" s="51">
        <f>Risikoanalyse!B31</f>
        <v>17</v>
      </c>
      <c r="D17" s="51">
        <f>Risikoanalyse!S31</f>
        <v>0</v>
      </c>
      <c r="E17" s="51">
        <f>IFERROR(IF(VLOOKUP(C17,Risikolog[],22)="Risiko",Risikoanalyse!R31+101,0),"")</f>
        <v>0</v>
      </c>
      <c r="G17" s="60" t="str">
        <f t="array" ref="G17">IFERROR(INDEX($A$1:$C$300,SMALL(IF($A$1:$A$300=H$2,ROW($A$1:$A$300)),ROW(7:7)),3)," ")</f>
        <v xml:space="preserve"> </v>
      </c>
      <c r="H17" s="60" t="str">
        <f t="array" ref="H17">IFERROR(INDEX($A$1:$C$300,SMALL(IF($A$1:$A$300=I$2,ROW($A$1:$A$300)),ROW(7:7)),3)," ")</f>
        <v xml:space="preserve"> </v>
      </c>
      <c r="I17" s="60" t="str">
        <f t="array" ref="I17">IFERROR(INDEX($A$1:$C$300,SMALL(IF($A$1:$A$300=J$2,ROW($A$1:$A$300)),ROW(7:7)),3)," ")</f>
        <v xml:space="preserve"> </v>
      </c>
      <c r="J17" s="60" t="str">
        <f t="array" ref="J17">IFERROR(INDEX($A$1:$C$300,SMALL(IF($A$1:$A$300=K$2,ROW($A$1:$A$300)),ROW(7:7)),3)," ")</f>
        <v xml:space="preserve"> </v>
      </c>
      <c r="K17" s="60" t="str">
        <f t="array" ref="K17">IFERROR(INDEX($A$1:$C$300,SMALL(IF($A$1:$A$300=L$2,ROW($A$1:$A$300)),ROW(7:7)),3)," ")</f>
        <v xml:space="preserve"> </v>
      </c>
      <c r="M17" s="60" t="str">
        <f t="array" ref="M17">IFERROR(INDEX($A$1:$D$300,SMALL(IF($A$1:$A$300=$H$3,ROW($A$1:$A$300)),ROW(7:7)),3)," ")</f>
        <v xml:space="preserve"> </v>
      </c>
      <c r="N17" s="60" t="str">
        <f t="array" ref="N17">IFERROR(INDEX($A$1:$D$300,SMALL(IF($A$1:$A$300=$I$3,ROW($A$1:$A$300)),ROW(7:7)),3)," ")</f>
        <v xml:space="preserve"> </v>
      </c>
      <c r="O17" s="60" t="str">
        <f t="array" ref="O17">IFERROR(INDEX($A$1:$D$300,SMALL(IF($A$1:$A$300=$J$3,ROW($A$1:$A$300)),ROW(7:7)),3)," ")</f>
        <v xml:space="preserve"> </v>
      </c>
      <c r="P17" s="60" t="str">
        <f t="array" ref="P17">IFERROR(INDEX($A$1:$D$300,SMALL(IF($A$1:$A$300=$K$3,ROW($A$1:$A$300)),ROW(7:7)),3)," ")</f>
        <v xml:space="preserve"> </v>
      </c>
      <c r="Q17" s="60" t="str">
        <f t="array" ref="Q17">IFERROR(INDEX($A$1:$D$300,SMALL(IF($A$1:$A$300=$L$3,ROW($A$1:$A$300)),ROW(7:7)),3)," ")</f>
        <v xml:space="preserve"> </v>
      </c>
    </row>
    <row r="18" spans="1:17" x14ac:dyDescent="0.2">
      <c r="A18" s="51">
        <f t="shared" si="0"/>
        <v>0</v>
      </c>
      <c r="C18" s="51">
        <f>Risikoanalyse!B32</f>
        <v>18</v>
      </c>
      <c r="D18" s="51">
        <f>Risikoanalyse!S32</f>
        <v>0</v>
      </c>
      <c r="E18" s="51">
        <f>IFERROR(IF(VLOOKUP(C18,Risikolog[],22)="Risiko",Risikoanalyse!R32+101,0),"")</f>
        <v>0</v>
      </c>
      <c r="G18" s="60" t="str">
        <f t="array" ref="G18">IFERROR(INDEX($A$1:$C$300,SMALL(IF($A$1:$A$300=H$2,ROW($A$1:$A$300)),ROW(8:8)),3)," ")</f>
        <v xml:space="preserve"> </v>
      </c>
      <c r="H18" s="60" t="str">
        <f t="array" ref="H18">IFERROR(INDEX($A$1:$C$300,SMALL(IF($A$1:$A$300=I$2,ROW($A$1:$A$300)),ROW(8:8)),3)," ")</f>
        <v xml:space="preserve"> </v>
      </c>
      <c r="I18" s="60" t="str">
        <f t="array" ref="I18">IFERROR(INDEX($A$1:$C$300,SMALL(IF($A$1:$A$300=J$2,ROW($A$1:$A$300)),ROW(8:8)),3)," ")</f>
        <v xml:space="preserve"> </v>
      </c>
      <c r="J18" s="60" t="str">
        <f t="array" ref="J18">IFERROR(INDEX($A$1:$C$300,SMALL(IF($A$1:$A$300=K$2,ROW($A$1:$A$300)),ROW(8:8)),3)," ")</f>
        <v xml:space="preserve"> </v>
      </c>
      <c r="K18" s="60" t="str">
        <f t="array" ref="K18">IFERROR(INDEX($A$1:$C$300,SMALL(IF($A$1:$A$300=L$2,ROW($A$1:$A$300)),ROW(8:8)),3)," ")</f>
        <v xml:space="preserve"> </v>
      </c>
      <c r="M18" s="60" t="str">
        <f t="array" ref="M18">IFERROR(INDEX($A$1:$D$300,SMALL(IF($A$1:$A$300=$H$3,ROW($A$1:$A$300)),ROW(8:8)),3)," ")</f>
        <v xml:space="preserve"> </v>
      </c>
      <c r="N18" s="60" t="str">
        <f t="array" ref="N18">IFERROR(INDEX($A$1:$D$300,SMALL(IF($A$1:$A$300=$I$3,ROW($A$1:$A$300)),ROW(8:8)),3)," ")</f>
        <v xml:space="preserve"> </v>
      </c>
      <c r="O18" s="60" t="str">
        <f t="array" ref="O18">IFERROR(INDEX($A$1:$D$300,SMALL(IF($A$1:$A$300=$J$3,ROW($A$1:$A$300)),ROW(8:8)),3)," ")</f>
        <v xml:space="preserve"> </v>
      </c>
      <c r="P18" s="60" t="str">
        <f t="array" ref="P18">IFERROR(INDEX($A$1:$D$300,SMALL(IF($A$1:$A$300=$K$3,ROW($A$1:$A$300)),ROW(8:8)),3)," ")</f>
        <v xml:space="preserve"> </v>
      </c>
      <c r="Q18" s="60" t="str">
        <f t="array" ref="Q18">IFERROR(INDEX($A$1:$D$300,SMALL(IF($A$1:$A$300=$L$3,ROW($A$1:$A$300)),ROW(8:8)),3)," ")</f>
        <v xml:space="preserve"> </v>
      </c>
    </row>
    <row r="19" spans="1:17" x14ac:dyDescent="0.2">
      <c r="A19" s="51">
        <f t="shared" si="0"/>
        <v>0</v>
      </c>
      <c r="C19" s="51">
        <f>Risikoanalyse!B33</f>
        <v>19</v>
      </c>
      <c r="D19" s="51">
        <f>Risikoanalyse!S33</f>
        <v>0</v>
      </c>
      <c r="E19" s="51">
        <f>IFERROR(IF(VLOOKUP(C19,Risikolog[],22)="Risiko",Risikoanalyse!R33+101,0),"")</f>
        <v>0</v>
      </c>
      <c r="G19" s="60" t="str">
        <f t="array" ref="G19">IFERROR(INDEX($A$1:$C$300,SMALL(IF($A$1:$A$300=H$2,ROW($A$1:$A$300)),ROW(9:9)),3)," ")</f>
        <v xml:space="preserve"> </v>
      </c>
      <c r="H19" s="60" t="str">
        <f t="array" ref="H19">IFERROR(INDEX($A$1:$C$300,SMALL(IF($A$1:$A$300=I$2,ROW($A$1:$A$300)),ROW(9:9)),3)," ")</f>
        <v xml:space="preserve"> </v>
      </c>
      <c r="I19" s="60" t="str">
        <f t="array" ref="I19">IFERROR(INDEX($A$1:$C$300,SMALL(IF($A$1:$A$300=J$2,ROW($A$1:$A$300)),ROW(9:9)),3)," ")</f>
        <v xml:space="preserve"> </v>
      </c>
      <c r="J19" s="60" t="str">
        <f t="array" ref="J19">IFERROR(INDEX($A$1:$C$300,SMALL(IF($A$1:$A$300=K$2,ROW($A$1:$A$300)),ROW(9:9)),3)," ")</f>
        <v xml:space="preserve"> </v>
      </c>
      <c r="K19" s="60" t="str">
        <f t="array" ref="K19">IFERROR(INDEX($A$1:$C$300,SMALL(IF($A$1:$A$300=L$2,ROW($A$1:$A$300)),ROW(9:9)),3)," ")</f>
        <v xml:space="preserve"> </v>
      </c>
      <c r="M19" s="60" t="str">
        <f t="array" ref="M19">IFERROR(INDEX($A$1:$D$300,SMALL(IF($A$1:$A$300=$H$3,ROW($A$1:$A$300)),ROW(9:9)),3)," ")</f>
        <v xml:space="preserve"> </v>
      </c>
      <c r="N19" s="60" t="str">
        <f t="array" ref="N19">IFERROR(INDEX($A$1:$D$300,SMALL(IF($A$1:$A$300=$I$3,ROW($A$1:$A$300)),ROW(9:9)),3)," ")</f>
        <v xml:space="preserve"> </v>
      </c>
      <c r="O19" s="60" t="str">
        <f t="array" ref="O19">IFERROR(INDEX($A$1:$D$300,SMALL(IF($A$1:$A$300=$J$3,ROW($A$1:$A$300)),ROW(9:9)),3)," ")</f>
        <v xml:space="preserve"> </v>
      </c>
      <c r="P19" s="60" t="str">
        <f t="array" ref="P19">IFERROR(INDEX($A$1:$D$300,SMALL(IF($A$1:$A$300=$K$3,ROW($A$1:$A$300)),ROW(9:9)),3)," ")</f>
        <v xml:space="preserve"> </v>
      </c>
      <c r="Q19" s="60" t="str">
        <f t="array" ref="Q19">IFERROR(INDEX($A$1:$D$300,SMALL(IF($A$1:$A$300=$L$3,ROW($A$1:$A$300)),ROW(9:9)),3)," ")</f>
        <v xml:space="preserve"> </v>
      </c>
    </row>
    <row r="20" spans="1:17" x14ac:dyDescent="0.2">
      <c r="A20" s="51">
        <f t="shared" si="0"/>
        <v>0</v>
      </c>
      <c r="C20" s="51">
        <f>Risikoanalyse!B34</f>
        <v>20</v>
      </c>
      <c r="D20" s="51">
        <f>Risikoanalyse!S34</f>
        <v>0</v>
      </c>
      <c r="E20" s="51">
        <f>IFERROR(IF(VLOOKUP(C20,Risikolog[],22)="Risiko",Risikoanalyse!R34+101,0),"")</f>
        <v>0</v>
      </c>
    </row>
    <row r="21" spans="1:17" x14ac:dyDescent="0.2">
      <c r="A21" s="51">
        <f t="shared" si="0"/>
        <v>0</v>
      </c>
      <c r="C21" s="51">
        <f>Risikoanalyse!B35</f>
        <v>21</v>
      </c>
      <c r="D21" s="51">
        <f>Risikoanalyse!S35</f>
        <v>0</v>
      </c>
      <c r="E21" s="51">
        <f>IFERROR(IF(VLOOKUP(C21,Risikolog[],22)="Risiko",Risikoanalyse!R35+101,0),"")</f>
        <v>0</v>
      </c>
      <c r="G21" s="58">
        <v>306</v>
      </c>
      <c r="H21" s="58">
        <v>309</v>
      </c>
      <c r="I21" s="58">
        <v>312</v>
      </c>
      <c r="J21" s="58">
        <v>315</v>
      </c>
      <c r="K21" s="58">
        <v>318</v>
      </c>
      <c r="M21" s="58">
        <v>204</v>
      </c>
      <c r="N21" s="58">
        <v>206</v>
      </c>
      <c r="O21" s="58">
        <v>208</v>
      </c>
      <c r="P21" s="58">
        <v>210</v>
      </c>
      <c r="Q21" s="58">
        <v>212</v>
      </c>
    </row>
    <row r="22" spans="1:17" x14ac:dyDescent="0.2">
      <c r="A22" s="51">
        <f t="shared" si="0"/>
        <v>0</v>
      </c>
      <c r="C22" s="51">
        <f>Risikoanalyse!B36</f>
        <v>22</v>
      </c>
      <c r="D22" s="51">
        <f>Risikoanalyse!S36</f>
        <v>0</v>
      </c>
      <c r="E22" s="51">
        <f>IFERROR(IF(VLOOKUP(C22,Risikolog[],22)="Risiko",Risikoanalyse!R36+101,0),"")</f>
        <v>0</v>
      </c>
      <c r="G22" s="60" t="str">
        <f t="array" ref="G22">IFERROR(INDEX($A$1:$D$300,SMALL(IF($A$1:$A$300=$H$4,ROW($A$1:$A$300)),ROW(1:1)),3)," ")</f>
        <v xml:space="preserve"> </v>
      </c>
      <c r="H22" s="60" t="str">
        <f t="array" ref="H22">IFERROR(INDEX($A$1:$D$300,SMALL(IF($A$1:$A$300=$I$4,ROW($A$1:$A$300)),ROW(1:1)),3)," ")</f>
        <v xml:space="preserve"> </v>
      </c>
      <c r="I22" s="60" t="str">
        <f t="array" ref="I22">IFERROR(INDEX($A$1:$D$300,SMALL(IF($A$1:$A$300=$J$4,ROW($A$1:$A$300)),ROW(1:1)),3)," ")</f>
        <v xml:space="preserve"> </v>
      </c>
      <c r="J22" s="60" t="str">
        <f t="array" ref="J22">IFERROR(INDEX($A$1:$D$300,SMALL(IF($A$1:$A$300=$K$4,ROW($A$1:$A$300)),ROW(1:1)),3)," ")</f>
        <v xml:space="preserve"> </v>
      </c>
      <c r="K22" s="60" t="str">
        <f t="array" ref="K22">IFERROR(INDEX($A$1:$D$300,SMALL(IF($A$1:$A$300=$L$4,ROW($A$1:$A$300)),ROW(1:1)),3)," ")</f>
        <v xml:space="preserve"> </v>
      </c>
      <c r="M22" s="60" t="str">
        <f t="array" ref="M22">IFERROR(INDEX($A$1:$D$300,SMALL(IF($A$1:$A$300=$H$5,ROW($A$1:$A$300)),ROW(1:1)),3)," ")</f>
        <v xml:space="preserve"> </v>
      </c>
      <c r="N22" s="60" t="str">
        <f t="array" ref="N22">IFERROR(INDEX($A$1:$D$300,SMALL(IF($A$1:$A$300=$I$5,ROW($A$1:$A$300)),ROW(1:1)),3)," ")</f>
        <v xml:space="preserve"> </v>
      </c>
      <c r="O22" s="60" t="str">
        <f t="array" ref="O22">IFERROR(INDEX($A$1:$D$300,SMALL(IF($A$1:$A$300=$J$5,ROW($A$1:$A$300)),ROW(1:1)),3)," ")</f>
        <v xml:space="preserve"> </v>
      </c>
      <c r="P22" s="60" t="str">
        <f t="array" ref="P22">IFERROR(INDEX($A$1:$D$300,SMALL(IF($A$1:$A$300=$K$5,ROW($A$1:$A$300)),ROW(1:1)),3)," ")</f>
        <v xml:space="preserve"> </v>
      </c>
      <c r="Q22" s="60" t="str">
        <f t="array" ref="Q22">IFERROR(INDEX($A$1:$D$300,SMALL(IF($A$1:$A$300=$L$5,ROW($A$1:$A$300)),ROW(1:1)),3)," ")</f>
        <v xml:space="preserve"> </v>
      </c>
    </row>
    <row r="23" spans="1:17" x14ac:dyDescent="0.2">
      <c r="A23" s="51">
        <f t="shared" si="0"/>
        <v>0</v>
      </c>
      <c r="C23" s="51">
        <f>Risikoanalyse!B37</f>
        <v>23</v>
      </c>
      <c r="D23" s="51">
        <f>Risikoanalyse!S37</f>
        <v>0</v>
      </c>
      <c r="E23" s="51">
        <f>IFERROR(IF(VLOOKUP(C23,Risikolog[],22)="Risiko",Risikoanalyse!R37+101,0),"")</f>
        <v>0</v>
      </c>
      <c r="G23" s="60" t="str">
        <f t="array" ref="G23">IFERROR(INDEX($A$1:$D$300,SMALL(IF($A$1:$A$300=$H$4,ROW($A$1:$A$300)),ROW(2:2)),3)," ")</f>
        <v xml:space="preserve"> </v>
      </c>
      <c r="H23" s="60" t="str">
        <f t="array" ref="H23">IFERROR(INDEX($A$1:$D$300,SMALL(IF($A$1:$A$300=$I$4,ROW($A$1:$A$300)),ROW(2:2)),3)," ")</f>
        <v xml:space="preserve"> </v>
      </c>
      <c r="I23" s="60" t="str">
        <f t="array" ref="I23">IFERROR(INDEX($A$1:$D$300,SMALL(IF($A$1:$A$300=$J$4,ROW($A$1:$A$300)),ROW(2:2)),3)," ")</f>
        <v xml:space="preserve"> </v>
      </c>
      <c r="J23" s="60" t="str">
        <f t="array" ref="J23">IFERROR(INDEX($A$1:$D$300,SMALL(IF($A$1:$A$300=$K$4,ROW($A$1:$A$300)),ROW(2:2)),3)," ")</f>
        <v xml:space="preserve"> </v>
      </c>
      <c r="K23" s="60" t="str">
        <f t="array" ref="K23">IFERROR(INDEX($A$1:$D$300,SMALL(IF($A$1:$A$300=$L$4,ROW($A$1:$A$300)),ROW(2:2)),3)," ")</f>
        <v xml:space="preserve"> </v>
      </c>
      <c r="M23" s="60" t="str">
        <f t="array" ref="M23">IFERROR(INDEX($A$1:$D$300,SMALL(IF($A$1:$A$300=$H$5,ROW($A$1:$A$300)),ROW(2:2)),3)," ")</f>
        <v xml:space="preserve"> </v>
      </c>
      <c r="N23" s="60" t="str">
        <f t="array" ref="N23">IFERROR(INDEX($A$1:$D$300,SMALL(IF($A$1:$A$300=$I$5,ROW($A$1:$A$300)),ROW(2:2)),3)," ")</f>
        <v xml:space="preserve"> </v>
      </c>
      <c r="O23" s="60" t="str">
        <f t="array" ref="O23">IFERROR(INDEX($A$1:$D$300,SMALL(IF($A$1:$A$300=$J$5,ROW($A$1:$A$300)),ROW(2:2)),3)," ")</f>
        <v xml:space="preserve"> </v>
      </c>
      <c r="P23" s="60" t="str">
        <f t="array" ref="P23">IFERROR(INDEX($A$1:$D$300,SMALL(IF($A$1:$A$300=$K$5,ROW($A$1:$A$300)),ROW(2:2)),3)," ")</f>
        <v xml:space="preserve"> </v>
      </c>
      <c r="Q23" s="60" t="str">
        <f t="array" ref="Q23">IFERROR(INDEX($A$1:$D$300,SMALL(IF($A$1:$A$300=$L$5,ROW($A$1:$A$300)),ROW(2:2)),3)," ")</f>
        <v xml:space="preserve"> </v>
      </c>
    </row>
    <row r="24" spans="1:17" x14ac:dyDescent="0.2">
      <c r="A24" s="51">
        <f t="shared" si="0"/>
        <v>0</v>
      </c>
      <c r="C24" s="51">
        <f>Risikoanalyse!B38</f>
        <v>24</v>
      </c>
      <c r="D24" s="51">
        <f>Risikoanalyse!S38</f>
        <v>0</v>
      </c>
      <c r="E24" s="51">
        <f>IFERROR(IF(VLOOKUP(C24,Risikolog[],22)="Risiko",Risikoanalyse!R38+101,0),"")</f>
        <v>0</v>
      </c>
      <c r="G24" s="60" t="str">
        <f t="array" ref="G24">IFERROR(INDEX($A$1:$D$300,SMALL(IF($A$1:$A$300=$H$4,ROW($A$1:$A$300)),ROW(3:3)),3)," ")</f>
        <v xml:space="preserve"> </v>
      </c>
      <c r="H24" s="60" t="str">
        <f t="array" ref="H24">IFERROR(INDEX($A$1:$D$300,SMALL(IF($A$1:$A$300=$I$4,ROW($A$1:$A$300)),ROW(3:3)),3)," ")</f>
        <v xml:space="preserve"> </v>
      </c>
      <c r="I24" s="60" t="str">
        <f t="array" ref="I24">IFERROR(INDEX($A$1:$D$300,SMALL(IF($A$1:$A$300=$J$4,ROW($A$1:$A$300)),ROW(3:3)),3)," ")</f>
        <v xml:space="preserve"> </v>
      </c>
      <c r="J24" s="60" t="str">
        <f t="array" ref="J24">IFERROR(INDEX($A$1:$D$300,SMALL(IF($A$1:$A$300=$K$4,ROW($A$1:$A$300)),ROW(3:3)),3)," ")</f>
        <v xml:space="preserve"> </v>
      </c>
      <c r="K24" s="60" t="str">
        <f t="array" ref="K24">IFERROR(INDEX($A$1:$D$300,SMALL(IF($A$1:$A$300=$L$4,ROW($A$1:$A$300)),ROW(3:3)),3)," ")</f>
        <v xml:space="preserve"> </v>
      </c>
      <c r="M24" s="60" t="str">
        <f t="array" ref="M24">IFERROR(INDEX($A$1:$D$300,SMALL(IF($A$1:$A$300=$H$5,ROW($A$1:$A$300)),ROW(3:3)),3)," ")</f>
        <v xml:space="preserve"> </v>
      </c>
      <c r="N24" s="60" t="str">
        <f t="array" ref="N24">IFERROR(INDEX($A$1:$D$300,SMALL(IF($A$1:$A$300=$I$5,ROW($A$1:$A$300)),ROW(3:3)),3)," ")</f>
        <v xml:space="preserve"> </v>
      </c>
      <c r="O24" s="60" t="str">
        <f t="array" ref="O24">IFERROR(INDEX($A$1:$D$300,SMALL(IF($A$1:$A$300=$J$5,ROW($A$1:$A$300)),ROW(3:3)),3)," ")</f>
        <v xml:space="preserve"> </v>
      </c>
      <c r="P24" s="60" t="str">
        <f t="array" ref="P24">IFERROR(INDEX($A$1:$D$300,SMALL(IF($A$1:$A$300=$K$5,ROW($A$1:$A$300)),ROW(3:3)),3)," ")</f>
        <v xml:space="preserve"> </v>
      </c>
      <c r="Q24" s="60" t="str">
        <f t="array" ref="Q24">IFERROR(INDEX($A$1:$D$300,SMALL(IF($A$1:$A$300=$L$5,ROW($A$1:$A$300)),ROW(3:3)),3)," ")</f>
        <v xml:space="preserve"> </v>
      </c>
    </row>
    <row r="25" spans="1:17" x14ac:dyDescent="0.2">
      <c r="A25" s="51">
        <f t="shared" si="0"/>
        <v>0</v>
      </c>
      <c r="C25" s="51">
        <f>Risikoanalyse!B39</f>
        <v>25</v>
      </c>
      <c r="D25" s="51">
        <f>Risikoanalyse!S39</f>
        <v>0</v>
      </c>
      <c r="E25" s="51">
        <f>IFERROR(IF(VLOOKUP(C25,Risikolog[],22)="Risiko",Risikoanalyse!R39+101,0),"")</f>
        <v>0</v>
      </c>
      <c r="G25" s="60" t="str">
        <f t="array" ref="G25">IFERROR(INDEX($A$1:$D$300,SMALL(IF($A$1:$A$300=$H$4,ROW($A$1:$A$300)),ROW(4:4)),3)," ")</f>
        <v xml:space="preserve"> </v>
      </c>
      <c r="H25" s="60" t="str">
        <f t="array" ref="H25">IFERROR(INDEX($A$1:$D$300,SMALL(IF($A$1:$A$300=$I$4,ROW($A$1:$A$300)),ROW(4:4)),3)," ")</f>
        <v xml:space="preserve"> </v>
      </c>
      <c r="I25" s="60" t="str">
        <f t="array" ref="I25">IFERROR(INDEX($A$1:$D$300,SMALL(IF($A$1:$A$300=$J$4,ROW($A$1:$A$300)),ROW(4:4)),3)," ")</f>
        <v xml:space="preserve"> </v>
      </c>
      <c r="J25" s="60" t="str">
        <f t="array" ref="J25">IFERROR(INDEX($A$1:$D$300,SMALL(IF($A$1:$A$300=$K$4,ROW($A$1:$A$300)),ROW(4:4)),3)," ")</f>
        <v xml:space="preserve"> </v>
      </c>
      <c r="K25" s="60" t="str">
        <f t="array" ref="K25">IFERROR(INDEX($A$1:$D$300,SMALL(IF($A$1:$A$300=$L$4,ROW($A$1:$A$300)),ROW(4:4)),3)," ")</f>
        <v xml:space="preserve"> </v>
      </c>
      <c r="M25" s="60" t="str">
        <f t="array" ref="M25">IFERROR(INDEX($A$1:$D$300,SMALL(IF($A$1:$A$300=$H$5,ROW($A$1:$A$300)),ROW(4:4)),3)," ")</f>
        <v xml:space="preserve"> </v>
      </c>
      <c r="N25" s="60" t="str">
        <f t="array" ref="N25">IFERROR(INDEX($A$1:$D$300,SMALL(IF($A$1:$A$300=$I$5,ROW($A$1:$A$300)),ROW(4:4)),3)," ")</f>
        <v xml:space="preserve"> </v>
      </c>
      <c r="O25" s="60" t="str">
        <f t="array" ref="O25">IFERROR(INDEX($A$1:$D$300,SMALL(IF($A$1:$A$300=$J$5,ROW($A$1:$A$300)),ROW(4:4)),3)," ")</f>
        <v xml:space="preserve"> </v>
      </c>
      <c r="P25" s="60" t="str">
        <f t="array" ref="P25">IFERROR(INDEX($A$1:$D$300,SMALL(IF($A$1:$A$300=$K$5,ROW($A$1:$A$300)),ROW(4:4)),3)," ")</f>
        <v xml:space="preserve"> </v>
      </c>
      <c r="Q25" s="60" t="str">
        <f t="array" ref="Q25">IFERROR(INDEX($A$1:$D$300,SMALL(IF($A$1:$A$300=$L$5,ROW($A$1:$A$300)),ROW(4:4)),3)," ")</f>
        <v xml:space="preserve"> </v>
      </c>
    </row>
    <row r="26" spans="1:17" x14ac:dyDescent="0.2">
      <c r="A26" s="51">
        <f t="shared" si="0"/>
        <v>0</v>
      </c>
      <c r="C26" s="51">
        <f>Risikoanalyse!B40</f>
        <v>26</v>
      </c>
      <c r="D26" s="51">
        <f>Risikoanalyse!S40</f>
        <v>0</v>
      </c>
      <c r="E26" s="51">
        <f>IFERROR(IF(VLOOKUP(C26,Risikolog[],22)="Risiko",Risikoanalyse!R40+101,0),"")</f>
        <v>0</v>
      </c>
      <c r="G26" s="60" t="str">
        <f t="array" ref="G26">IFERROR(INDEX($A$1:$D$300,SMALL(IF($A$1:$A$300=$H$4,ROW($A$1:$A$300)),ROW(5:5)),3)," ")</f>
        <v xml:space="preserve"> </v>
      </c>
      <c r="H26" s="60" t="str">
        <f t="array" ref="H26">IFERROR(INDEX($A$1:$D$300,SMALL(IF($A$1:$A$300=$I$4,ROW($A$1:$A$300)),ROW(5:5)),3)," ")</f>
        <v xml:space="preserve"> </v>
      </c>
      <c r="I26" s="60" t="str">
        <f t="array" ref="I26">IFERROR(INDEX($A$1:$D$300,SMALL(IF($A$1:$A$300=$J$4,ROW($A$1:$A$300)),ROW(5:5)),3)," ")</f>
        <v xml:space="preserve"> </v>
      </c>
      <c r="J26" s="60" t="str">
        <f t="array" ref="J26">IFERROR(INDEX($A$1:$D$300,SMALL(IF($A$1:$A$300=$K$4,ROW($A$1:$A$300)),ROW(5:5)),3)," ")</f>
        <v xml:space="preserve"> </v>
      </c>
      <c r="K26" s="60" t="str">
        <f t="array" ref="K26">IFERROR(INDEX($A$1:$D$300,SMALL(IF($A$1:$A$300=$L$4,ROW($A$1:$A$300)),ROW(5:5)),3)," ")</f>
        <v xml:space="preserve"> </v>
      </c>
      <c r="M26" s="60" t="str">
        <f t="array" ref="M26">IFERROR(INDEX($A$1:$D$300,SMALL(IF($A$1:$A$300=$H$5,ROW($A$1:$A$300)),ROW(5:5)),3)," ")</f>
        <v xml:space="preserve"> </v>
      </c>
      <c r="N26" s="60" t="str">
        <f t="array" ref="N26">IFERROR(INDEX($A$1:$D$300,SMALL(IF($A$1:$A$300=$I$5,ROW($A$1:$A$300)),ROW(5:5)),3)," ")</f>
        <v xml:space="preserve"> </v>
      </c>
      <c r="O26" s="60" t="str">
        <f t="array" ref="O26">IFERROR(INDEX($A$1:$D$300,SMALL(IF($A$1:$A$300=$J$5,ROW($A$1:$A$300)),ROW(5:5)),3)," ")</f>
        <v xml:space="preserve"> </v>
      </c>
      <c r="P26" s="60" t="str">
        <f t="array" ref="P26">IFERROR(INDEX($A$1:$D$300,SMALL(IF($A$1:$A$300=$K$5,ROW($A$1:$A$300)),ROW(5:5)),3)," ")</f>
        <v xml:space="preserve"> </v>
      </c>
      <c r="Q26" s="60" t="str">
        <f t="array" ref="Q26">IFERROR(INDEX($A$1:$D$300,SMALL(IF($A$1:$A$300=$L$5,ROW($A$1:$A$300)),ROW(5:5)),3)," ")</f>
        <v xml:space="preserve"> </v>
      </c>
    </row>
    <row r="27" spans="1:17" x14ac:dyDescent="0.2">
      <c r="A27" s="51">
        <f t="shared" si="0"/>
        <v>0</v>
      </c>
      <c r="C27" s="51">
        <f>Risikoanalyse!B41</f>
        <v>27</v>
      </c>
      <c r="D27" s="51">
        <f>Risikoanalyse!S41</f>
        <v>0</v>
      </c>
      <c r="E27" s="51">
        <f>IFERROR(IF(VLOOKUP(C27,Risikolog[],22)="Risiko",Risikoanalyse!R41+101,0),"")</f>
        <v>0</v>
      </c>
      <c r="G27" s="60"/>
      <c r="H27" s="60" t="str">
        <f t="array" ref="H27">IFERROR(INDEX($A$1:$D$300,SMALL(IF($A$1:$A$300=$I$4,ROW($A$1:$A$300)),ROW(6:6)),3)," ")</f>
        <v xml:space="preserve"> </v>
      </c>
      <c r="I27" s="60" t="str">
        <f t="array" ref="I27">IFERROR(INDEX($A$1:$D$300,SMALL(IF($A$1:$A$300=$J$4,ROW($A$1:$A$300)),ROW(6:6)),3)," ")</f>
        <v xml:space="preserve"> </v>
      </c>
      <c r="J27" s="60" t="str">
        <f t="array" ref="J27">IFERROR(INDEX($A$1:$D$300,SMALL(IF($A$1:$A$300=$K$4,ROW($A$1:$A$300)),ROW(6:6)),3)," ")</f>
        <v xml:space="preserve"> </v>
      </c>
      <c r="K27" s="60" t="str">
        <f t="array" ref="K27">IFERROR(INDEX($A$1:$D$300,SMALL(IF($A$1:$A$300=$L$4,ROW($A$1:$A$300)),ROW(6:6)),3)," ")</f>
        <v xml:space="preserve"> </v>
      </c>
      <c r="M27" s="60" t="str">
        <f t="array" ref="M27">IFERROR(INDEX($A$1:$D$300,SMALL(IF($A$1:$A$300=$H$5,ROW($A$1:$A$300)),ROW(6:6)),3)," ")</f>
        <v xml:space="preserve"> </v>
      </c>
      <c r="N27" s="60" t="str">
        <f t="array" ref="N27">IFERROR(INDEX($A$1:$D$300,SMALL(IF($A$1:$A$300=$I$5,ROW($A$1:$A$300)),ROW(6:6)),3)," ")</f>
        <v xml:space="preserve"> </v>
      </c>
      <c r="O27" s="60" t="str">
        <f t="array" ref="O27">IFERROR(INDEX($A$1:$D$300,SMALL(IF($A$1:$A$300=$J$5,ROW($A$1:$A$300)),ROW(6:6)),3)," ")</f>
        <v xml:space="preserve"> </v>
      </c>
      <c r="P27" s="60" t="str">
        <f t="array" ref="P27">IFERROR(INDEX($A$1:$D$300,SMALL(IF($A$1:$A$300=$K$5,ROW($A$1:$A$300)),ROW(6:6)),3)," ")</f>
        <v xml:space="preserve"> </v>
      </c>
      <c r="Q27" s="60" t="str">
        <f t="array" ref="Q27">IFERROR(INDEX($A$1:$D$300,SMALL(IF($A$1:$A$300=$L$5,ROW($A$1:$A$300)),ROW(6:6)),3)," ")</f>
        <v xml:space="preserve"> </v>
      </c>
    </row>
    <row r="28" spans="1:17" x14ac:dyDescent="0.2">
      <c r="A28" s="51">
        <f t="shared" si="0"/>
        <v>0</v>
      </c>
      <c r="C28" s="51">
        <f>Risikoanalyse!B42</f>
        <v>28</v>
      </c>
      <c r="D28" s="51">
        <f>Risikoanalyse!S42</f>
        <v>0</v>
      </c>
      <c r="E28" s="51">
        <f>IFERROR(IF(VLOOKUP(C28,Risikolog[],22)="Risiko",Risikoanalyse!R42+101,0),"")</f>
        <v>0</v>
      </c>
      <c r="G28" s="60" t="str">
        <f t="array" ref="G28">IFERROR(INDEX($A$1:$D$300,SMALL(IF($A$1:$A$300=$H$4,ROW($A$1:$A$300)),ROW(7:7)),3)," ")</f>
        <v xml:space="preserve"> </v>
      </c>
      <c r="H28" s="60" t="str">
        <f t="array" ref="H28">IFERROR(INDEX($A$1:$D$300,SMALL(IF($A$1:$A$300=$I$4,ROW($A$1:$A$300)),ROW(7:7)),3)," ")</f>
        <v xml:space="preserve"> </v>
      </c>
      <c r="I28" s="60" t="str">
        <f t="array" ref="I28">IFERROR(INDEX($A$1:$D$300,SMALL(IF($A$1:$A$300=$J$4,ROW($A$1:$A$300)),ROW(7:7)),3)," ")</f>
        <v xml:space="preserve"> </v>
      </c>
      <c r="J28" s="60" t="str">
        <f t="array" ref="J28">IFERROR(INDEX($A$1:$D$300,SMALL(IF($A$1:$A$300=$K$4,ROW($A$1:$A$300)),ROW(7:7)),3)," ")</f>
        <v xml:space="preserve"> </v>
      </c>
      <c r="K28" s="60" t="str">
        <f t="array" ref="K28">IFERROR(INDEX($A$1:$D$300,SMALL(IF($A$1:$A$300=$L$4,ROW($A$1:$A$300)),ROW(7:7)),3)," ")</f>
        <v xml:space="preserve"> </v>
      </c>
      <c r="M28" s="60" t="str">
        <f t="array" ref="M28">IFERROR(INDEX($A$1:$D$300,SMALL(IF($A$1:$A$300=$H$5,ROW($A$1:$A$300)),ROW(7:7)),3)," ")</f>
        <v xml:space="preserve"> </v>
      </c>
      <c r="N28" s="60" t="str">
        <f t="array" ref="N28">IFERROR(INDEX($A$1:$D$300,SMALL(IF($A$1:$A$300=$I$5,ROW($A$1:$A$300)),ROW(7:7)),3)," ")</f>
        <v xml:space="preserve"> </v>
      </c>
      <c r="O28" s="60" t="str">
        <f t="array" ref="O28">IFERROR(INDEX($A$1:$D$300,SMALL(IF($A$1:$A$300=$J$5,ROW($A$1:$A$300)),ROW(7:7)),3)," ")</f>
        <v xml:space="preserve"> </v>
      </c>
      <c r="P28" s="60" t="str">
        <f t="array" ref="P28">IFERROR(INDEX($A$1:$D$300,SMALL(IF($A$1:$A$300=$K$5,ROW($A$1:$A$300)),ROW(7:7)),3)," ")</f>
        <v xml:space="preserve"> </v>
      </c>
      <c r="Q28" s="60" t="str">
        <f t="array" ref="Q28">IFERROR(INDEX($A$1:$D$300,SMALL(IF($A$1:$A$300=$L$5,ROW($A$1:$A$300)),ROW(7:7)),3)," ")</f>
        <v xml:space="preserve"> </v>
      </c>
    </row>
    <row r="29" spans="1:17" x14ac:dyDescent="0.2">
      <c r="A29" s="51">
        <f t="shared" si="0"/>
        <v>0</v>
      </c>
      <c r="C29" s="51">
        <f>Risikoanalyse!B43</f>
        <v>29</v>
      </c>
      <c r="D29" s="51">
        <f>Risikoanalyse!S43</f>
        <v>0</v>
      </c>
      <c r="E29" s="51">
        <f>IFERROR(IF(VLOOKUP(C29,Risikolog[],22)="Risiko",Risikoanalyse!R43+101,0),"")</f>
        <v>0</v>
      </c>
      <c r="G29" s="60" t="str">
        <f t="array" ref="G29">IFERROR(INDEX($A$1:$D$300,SMALL(IF($A$1:$A$300=$H$4,ROW($A$1:$A$300)),ROW(8:8)),3)," ")</f>
        <v xml:space="preserve"> </v>
      </c>
      <c r="H29" s="60" t="str">
        <f t="array" ref="H29">IFERROR(INDEX($A$1:$D$300,SMALL(IF($A$1:$A$300=$I$4,ROW($A$1:$A$300)),ROW(8:8)),3)," ")</f>
        <v xml:space="preserve"> </v>
      </c>
      <c r="I29" s="60" t="str">
        <f t="array" ref="I29">IFERROR(INDEX($A$1:$D$300,SMALL(IF($A$1:$A$300=$J$4,ROW($A$1:$A$300)),ROW(8:8)),3)," ")</f>
        <v xml:space="preserve"> </v>
      </c>
      <c r="J29" s="60" t="str">
        <f t="array" ref="J29">IFERROR(INDEX($A$1:$D$300,SMALL(IF($A$1:$A$300=$K$4,ROW($A$1:$A$300)),ROW(8:8)),3)," ")</f>
        <v xml:space="preserve"> </v>
      </c>
      <c r="K29" s="60" t="str">
        <f t="array" ref="K29">IFERROR(INDEX($A$1:$D$300,SMALL(IF($A$1:$A$300=$L$4,ROW($A$1:$A$300)),ROW(8:8)),3)," ")</f>
        <v xml:space="preserve"> </v>
      </c>
      <c r="M29" s="60" t="str">
        <f t="array" ref="M29">IFERROR(INDEX($A$1:$D$300,SMALL(IF($A$1:$A$300=$H$5,ROW($A$1:$A$300)),ROW(8:8)),3)," ")</f>
        <v xml:space="preserve"> </v>
      </c>
      <c r="N29" s="60" t="str">
        <f t="array" ref="N29">IFERROR(INDEX($A$1:$D$300,SMALL(IF($A$1:$A$300=$I$5,ROW($A$1:$A$300)),ROW(8:8)),3)," ")</f>
        <v xml:space="preserve"> </v>
      </c>
      <c r="O29" s="60" t="str">
        <f t="array" ref="O29">IFERROR(INDEX($A$1:$D$300,SMALL(IF($A$1:$A$300=$J$5,ROW($A$1:$A$300)),ROW(8:8)),3)," ")</f>
        <v xml:space="preserve"> </v>
      </c>
      <c r="P29" s="60" t="str">
        <f t="array" ref="P29">IFERROR(INDEX($A$1:$D$300,SMALL(IF($A$1:$A$300=$K$5,ROW($A$1:$A$300)),ROW(8:8)),3)," ")</f>
        <v xml:space="preserve"> </v>
      </c>
      <c r="Q29" s="60" t="str">
        <f t="array" ref="Q29">IFERROR(INDEX($A$1:$D$300,SMALL(IF($A$1:$A$300=$L$5,ROW($A$1:$A$300)),ROW(8:8)),3)," ")</f>
        <v xml:space="preserve"> </v>
      </c>
    </row>
    <row r="30" spans="1:17" x14ac:dyDescent="0.2">
      <c r="A30" s="51">
        <f t="shared" si="0"/>
        <v>0</v>
      </c>
      <c r="C30" s="51">
        <f>Risikoanalyse!B44</f>
        <v>30</v>
      </c>
      <c r="D30" s="51">
        <f>Risikoanalyse!S44</f>
        <v>0</v>
      </c>
      <c r="E30" s="51">
        <f>IFERROR(IF(VLOOKUP(C30,Risikolog[],22)="Risiko",Risikoanalyse!R44+101,0),"")</f>
        <v>0</v>
      </c>
      <c r="G30" s="60" t="str">
        <f t="array" ref="G30">IFERROR(INDEX($A$1:$D$300,SMALL(IF($A$1:$A$300=$H$4,ROW($A$1:$A$300)),ROW(9:9)),3)," ")</f>
        <v xml:space="preserve"> </v>
      </c>
      <c r="H30" s="60" t="str">
        <f t="array" ref="H30">IFERROR(INDEX($A$1:$D$300,SMALL(IF($A$1:$A$300=$I$4,ROW($A$1:$A$300)),ROW(9:9)),3)," ")</f>
        <v xml:space="preserve"> </v>
      </c>
      <c r="I30" s="60" t="str">
        <f t="array" ref="I30">IFERROR(INDEX($A$1:$D$300,SMALL(IF($A$1:$A$300=$J$4,ROW($A$1:$A$300)),ROW(9:9)),3)," ")</f>
        <v xml:space="preserve"> </v>
      </c>
      <c r="J30" s="60" t="str">
        <f t="array" ref="J30">IFERROR(INDEX($A$1:$D$300,SMALL(IF($A$1:$A$300=$K$4,ROW($A$1:$A$300)),ROW(9:9)),3)," ")</f>
        <v xml:space="preserve"> </v>
      </c>
      <c r="K30" s="60" t="str">
        <f t="array" ref="K30">IFERROR(INDEX($A$1:$D$300,SMALL(IF($A$1:$A$300=$L$4,ROW($A$1:$A$300)),ROW(9:9)),3)," ")</f>
        <v xml:space="preserve"> </v>
      </c>
      <c r="M30" s="60" t="str">
        <f t="array" ref="M30">IFERROR(INDEX($A$1:$D$300,SMALL(IF($A$1:$A$300=$H$5,ROW($A$1:$A$300)),ROW(9:9)),3)," ")</f>
        <v xml:space="preserve"> </v>
      </c>
      <c r="N30" s="60" t="str">
        <f t="array" ref="N30">IFERROR(INDEX($A$1:$D$300,SMALL(IF($A$1:$A$300=$I$5,ROW($A$1:$A$300)),ROW(9:9)),3)," ")</f>
        <v xml:space="preserve"> </v>
      </c>
      <c r="O30" s="60" t="str">
        <f t="array" ref="O30">IFERROR(INDEX($A$1:$D$300,SMALL(IF($A$1:$A$300=$J$5,ROW($A$1:$A$300)),ROW(9:9)),3)," ")</f>
        <v xml:space="preserve"> </v>
      </c>
      <c r="P30" s="60" t="str">
        <f t="array" ref="P30">IFERROR(INDEX($A$1:$D$300,SMALL(IF($A$1:$A$300=$K$5,ROW($A$1:$A$300)),ROW(9:9)),3)," ")</f>
        <v xml:space="preserve"> </v>
      </c>
      <c r="Q30" s="60" t="str">
        <f t="array" ref="Q30">IFERROR(INDEX($A$1:$D$300,SMALL(IF($A$1:$A$300=$L$5,ROW($A$1:$A$300)),ROW(9:9)),3)," ")</f>
        <v xml:space="preserve"> </v>
      </c>
    </row>
    <row r="31" spans="1:17" x14ac:dyDescent="0.2">
      <c r="A31" s="51">
        <f t="shared" si="0"/>
        <v>0</v>
      </c>
      <c r="C31" s="51">
        <f>Risikoanalyse!B45</f>
        <v>31</v>
      </c>
      <c r="D31" s="51">
        <f>Risikoanalyse!S45</f>
        <v>0</v>
      </c>
      <c r="E31" s="51">
        <f>IFERROR(IF(VLOOKUP(C31,Risikolog[],22)="Risiko",Risikoanalyse!R45+101,0),"")</f>
        <v>0</v>
      </c>
    </row>
    <row r="32" spans="1:17" x14ac:dyDescent="0.2">
      <c r="A32" s="51">
        <f t="shared" si="0"/>
        <v>0</v>
      </c>
      <c r="C32" s="51">
        <f>Risikoanalyse!B46</f>
        <v>32</v>
      </c>
      <c r="D32" s="51">
        <f>Risikoanalyse!S46</f>
        <v>0</v>
      </c>
      <c r="E32" s="51">
        <f>IFERROR(IF(VLOOKUP(C32,Risikolog[],22)="Risiko",Risikoanalyse!R46+101,0),"")</f>
        <v>0</v>
      </c>
      <c r="G32" s="58">
        <v>102</v>
      </c>
      <c r="H32" s="58">
        <v>103</v>
      </c>
      <c r="I32" s="58">
        <v>104</v>
      </c>
      <c r="J32" s="58">
        <v>105</v>
      </c>
      <c r="K32" s="58">
        <v>106</v>
      </c>
    </row>
    <row r="33" spans="1:11" x14ac:dyDescent="0.2">
      <c r="A33" s="51">
        <f t="shared" si="0"/>
        <v>0</v>
      </c>
      <c r="C33" s="51">
        <f>Risikoanalyse!B47</f>
        <v>33</v>
      </c>
      <c r="D33" s="51">
        <f>Risikoanalyse!S47</f>
        <v>0</v>
      </c>
      <c r="E33" s="51">
        <f>IFERROR(IF(VLOOKUP(C33,Risikolog[],22)="Risiko",Risikoanalyse!R47+101,0),"")</f>
        <v>0</v>
      </c>
      <c r="G33" s="60" t="str">
        <f t="array" ref="G33">IFERROR(INDEX($A$1:$D$300,SMALL(IF($A$1:$A$300=$H$6,ROW($A$1:$A$300)),ROW(1:1)),3)," ")</f>
        <v xml:space="preserve"> </v>
      </c>
      <c r="H33" s="60" t="str">
        <f t="array" ref="H33">IFERROR(INDEX($A$1:$D$300,SMALL(IF($A$1:$A$300=$I$6,ROW($A$1:$A$300)),ROW(1:1)),3)," ")</f>
        <v xml:space="preserve"> </v>
      </c>
      <c r="I33" s="60" t="str">
        <f t="array" ref="I33">IFERROR(INDEX($A$1:$D$300,SMALL(IF($A$1:$A$300=$J$6,ROW($A$1:$A$300)),ROW(1:1)),3)," ")</f>
        <v xml:space="preserve"> </v>
      </c>
      <c r="J33" s="60" t="str">
        <f t="array" ref="J33">IFERROR(INDEX($A$1:$D$300,SMALL(IF($A$1:$A$300=$K$6,ROW($A$1:$A$300)),ROW(1:1)),3)," ")</f>
        <v xml:space="preserve"> </v>
      </c>
      <c r="K33" s="60" t="str">
        <f t="array" ref="K33">IFERROR(INDEX($A$1:$D$300,SMALL(IF($A$1:$A$300=$L$6,ROW($A$1:$A$300)),ROW(1:1)),3)," ")</f>
        <v xml:space="preserve"> </v>
      </c>
    </row>
    <row r="34" spans="1:11" x14ac:dyDescent="0.2">
      <c r="A34" s="51">
        <f t="shared" si="0"/>
        <v>0</v>
      </c>
      <c r="C34" s="51">
        <f>Risikoanalyse!B48</f>
        <v>34</v>
      </c>
      <c r="D34" s="51">
        <f>Risikoanalyse!S48</f>
        <v>0</v>
      </c>
      <c r="E34" s="51">
        <f>IFERROR(IF(VLOOKUP(C34,Risikolog[],22)="Risiko",Risikoanalyse!R48+101,0),"")</f>
        <v>0</v>
      </c>
      <c r="G34" s="60" t="str">
        <f t="array" ref="G34">IFERROR(INDEX($A$1:$D$300,SMALL(IF($A$1:$A$300=$H$6,ROW($A$1:$A$300)),ROW(2:2)),3)," ")</f>
        <v xml:space="preserve"> </v>
      </c>
      <c r="H34" s="60" t="str">
        <f t="array" ref="H34">IFERROR(INDEX($A$1:$D$300,SMALL(IF($A$1:$A$300=$I$6,ROW($A$1:$A$300)),ROW(2:2)),3)," ")</f>
        <v xml:space="preserve"> </v>
      </c>
      <c r="I34" s="60" t="str">
        <f t="array" ref="I34">IFERROR(INDEX($A$1:$D$300,SMALL(IF($A$1:$A$300=$J$6,ROW($A$1:$A$300)),ROW(2:2)),3)," ")</f>
        <v xml:space="preserve"> </v>
      </c>
      <c r="J34" s="60" t="str">
        <f t="array" ref="J34">IFERROR(INDEX($A$1:$D$300,SMALL(IF($A$1:$A$300=$K$6,ROW($A$1:$A$300)),ROW(2:2)),3)," ")</f>
        <v xml:space="preserve"> </v>
      </c>
      <c r="K34" s="60" t="str">
        <f t="array" ref="K34">IFERROR(INDEX($A$1:$D$300,SMALL(IF($A$1:$A$300=$L$6,ROW($A$1:$A$300)),ROW(2:2)),3)," ")</f>
        <v xml:space="preserve"> </v>
      </c>
    </row>
    <row r="35" spans="1:11" x14ac:dyDescent="0.2">
      <c r="A35" s="51">
        <f t="shared" si="0"/>
        <v>0</v>
      </c>
      <c r="C35" s="51">
        <f>Risikoanalyse!B49</f>
        <v>35</v>
      </c>
      <c r="D35" s="51">
        <f>Risikoanalyse!S49</f>
        <v>0</v>
      </c>
      <c r="E35" s="51">
        <f>IFERROR(IF(VLOOKUP(C35,Risikolog[],22)="Risiko",Risikoanalyse!R49+101,0),"")</f>
        <v>0</v>
      </c>
      <c r="G35" s="60" t="str">
        <f t="array" ref="G35">IFERROR(INDEX($A$1:$D$300,SMALL(IF($A$1:$A$300=$H$6,ROW($A$1:$A$300)),ROW(3:3)),3)," ")</f>
        <v xml:space="preserve"> </v>
      </c>
      <c r="H35" s="60" t="str">
        <f t="array" ref="H35">IFERROR(INDEX($A$1:$D$300,SMALL(IF($A$1:$A$300=$I$6,ROW($A$1:$A$300)),ROW(3:3)),3)," ")</f>
        <v xml:space="preserve"> </v>
      </c>
      <c r="I35" s="60" t="str">
        <f t="array" ref="I35">IFERROR(INDEX($A$1:$D$300,SMALL(IF($A$1:$A$300=$J$6,ROW($A$1:$A$300)),ROW(3:3)),3)," ")</f>
        <v xml:space="preserve"> </v>
      </c>
      <c r="J35" s="60" t="str">
        <f t="array" ref="J35">IFERROR(INDEX($A$1:$D$300,SMALL(IF($A$1:$A$300=$K$6,ROW($A$1:$A$300)),ROW(3:3)),3)," ")</f>
        <v xml:space="preserve"> </v>
      </c>
      <c r="K35" s="60" t="str">
        <f t="array" ref="K35">IFERROR(INDEX($A$1:$D$300,SMALL(IF($A$1:$A$300=$L$6,ROW($A$1:$A$300)),ROW(3:3)),3)," ")</f>
        <v xml:space="preserve"> </v>
      </c>
    </row>
    <row r="36" spans="1:11" x14ac:dyDescent="0.2">
      <c r="A36" s="51">
        <f t="shared" si="0"/>
        <v>0</v>
      </c>
      <c r="C36" s="51">
        <f>Risikoanalyse!B50</f>
        <v>36</v>
      </c>
      <c r="D36" s="51">
        <f>Risikoanalyse!S50</f>
        <v>0</v>
      </c>
      <c r="E36" s="51">
        <f>IFERROR(IF(VLOOKUP(C36,Risikolog[],22)="Risiko",Risikoanalyse!R50+101,0),"")</f>
        <v>0</v>
      </c>
      <c r="G36" s="60" t="str">
        <f t="array" ref="G36">IFERROR(INDEX($A$1:$D$300,SMALL(IF($A$1:$A$300=$H$6,ROW($A$1:$A$300)),ROW(4:4)),3)," ")</f>
        <v xml:space="preserve"> </v>
      </c>
      <c r="H36" s="60" t="str">
        <f t="array" ref="H36">IFERROR(INDEX($A$1:$D$300,SMALL(IF($A$1:$A$300=$I$6,ROW($A$1:$A$300)),ROW(4:4)),3)," ")</f>
        <v xml:space="preserve"> </v>
      </c>
      <c r="I36" s="60" t="str">
        <f t="array" ref="I36">IFERROR(INDEX($A$1:$D$300,SMALL(IF($A$1:$A$300=$J$6,ROW($A$1:$A$300)),ROW(4:4)),3)," ")</f>
        <v xml:space="preserve"> </v>
      </c>
      <c r="J36" s="60" t="str">
        <f t="array" ref="J36">IFERROR(INDEX($A$1:$D$300,SMALL(IF($A$1:$A$300=$K$6,ROW($A$1:$A$300)),ROW(4:4)),3)," ")</f>
        <v xml:space="preserve"> </v>
      </c>
      <c r="K36" s="60" t="str">
        <f t="array" ref="K36">IFERROR(INDEX($A$1:$D$300,SMALL(IF($A$1:$A$300=$L$6,ROW($A$1:$A$300)),ROW(4:4)),3)," ")</f>
        <v xml:space="preserve"> </v>
      </c>
    </row>
    <row r="37" spans="1:11" x14ac:dyDescent="0.2">
      <c r="A37" s="51">
        <f t="shared" si="0"/>
        <v>0</v>
      </c>
      <c r="C37" s="51">
        <f>Risikoanalyse!B51</f>
        <v>37</v>
      </c>
      <c r="D37" s="51">
        <f>Risikoanalyse!S51</f>
        <v>0</v>
      </c>
      <c r="E37" s="51">
        <f>IFERROR(IF(VLOOKUP(C37,Risikolog[],22)="Risiko",Risikoanalyse!R51+101,0),"")</f>
        <v>0</v>
      </c>
      <c r="G37" s="60" t="str">
        <f t="array" ref="G37">IFERROR(INDEX($A$1:$D$300,SMALL(IF($A$1:$A$300=$H$6,ROW($A$1:$A$300)),ROW(5:5)),3)," ")</f>
        <v xml:space="preserve"> </v>
      </c>
      <c r="H37" s="60" t="str">
        <f t="array" ref="H37">IFERROR(INDEX($A$1:$D$300,SMALL(IF($A$1:$A$300=$I$6,ROW($A$1:$A$300)),ROW(5:5)),3)," ")</f>
        <v xml:space="preserve"> </v>
      </c>
      <c r="I37" s="60" t="str">
        <f t="array" ref="I37">IFERROR(INDEX($A$1:$D$300,SMALL(IF($A$1:$A$300=$J$6,ROW($A$1:$A$300)),ROW(5:5)),3)," ")</f>
        <v xml:space="preserve"> </v>
      </c>
      <c r="J37" s="60" t="str">
        <f t="array" ref="J37">IFERROR(INDEX($A$1:$D$300,SMALL(IF($A$1:$A$300=$K$6,ROW($A$1:$A$300)),ROW(5:5)),3)," ")</f>
        <v xml:space="preserve"> </v>
      </c>
      <c r="K37" s="60" t="str">
        <f t="array" ref="K37">IFERROR(INDEX($A$1:$D$300,SMALL(IF($A$1:$A$300=$L$6,ROW($A$1:$A$300)),ROW(5:5)),3)," ")</f>
        <v xml:space="preserve"> </v>
      </c>
    </row>
    <row r="38" spans="1:11" x14ac:dyDescent="0.2">
      <c r="A38" s="51">
        <f t="shared" si="0"/>
        <v>0</v>
      </c>
      <c r="C38" s="51">
        <f>Risikoanalyse!B52</f>
        <v>38</v>
      </c>
      <c r="D38" s="51">
        <f>Risikoanalyse!S52</f>
        <v>0</v>
      </c>
      <c r="E38" s="51">
        <f>IFERROR(IF(VLOOKUP(C38,Risikolog[],22)="Risiko",Risikoanalyse!R52+101,0),"")</f>
        <v>0</v>
      </c>
      <c r="G38" s="60" t="str">
        <f t="array" ref="G38">IFERROR(INDEX($A$1:$D$300,SMALL(IF($A$1:$A$300=$H$6,ROW($A$1:$A$300)),ROW(6:6)),3)," ")</f>
        <v xml:space="preserve"> </v>
      </c>
      <c r="H38" s="60" t="str">
        <f t="array" ref="H38">IFERROR(INDEX($A$1:$D$300,SMALL(IF($A$1:$A$300=$I$6,ROW($A$1:$A$300)),ROW(6:6)),3)," ")</f>
        <v xml:space="preserve"> </v>
      </c>
      <c r="I38" s="60" t="str">
        <f t="array" ref="I38">IFERROR(INDEX($A$1:$D$300,SMALL(IF($A$1:$A$300=$J$6,ROW($A$1:$A$300)),ROW(6:6)),3)," ")</f>
        <v xml:space="preserve"> </v>
      </c>
      <c r="J38" s="60" t="str">
        <f t="array" ref="J38">IFERROR(INDEX($A$1:$D$300,SMALL(IF($A$1:$A$300=$K$6,ROW($A$1:$A$300)),ROW(6:6)),3)," ")</f>
        <v xml:space="preserve"> </v>
      </c>
      <c r="K38" s="60" t="str">
        <f t="array" ref="K38">IFERROR(INDEX($A$1:$D$300,SMALL(IF($A$1:$A$300=$L$6,ROW($A$1:$A$300)),ROW(6:6)),3)," ")</f>
        <v xml:space="preserve"> </v>
      </c>
    </row>
    <row r="39" spans="1:11" x14ac:dyDescent="0.2">
      <c r="A39" s="51">
        <f t="shared" si="0"/>
        <v>0</v>
      </c>
      <c r="C39" s="51">
        <f>Risikoanalyse!B53</f>
        <v>39</v>
      </c>
      <c r="D39" s="51">
        <f>Risikoanalyse!S53</f>
        <v>0</v>
      </c>
      <c r="E39" s="51">
        <f>IFERROR(IF(VLOOKUP(C39,Risikolog[],22)="Risiko",Risikoanalyse!R53+101,0),"")</f>
        <v>0</v>
      </c>
      <c r="G39" s="60" t="str">
        <f t="array" ref="G39">IFERROR(INDEX($A$1:$D$300,SMALL(IF($A$1:$A$300=$H$6,ROW($A$1:$A$300)),ROW(7:7)),3)," ")</f>
        <v xml:space="preserve"> </v>
      </c>
      <c r="H39" s="60" t="str">
        <f t="array" ref="H39">IFERROR(INDEX($A$1:$D$300,SMALL(IF($A$1:$A$300=$I$6,ROW($A$1:$A$300)),ROW(7:7)),3)," ")</f>
        <v xml:space="preserve"> </v>
      </c>
      <c r="I39" s="60" t="str">
        <f t="array" ref="I39">IFERROR(INDEX($A$1:$D$300,SMALL(IF($A$1:$A$300=$J$6,ROW($A$1:$A$300)),ROW(7:7)),3)," ")</f>
        <v xml:space="preserve"> </v>
      </c>
      <c r="J39" s="60" t="str">
        <f t="array" ref="J39">IFERROR(INDEX($A$1:$D$300,SMALL(IF($A$1:$A$300=$K$6,ROW($A$1:$A$300)),ROW(7:7)),3)," ")</f>
        <v xml:space="preserve"> </v>
      </c>
      <c r="K39" s="60" t="str">
        <f t="array" ref="K39">IFERROR(INDEX($A$1:$D$300,SMALL(IF($A$1:$A$300=$L$6,ROW($A$1:$A$300)),ROW(7:7)),3)," ")</f>
        <v xml:space="preserve"> </v>
      </c>
    </row>
    <row r="40" spans="1:11" x14ac:dyDescent="0.2">
      <c r="A40" s="51">
        <f t="shared" si="0"/>
        <v>0</v>
      </c>
      <c r="C40" s="51">
        <f>Risikoanalyse!B54</f>
        <v>40</v>
      </c>
      <c r="D40" s="51">
        <f>Risikoanalyse!S54</f>
        <v>0</v>
      </c>
      <c r="E40" s="51">
        <f>IFERROR(IF(VLOOKUP(C40,Risikolog[],22)="Risiko",Risikoanalyse!R54+101,0),"")</f>
        <v>0</v>
      </c>
      <c r="G40" s="60" t="str">
        <f t="array" ref="G40">IFERROR(INDEX($A$1:$D$300,SMALL(IF($A$1:$A$300=$H$6,ROW($A$1:$A$300)),ROW(8:8)),3)," ")</f>
        <v xml:space="preserve"> </v>
      </c>
      <c r="H40" s="60" t="str">
        <f t="array" ref="H40">IFERROR(INDEX($A$1:$D$300,SMALL(IF($A$1:$A$300=$I$6,ROW($A$1:$A$300)),ROW(8:8)),3)," ")</f>
        <v xml:space="preserve"> </v>
      </c>
      <c r="I40" s="60" t="str">
        <f t="array" ref="I40">IFERROR(INDEX($A$1:$D$300,SMALL(IF($A$1:$A$300=$J$6,ROW($A$1:$A$300)),ROW(8:8)),3)," ")</f>
        <v xml:space="preserve"> </v>
      </c>
      <c r="J40" s="60" t="str">
        <f t="array" ref="J40">IFERROR(INDEX($A$1:$D$300,SMALL(IF($A$1:$A$300=$K$6,ROW($A$1:$A$300)),ROW(8:8)),3)," ")</f>
        <v xml:space="preserve"> </v>
      </c>
      <c r="K40" s="60" t="str">
        <f t="array" ref="K40">IFERROR(INDEX($A$1:$D$300,SMALL(IF($A$1:$A$300=$L$6,ROW($A$1:$A$300)),ROW(8:8)),3)," ")</f>
        <v xml:space="preserve"> </v>
      </c>
    </row>
    <row r="41" spans="1:11" x14ac:dyDescent="0.2">
      <c r="A41" s="51">
        <f t="shared" si="0"/>
        <v>0</v>
      </c>
      <c r="C41" s="51">
        <f>Risikoanalyse!B55</f>
        <v>41</v>
      </c>
      <c r="D41" s="51">
        <f>Risikoanalyse!S55</f>
        <v>0</v>
      </c>
      <c r="E41" s="51">
        <f>IFERROR(IF(VLOOKUP(C41,Risikolog[],22)="Risiko",Risikoanalyse!R55+101,0),"")</f>
        <v>0</v>
      </c>
      <c r="G41" s="60" t="str">
        <f t="array" ref="G41">IFERROR(INDEX($A$1:$D$300,SMALL(IF($A$1:$A$300=$H$6,ROW($A$1:$A$300)),ROW(9:9)),3)," ")</f>
        <v xml:space="preserve"> </v>
      </c>
      <c r="H41" s="60" t="str">
        <f t="array" ref="H41">IFERROR(INDEX($A$1:$D$300,SMALL(IF($A$1:$A$300=$I$6,ROW($A$1:$A$300)),ROW(9:9)),3)," ")</f>
        <v xml:space="preserve"> </v>
      </c>
      <c r="I41" s="60" t="str">
        <f t="array" ref="I41">IFERROR(INDEX($A$1:$D$300,SMALL(IF($A$1:$A$300=$J$6,ROW($A$1:$A$300)),ROW(9:9)),3)," ")</f>
        <v xml:space="preserve"> </v>
      </c>
      <c r="J41" s="60" t="str">
        <f t="array" ref="J41">IFERROR(INDEX($A$1:$D$300,SMALL(IF($A$1:$A$300=$K$6,ROW($A$1:$A$300)),ROW(9:9)),3)," ")</f>
        <v xml:space="preserve"> </v>
      </c>
      <c r="K41" s="60" t="str">
        <f t="array" ref="K41">IFERROR(INDEX($A$1:$D$300,SMALL(IF($A$1:$A$300=$L$6,ROW($A$1:$A$300)),ROW(9:9)),3)," ")</f>
        <v xml:space="preserve"> </v>
      </c>
    </row>
    <row r="42" spans="1:11" x14ac:dyDescent="0.2">
      <c r="A42" s="51">
        <f t="shared" si="0"/>
        <v>0</v>
      </c>
      <c r="C42" s="51">
        <f>Risikoanalyse!B56</f>
        <v>42</v>
      </c>
      <c r="D42" s="51">
        <f>Risikoanalyse!S56</f>
        <v>0</v>
      </c>
      <c r="E42" s="51">
        <f>IFERROR(IF(VLOOKUP(C42,Risikolog[],22)="Risiko",Risikoanalyse!R56+101,0),"")</f>
        <v>0</v>
      </c>
    </row>
    <row r="43" spans="1:11" x14ac:dyDescent="0.2">
      <c r="A43" s="51">
        <f t="shared" si="0"/>
        <v>0</v>
      </c>
      <c r="C43" s="51">
        <f>Risikoanalyse!B57</f>
        <v>43</v>
      </c>
      <c r="D43" s="51">
        <f>Risikoanalyse!S57</f>
        <v>0</v>
      </c>
      <c r="E43" s="51">
        <f>IFERROR(IF(VLOOKUP(C43,Risikolog[],22)="Risiko",Risikoanalyse!R57+101,0),"")</f>
        <v>0</v>
      </c>
    </row>
    <row r="44" spans="1:11" x14ac:dyDescent="0.2">
      <c r="A44" s="51">
        <f t="shared" si="0"/>
        <v>0</v>
      </c>
      <c r="C44" s="51">
        <f>Risikoanalyse!B58</f>
        <v>44</v>
      </c>
      <c r="D44" s="51">
        <f>Risikoanalyse!S58</f>
        <v>0</v>
      </c>
      <c r="E44" s="51">
        <f>IFERROR(IF(VLOOKUP(C44,Risikolog[],22)="Risiko",Risikoanalyse!R58+101,0),"")</f>
        <v>0</v>
      </c>
    </row>
    <row r="45" spans="1:11" x14ac:dyDescent="0.2">
      <c r="A45" s="51">
        <f t="shared" si="0"/>
        <v>0</v>
      </c>
      <c r="C45" s="51">
        <f>Risikoanalyse!B59</f>
        <v>45</v>
      </c>
      <c r="D45" s="51">
        <f>Risikoanalyse!S59</f>
        <v>0</v>
      </c>
      <c r="E45" s="51">
        <f>IFERROR(IF(VLOOKUP(C45,Risikolog[],22)="Risiko",Risikoanalyse!R59+101,0),"")</f>
        <v>0</v>
      </c>
    </row>
    <row r="46" spans="1:11" x14ac:dyDescent="0.2">
      <c r="A46" s="51">
        <f t="shared" si="0"/>
        <v>0</v>
      </c>
      <c r="C46" s="51">
        <f>Risikoanalyse!B60</f>
        <v>46</v>
      </c>
      <c r="D46" s="51">
        <f>Risikoanalyse!S60</f>
        <v>0</v>
      </c>
      <c r="E46" s="51">
        <f>IFERROR(IF(VLOOKUP(C46,Risikolog[],22)="Risiko",Risikoanalyse!R60+101,0),"")</f>
        <v>0</v>
      </c>
    </row>
    <row r="47" spans="1:11" x14ac:dyDescent="0.2">
      <c r="A47" s="51">
        <f t="shared" si="0"/>
        <v>0</v>
      </c>
      <c r="C47" s="51">
        <f>Risikoanalyse!B61</f>
        <v>47</v>
      </c>
      <c r="D47" s="51">
        <f>Risikoanalyse!S61</f>
        <v>0</v>
      </c>
      <c r="E47" s="51">
        <f>IFERROR(IF(VLOOKUP(C47,Risikolog[],22)="Risiko",Risikoanalyse!R61+101,0),"")</f>
        <v>0</v>
      </c>
    </row>
    <row r="48" spans="1:11" x14ac:dyDescent="0.2">
      <c r="A48" s="51">
        <f t="shared" si="0"/>
        <v>0</v>
      </c>
      <c r="C48" s="51">
        <f>Risikoanalyse!B62</f>
        <v>48</v>
      </c>
      <c r="D48" s="51">
        <f>Risikoanalyse!S62</f>
        <v>0</v>
      </c>
      <c r="E48" s="51">
        <f>IFERROR(IF(VLOOKUP(C48,Risikolog[],22)="Risiko",Risikoanalyse!R62+101,0),"")</f>
        <v>0</v>
      </c>
    </row>
    <row r="49" spans="1:5" x14ac:dyDescent="0.2">
      <c r="A49" s="51">
        <f t="shared" si="0"/>
        <v>0</v>
      </c>
      <c r="C49" s="51">
        <f>Risikoanalyse!B63</f>
        <v>49</v>
      </c>
      <c r="D49" s="51">
        <f>Risikoanalyse!S63</f>
        <v>0</v>
      </c>
      <c r="E49" s="51">
        <f>IFERROR(IF(VLOOKUP(C49,Risikolog[],22)="Risiko",Risikoanalyse!R63+101,0),"")</f>
        <v>0</v>
      </c>
    </row>
    <row r="50" spans="1:5" x14ac:dyDescent="0.2">
      <c r="A50" s="51">
        <f t="shared" si="0"/>
        <v>0</v>
      </c>
      <c r="C50" s="51">
        <f>Risikoanalyse!B64</f>
        <v>50</v>
      </c>
      <c r="D50" s="51">
        <f>Risikoanalyse!S64</f>
        <v>0</v>
      </c>
      <c r="E50" s="51">
        <f>IFERROR(IF(VLOOKUP(C50,Risikolog[],22)="Risiko",Risikoanalyse!R64+101,0),"")</f>
        <v>0</v>
      </c>
    </row>
    <row r="51" spans="1:5" x14ac:dyDescent="0.2">
      <c r="A51" s="51">
        <f>D51*E51</f>
        <v>0</v>
      </c>
      <c r="C51" s="51">
        <f>Risikoanalyse!B65</f>
        <v>51</v>
      </c>
      <c r="D51" s="51">
        <f>Risikoanalyse!S65</f>
        <v>0</v>
      </c>
      <c r="E51" s="51">
        <f>IFERROR(IF(VLOOKUP(C51,Risikolog[],22)="Risiko",Risikoanalyse!R65+101,0),"")</f>
        <v>0</v>
      </c>
    </row>
    <row r="52" spans="1:5" x14ac:dyDescent="0.2">
      <c r="A52" s="51">
        <f t="shared" ref="A52:A100" si="1">D52*E52</f>
        <v>0</v>
      </c>
      <c r="C52" s="51">
        <f>Risikoanalyse!B66</f>
        <v>52</v>
      </c>
      <c r="D52" s="51">
        <f>Risikoanalyse!S66</f>
        <v>0</v>
      </c>
      <c r="E52" s="51">
        <f>IFERROR(IF(VLOOKUP(C52,Risikolog[],22)="Risiko",Risikoanalyse!R66+101,0),"")</f>
        <v>0</v>
      </c>
    </row>
    <row r="53" spans="1:5" x14ac:dyDescent="0.2">
      <c r="A53" s="51">
        <f t="shared" si="1"/>
        <v>0</v>
      </c>
      <c r="C53" s="51">
        <f>Risikoanalyse!B67</f>
        <v>53</v>
      </c>
      <c r="D53" s="51">
        <f>Risikoanalyse!S67</f>
        <v>0</v>
      </c>
      <c r="E53" s="51">
        <f>IFERROR(IF(VLOOKUP(C53,Risikolog[],22)="Risiko",Risikoanalyse!R67+101,0),"")</f>
        <v>0</v>
      </c>
    </row>
    <row r="54" spans="1:5" x14ac:dyDescent="0.2">
      <c r="A54" s="51">
        <f t="shared" si="1"/>
        <v>0</v>
      </c>
      <c r="C54" s="51">
        <f>Risikoanalyse!B68</f>
        <v>54</v>
      </c>
      <c r="D54" s="51">
        <f>Risikoanalyse!S68</f>
        <v>0</v>
      </c>
      <c r="E54" s="51">
        <f>IFERROR(IF(VLOOKUP(C54,Risikolog[],22)="Risiko",Risikoanalyse!R68+101,0),"")</f>
        <v>0</v>
      </c>
    </row>
    <row r="55" spans="1:5" x14ac:dyDescent="0.2">
      <c r="A55" s="51">
        <f t="shared" si="1"/>
        <v>0</v>
      </c>
      <c r="C55" s="51">
        <f>Risikoanalyse!B69</f>
        <v>55</v>
      </c>
      <c r="D55" s="51">
        <f>Risikoanalyse!S69</f>
        <v>0</v>
      </c>
      <c r="E55" s="51">
        <f>IFERROR(IF(VLOOKUP(C55,Risikolog[],22)="Risiko",Risikoanalyse!R69+101,0),"")</f>
        <v>0</v>
      </c>
    </row>
    <row r="56" spans="1:5" x14ac:dyDescent="0.2">
      <c r="A56" s="51">
        <f t="shared" si="1"/>
        <v>0</v>
      </c>
      <c r="C56" s="51">
        <f>Risikoanalyse!B70</f>
        <v>56</v>
      </c>
      <c r="D56" s="51">
        <f>Risikoanalyse!S70</f>
        <v>0</v>
      </c>
      <c r="E56" s="51">
        <f>IFERROR(IF(VLOOKUP(C56,Risikolog[],22)="Risiko",Risikoanalyse!R70+101,0),"")</f>
        <v>0</v>
      </c>
    </row>
    <row r="57" spans="1:5" x14ac:dyDescent="0.2">
      <c r="A57" s="51">
        <f t="shared" si="1"/>
        <v>0</v>
      </c>
      <c r="C57" s="51">
        <f>Risikoanalyse!B71</f>
        <v>57</v>
      </c>
      <c r="D57" s="51">
        <f>Risikoanalyse!S71</f>
        <v>0</v>
      </c>
      <c r="E57" s="51">
        <f>IFERROR(IF(VLOOKUP(C57,Risikolog[],22)="Risiko",Risikoanalyse!R71+101,0),"")</f>
        <v>0</v>
      </c>
    </row>
    <row r="58" spans="1:5" x14ac:dyDescent="0.2">
      <c r="A58" s="51">
        <f t="shared" si="1"/>
        <v>0</v>
      </c>
      <c r="C58" s="51">
        <f>Risikoanalyse!B72</f>
        <v>58</v>
      </c>
      <c r="D58" s="51">
        <f>Risikoanalyse!S72</f>
        <v>0</v>
      </c>
      <c r="E58" s="51">
        <f>IFERROR(IF(VLOOKUP(C58,Risikolog[],22)="Risiko",Risikoanalyse!R72+101,0),"")</f>
        <v>0</v>
      </c>
    </row>
    <row r="59" spans="1:5" x14ac:dyDescent="0.2">
      <c r="A59" s="51">
        <f t="shared" si="1"/>
        <v>0</v>
      </c>
      <c r="C59" s="51">
        <f>Risikoanalyse!B73</f>
        <v>59</v>
      </c>
      <c r="D59" s="51">
        <f>Risikoanalyse!S73</f>
        <v>0</v>
      </c>
      <c r="E59" s="51">
        <f>IFERROR(IF(VLOOKUP(C59,Risikolog[],22)="Risiko",Risikoanalyse!R73+101,0),"")</f>
        <v>0</v>
      </c>
    </row>
    <row r="60" spans="1:5" x14ac:dyDescent="0.2">
      <c r="A60" s="51">
        <f t="shared" si="1"/>
        <v>0</v>
      </c>
      <c r="C60" s="51">
        <f>Risikoanalyse!B74</f>
        <v>60</v>
      </c>
      <c r="D60" s="51">
        <f>Risikoanalyse!S74</f>
        <v>0</v>
      </c>
      <c r="E60" s="51">
        <f>IFERROR(IF(VLOOKUP(C60,Risikolog[],22)="Risiko",Risikoanalyse!R74+101,0),"")</f>
        <v>0</v>
      </c>
    </row>
    <row r="61" spans="1:5" x14ac:dyDescent="0.2">
      <c r="A61" s="51">
        <f t="shared" si="1"/>
        <v>0</v>
      </c>
      <c r="C61" s="51">
        <f>Risikoanalyse!B75</f>
        <v>61</v>
      </c>
      <c r="D61" s="51">
        <f>Risikoanalyse!S75</f>
        <v>0</v>
      </c>
      <c r="E61" s="51">
        <f>IFERROR(IF(VLOOKUP(C61,Risikolog[],22)="Risiko",Risikoanalyse!R75+101,0),"")</f>
        <v>0</v>
      </c>
    </row>
    <row r="62" spans="1:5" x14ac:dyDescent="0.2">
      <c r="A62" s="51">
        <f t="shared" si="1"/>
        <v>0</v>
      </c>
      <c r="C62" s="51">
        <f>Risikoanalyse!B76</f>
        <v>62</v>
      </c>
      <c r="D62" s="51">
        <f>Risikoanalyse!S76</f>
        <v>0</v>
      </c>
      <c r="E62" s="51">
        <f>IFERROR(IF(VLOOKUP(C62,Risikolog[],22)="Risiko",Risikoanalyse!R76+101,0),"")</f>
        <v>0</v>
      </c>
    </row>
    <row r="63" spans="1:5" x14ac:dyDescent="0.2">
      <c r="A63" s="51">
        <f t="shared" si="1"/>
        <v>0</v>
      </c>
      <c r="C63" s="51">
        <f>Risikoanalyse!B77</f>
        <v>63</v>
      </c>
      <c r="D63" s="51">
        <f>Risikoanalyse!S77</f>
        <v>0</v>
      </c>
      <c r="E63" s="51">
        <f>IFERROR(IF(VLOOKUP(C63,Risikolog[],22)="Risiko",Risikoanalyse!R77+101,0),"")</f>
        <v>0</v>
      </c>
    </row>
    <row r="64" spans="1:5" x14ac:dyDescent="0.2">
      <c r="A64" s="51">
        <f t="shared" si="1"/>
        <v>0</v>
      </c>
      <c r="C64" s="51">
        <f>Risikoanalyse!B78</f>
        <v>64</v>
      </c>
      <c r="D64" s="51">
        <f>Risikoanalyse!S78</f>
        <v>0</v>
      </c>
      <c r="E64" s="51">
        <f>IFERROR(IF(VLOOKUP(C64,Risikolog[],22)="Risiko",Risikoanalyse!R78+101,0),"")</f>
        <v>0</v>
      </c>
    </row>
    <row r="65" spans="1:5" x14ac:dyDescent="0.2">
      <c r="A65" s="51">
        <f t="shared" si="1"/>
        <v>0</v>
      </c>
      <c r="C65" s="51">
        <f>Risikoanalyse!B79</f>
        <v>65</v>
      </c>
      <c r="D65" s="51">
        <f>Risikoanalyse!S79</f>
        <v>0</v>
      </c>
      <c r="E65" s="51">
        <f>IFERROR(IF(VLOOKUP(C65,Risikolog[],22)="Risiko",Risikoanalyse!R79+101,0),"")</f>
        <v>0</v>
      </c>
    </row>
    <row r="66" spans="1:5" x14ac:dyDescent="0.2">
      <c r="A66" s="51">
        <f t="shared" si="1"/>
        <v>0</v>
      </c>
      <c r="C66" s="51">
        <f>Risikoanalyse!B80</f>
        <v>66</v>
      </c>
      <c r="D66" s="51">
        <f>Risikoanalyse!S80</f>
        <v>0</v>
      </c>
      <c r="E66" s="51">
        <f>IFERROR(IF(VLOOKUP(C66,Risikolog[],22)="Risiko",Risikoanalyse!R80+101,0),"")</f>
        <v>0</v>
      </c>
    </row>
    <row r="67" spans="1:5" x14ac:dyDescent="0.2">
      <c r="A67" s="51">
        <f t="shared" si="1"/>
        <v>0</v>
      </c>
      <c r="C67" s="51">
        <f>Risikoanalyse!B81</f>
        <v>67</v>
      </c>
      <c r="D67" s="51">
        <f>Risikoanalyse!S81</f>
        <v>0</v>
      </c>
      <c r="E67" s="51">
        <f>IFERROR(IF(VLOOKUP(C67,Risikolog[],22)="Risiko",Risikoanalyse!R81+101,0),"")</f>
        <v>0</v>
      </c>
    </row>
    <row r="68" spans="1:5" x14ac:dyDescent="0.2">
      <c r="A68" s="51">
        <f t="shared" si="1"/>
        <v>0</v>
      </c>
      <c r="C68" s="51">
        <f>Risikoanalyse!B82</f>
        <v>68</v>
      </c>
      <c r="D68" s="51">
        <f>Risikoanalyse!S82</f>
        <v>0</v>
      </c>
      <c r="E68" s="51">
        <f>IFERROR(IF(VLOOKUP(C68,Risikolog[],22)="Risiko",Risikoanalyse!R82+101,0),"")</f>
        <v>0</v>
      </c>
    </row>
    <row r="69" spans="1:5" x14ac:dyDescent="0.2">
      <c r="A69" s="51">
        <f t="shared" si="1"/>
        <v>0</v>
      </c>
      <c r="C69" s="51">
        <f>Risikoanalyse!B83</f>
        <v>69</v>
      </c>
      <c r="D69" s="51">
        <f>Risikoanalyse!S83</f>
        <v>0</v>
      </c>
      <c r="E69" s="51">
        <f>IFERROR(IF(VLOOKUP(C69,Risikolog[],22)="Risiko",Risikoanalyse!R83+101,0),"")</f>
        <v>0</v>
      </c>
    </row>
    <row r="70" spans="1:5" x14ac:dyDescent="0.2">
      <c r="A70" s="51">
        <f t="shared" si="1"/>
        <v>0</v>
      </c>
      <c r="C70" s="51">
        <f>Risikoanalyse!B84</f>
        <v>70</v>
      </c>
      <c r="D70" s="51">
        <f>Risikoanalyse!S84</f>
        <v>0</v>
      </c>
      <c r="E70" s="51">
        <f>IFERROR(IF(VLOOKUP(C70,Risikolog[],22)="Risiko",Risikoanalyse!R84+101,0),"")</f>
        <v>0</v>
      </c>
    </row>
    <row r="71" spans="1:5" x14ac:dyDescent="0.2">
      <c r="A71" s="51">
        <f t="shared" si="1"/>
        <v>0</v>
      </c>
      <c r="C71" s="51">
        <f>Risikoanalyse!B85</f>
        <v>71</v>
      </c>
      <c r="D71" s="51">
        <f>Risikoanalyse!S85</f>
        <v>0</v>
      </c>
      <c r="E71" s="51">
        <f>IFERROR(IF(VLOOKUP(C71,Risikolog[],22)="Risiko",Risikoanalyse!R85+101,0),"")</f>
        <v>0</v>
      </c>
    </row>
    <row r="72" spans="1:5" x14ac:dyDescent="0.2">
      <c r="A72" s="51">
        <f t="shared" si="1"/>
        <v>0</v>
      </c>
      <c r="C72" s="51">
        <f>Risikoanalyse!B86</f>
        <v>72</v>
      </c>
      <c r="D72" s="51">
        <f>Risikoanalyse!S86</f>
        <v>0</v>
      </c>
      <c r="E72" s="51">
        <f>IFERROR(IF(VLOOKUP(C72,Risikolog[],22)="Risiko",Risikoanalyse!R86+101,0),"")</f>
        <v>0</v>
      </c>
    </row>
    <row r="73" spans="1:5" x14ac:dyDescent="0.2">
      <c r="A73" s="51">
        <f t="shared" si="1"/>
        <v>0</v>
      </c>
      <c r="C73" s="51">
        <f>Risikoanalyse!B87</f>
        <v>73</v>
      </c>
      <c r="D73" s="51">
        <f>Risikoanalyse!S87</f>
        <v>0</v>
      </c>
      <c r="E73" s="51">
        <f>IFERROR(IF(VLOOKUP(C73,Risikolog[],22)="Risiko",Risikoanalyse!R87+101,0),"")</f>
        <v>0</v>
      </c>
    </row>
    <row r="74" spans="1:5" x14ac:dyDescent="0.2">
      <c r="A74" s="51">
        <f t="shared" si="1"/>
        <v>0</v>
      </c>
      <c r="C74" s="51">
        <f>Risikoanalyse!B88</f>
        <v>74</v>
      </c>
      <c r="D74" s="51">
        <f>Risikoanalyse!S88</f>
        <v>0</v>
      </c>
      <c r="E74" s="51">
        <f>IFERROR(IF(VLOOKUP(C74,Risikolog[],22)="Risiko",Risikoanalyse!R88+101,0),"")</f>
        <v>0</v>
      </c>
    </row>
    <row r="75" spans="1:5" x14ac:dyDescent="0.2">
      <c r="A75" s="51">
        <f t="shared" si="1"/>
        <v>0</v>
      </c>
      <c r="C75" s="51">
        <f>Risikoanalyse!B89</f>
        <v>75</v>
      </c>
      <c r="D75" s="51">
        <f>Risikoanalyse!S89</f>
        <v>0</v>
      </c>
      <c r="E75" s="51">
        <f>IFERROR(IF(VLOOKUP(C75,Risikolog[],22)="Risiko",Risikoanalyse!R89+101,0),"")</f>
        <v>0</v>
      </c>
    </row>
    <row r="76" spans="1:5" x14ac:dyDescent="0.2">
      <c r="A76" s="51">
        <f t="shared" si="1"/>
        <v>0</v>
      </c>
      <c r="C76" s="51">
        <f>Risikoanalyse!B90</f>
        <v>76</v>
      </c>
      <c r="D76" s="51">
        <f>Risikoanalyse!S90</f>
        <v>0</v>
      </c>
      <c r="E76" s="51">
        <f>IFERROR(IF(VLOOKUP(C76,Risikolog[],22)="Risiko",Risikoanalyse!R90+101,0),"")</f>
        <v>0</v>
      </c>
    </row>
    <row r="77" spans="1:5" x14ac:dyDescent="0.2">
      <c r="A77" s="51">
        <f t="shared" si="1"/>
        <v>0</v>
      </c>
      <c r="C77" s="51">
        <f>Risikoanalyse!B91</f>
        <v>77</v>
      </c>
      <c r="D77" s="51">
        <f>Risikoanalyse!S91</f>
        <v>0</v>
      </c>
      <c r="E77" s="51">
        <f>IFERROR(IF(VLOOKUP(C77,Risikolog[],22)="Risiko",Risikoanalyse!R91+101,0),"")</f>
        <v>0</v>
      </c>
    </row>
    <row r="78" spans="1:5" x14ac:dyDescent="0.2">
      <c r="A78" s="51">
        <f t="shared" si="1"/>
        <v>0</v>
      </c>
      <c r="C78" s="51">
        <f>Risikoanalyse!B92</f>
        <v>78</v>
      </c>
      <c r="D78" s="51">
        <f>Risikoanalyse!S92</f>
        <v>0</v>
      </c>
      <c r="E78" s="51">
        <f>IFERROR(IF(VLOOKUP(C78,Risikolog[],22)="Risiko",Risikoanalyse!R92+101,0),"")</f>
        <v>0</v>
      </c>
    </row>
    <row r="79" spans="1:5" x14ac:dyDescent="0.2">
      <c r="A79" s="51">
        <f t="shared" si="1"/>
        <v>0</v>
      </c>
      <c r="C79" s="51">
        <f>Risikoanalyse!B93</f>
        <v>79</v>
      </c>
      <c r="D79" s="51">
        <f>Risikoanalyse!S93</f>
        <v>0</v>
      </c>
      <c r="E79" s="51">
        <f>IFERROR(IF(VLOOKUP(C79,Risikolog[],22)="Risiko",Risikoanalyse!R93+101,0),"")</f>
        <v>0</v>
      </c>
    </row>
    <row r="80" spans="1:5" x14ac:dyDescent="0.2">
      <c r="A80" s="51">
        <f t="shared" si="1"/>
        <v>0</v>
      </c>
      <c r="C80" s="51">
        <f>Risikoanalyse!B94</f>
        <v>80</v>
      </c>
      <c r="D80" s="51">
        <f>Risikoanalyse!S94</f>
        <v>0</v>
      </c>
      <c r="E80" s="51">
        <f>IFERROR(IF(VLOOKUP(C80,Risikolog[],22)="Risiko",Risikoanalyse!R94+101,0),"")</f>
        <v>0</v>
      </c>
    </row>
    <row r="81" spans="1:5" x14ac:dyDescent="0.2">
      <c r="A81" s="51">
        <f t="shared" si="1"/>
        <v>0</v>
      </c>
      <c r="C81" s="51">
        <f>Risikoanalyse!B95</f>
        <v>81</v>
      </c>
      <c r="D81" s="51">
        <f>Risikoanalyse!S95</f>
        <v>0</v>
      </c>
      <c r="E81" s="51">
        <f>IFERROR(IF(VLOOKUP(C81,Risikolog[],22)="Risiko",Risikoanalyse!R95+101,0),"")</f>
        <v>0</v>
      </c>
    </row>
    <row r="82" spans="1:5" x14ac:dyDescent="0.2">
      <c r="A82" s="51">
        <f t="shared" si="1"/>
        <v>0</v>
      </c>
      <c r="C82" s="51">
        <f>Risikoanalyse!B96</f>
        <v>82</v>
      </c>
      <c r="D82" s="51">
        <f>Risikoanalyse!S96</f>
        <v>0</v>
      </c>
      <c r="E82" s="51">
        <f>IFERROR(IF(VLOOKUP(C82,Risikolog[],22)="Risiko",Risikoanalyse!R96+101,0),"")</f>
        <v>0</v>
      </c>
    </row>
    <row r="83" spans="1:5" x14ac:dyDescent="0.2">
      <c r="A83" s="51">
        <f t="shared" si="1"/>
        <v>0</v>
      </c>
      <c r="C83" s="51">
        <f>Risikoanalyse!B97</f>
        <v>83</v>
      </c>
      <c r="D83" s="51">
        <f>Risikoanalyse!S97</f>
        <v>0</v>
      </c>
      <c r="E83" s="51">
        <f>IFERROR(IF(VLOOKUP(C83,Risikolog[],22)="Risiko",Risikoanalyse!R97+101,0),"")</f>
        <v>0</v>
      </c>
    </row>
    <row r="84" spans="1:5" x14ac:dyDescent="0.2">
      <c r="A84" s="51">
        <f t="shared" si="1"/>
        <v>0</v>
      </c>
      <c r="C84" s="51">
        <f>Risikoanalyse!B98</f>
        <v>84</v>
      </c>
      <c r="D84" s="51">
        <f>Risikoanalyse!S98</f>
        <v>0</v>
      </c>
      <c r="E84" s="51">
        <f>IFERROR(IF(VLOOKUP(C84,Risikolog[],22)="Risiko",Risikoanalyse!R98+101,0),"")</f>
        <v>0</v>
      </c>
    </row>
    <row r="85" spans="1:5" x14ac:dyDescent="0.2">
      <c r="A85" s="51">
        <f t="shared" si="1"/>
        <v>0</v>
      </c>
      <c r="C85" s="51">
        <f>Risikoanalyse!B99</f>
        <v>85</v>
      </c>
      <c r="D85" s="51">
        <f>Risikoanalyse!S99</f>
        <v>0</v>
      </c>
      <c r="E85" s="51">
        <f>IFERROR(IF(VLOOKUP(C85,Risikolog[],22)="Risiko",Risikoanalyse!R99+101,0),"")</f>
        <v>0</v>
      </c>
    </row>
    <row r="86" spans="1:5" x14ac:dyDescent="0.2">
      <c r="A86" s="51">
        <f t="shared" si="1"/>
        <v>0</v>
      </c>
      <c r="C86" s="51">
        <f>Risikoanalyse!B100</f>
        <v>86</v>
      </c>
      <c r="D86" s="51">
        <f>Risikoanalyse!S100</f>
        <v>0</v>
      </c>
      <c r="E86" s="51">
        <f>IFERROR(IF(VLOOKUP(C86,Risikolog[],22)="Risiko",Risikoanalyse!R100+101,0),"")</f>
        <v>0</v>
      </c>
    </row>
    <row r="87" spans="1:5" x14ac:dyDescent="0.2">
      <c r="A87" s="51">
        <f t="shared" si="1"/>
        <v>0</v>
      </c>
      <c r="C87" s="51">
        <f>Risikoanalyse!B101</f>
        <v>87</v>
      </c>
      <c r="D87" s="51">
        <f>Risikoanalyse!S101</f>
        <v>0</v>
      </c>
      <c r="E87" s="51">
        <f>IFERROR(IF(VLOOKUP(C87,Risikolog[],22)="Risiko",Risikoanalyse!R101+101,0),"")</f>
        <v>0</v>
      </c>
    </row>
    <row r="88" spans="1:5" x14ac:dyDescent="0.2">
      <c r="A88" s="51">
        <f t="shared" si="1"/>
        <v>0</v>
      </c>
      <c r="C88" s="51">
        <f>Risikoanalyse!B102</f>
        <v>88</v>
      </c>
      <c r="D88" s="51">
        <f>Risikoanalyse!S102</f>
        <v>0</v>
      </c>
      <c r="E88" s="51">
        <f>IFERROR(IF(VLOOKUP(C88,Risikolog[],22)="Risiko",Risikoanalyse!R102+101,0),"")</f>
        <v>0</v>
      </c>
    </row>
    <row r="89" spans="1:5" x14ac:dyDescent="0.2">
      <c r="A89" s="51">
        <f t="shared" si="1"/>
        <v>0</v>
      </c>
      <c r="C89" s="51">
        <f>Risikoanalyse!B103</f>
        <v>89</v>
      </c>
      <c r="D89" s="51">
        <f>Risikoanalyse!S103</f>
        <v>0</v>
      </c>
      <c r="E89" s="51">
        <f>IFERROR(IF(VLOOKUP(C89,Risikolog[],22)="Risiko",Risikoanalyse!R103+101,0),"")</f>
        <v>0</v>
      </c>
    </row>
    <row r="90" spans="1:5" x14ac:dyDescent="0.2">
      <c r="A90" s="51">
        <f t="shared" si="1"/>
        <v>0</v>
      </c>
      <c r="C90" s="51">
        <f>Risikoanalyse!B104</f>
        <v>90</v>
      </c>
      <c r="D90" s="51">
        <f>Risikoanalyse!S104</f>
        <v>0</v>
      </c>
      <c r="E90" s="51">
        <f>IFERROR(IF(VLOOKUP(C90,Risikolog[],22)="Risiko",Risikoanalyse!R104+101,0),"")</f>
        <v>0</v>
      </c>
    </row>
    <row r="91" spans="1:5" x14ac:dyDescent="0.2">
      <c r="A91" s="51">
        <f t="shared" si="1"/>
        <v>0</v>
      </c>
      <c r="C91" s="51">
        <f>Risikoanalyse!B105</f>
        <v>91</v>
      </c>
      <c r="D91" s="51">
        <f>Risikoanalyse!S105</f>
        <v>0</v>
      </c>
      <c r="E91" s="51">
        <f>IFERROR(IF(VLOOKUP(C91,Risikolog[],22)="Risiko",Risikoanalyse!R105+101,0),"")</f>
        <v>0</v>
      </c>
    </row>
    <row r="92" spans="1:5" x14ac:dyDescent="0.2">
      <c r="A92" s="51">
        <f t="shared" si="1"/>
        <v>0</v>
      </c>
      <c r="C92" s="51">
        <f>Risikoanalyse!B106</f>
        <v>92</v>
      </c>
      <c r="D92" s="51">
        <f>Risikoanalyse!S106</f>
        <v>0</v>
      </c>
      <c r="E92" s="51">
        <f>IFERROR(IF(VLOOKUP(C92,Risikolog[],22)="Risiko",Risikoanalyse!R106+101,0),"")</f>
        <v>0</v>
      </c>
    </row>
    <row r="93" spans="1:5" x14ac:dyDescent="0.2">
      <c r="A93" s="51">
        <f t="shared" si="1"/>
        <v>0</v>
      </c>
      <c r="C93" s="51">
        <f>Risikoanalyse!B107</f>
        <v>93</v>
      </c>
      <c r="D93" s="51">
        <f>Risikoanalyse!S107</f>
        <v>0</v>
      </c>
      <c r="E93" s="51">
        <f>IFERROR(IF(VLOOKUP(C93,Risikolog[],22)="Risiko",Risikoanalyse!R107+101,0),"")</f>
        <v>0</v>
      </c>
    </row>
    <row r="94" spans="1:5" x14ac:dyDescent="0.2">
      <c r="A94" s="51">
        <f t="shared" si="1"/>
        <v>0</v>
      </c>
      <c r="C94" s="51">
        <f>Risikoanalyse!B108</f>
        <v>94</v>
      </c>
      <c r="D94" s="51">
        <f>Risikoanalyse!S108</f>
        <v>0</v>
      </c>
      <c r="E94" s="51">
        <f>IFERROR(IF(VLOOKUP(C94,Risikolog[],22)="Risiko",Risikoanalyse!R108+101,0),"")</f>
        <v>0</v>
      </c>
    </row>
    <row r="95" spans="1:5" x14ac:dyDescent="0.2">
      <c r="A95" s="51">
        <f t="shared" si="1"/>
        <v>0</v>
      </c>
      <c r="C95" s="51">
        <f>Risikoanalyse!B109</f>
        <v>95</v>
      </c>
      <c r="D95" s="51">
        <f>Risikoanalyse!S109</f>
        <v>0</v>
      </c>
      <c r="E95" s="51">
        <f>IFERROR(IF(VLOOKUP(C95,Risikolog[],22)="Risiko",Risikoanalyse!R109+101,0),"")</f>
        <v>0</v>
      </c>
    </row>
    <row r="96" spans="1:5" x14ac:dyDescent="0.2">
      <c r="A96" s="51">
        <f t="shared" si="1"/>
        <v>0</v>
      </c>
      <c r="C96" s="51">
        <f>Risikoanalyse!B110</f>
        <v>96</v>
      </c>
      <c r="D96" s="51">
        <f>Risikoanalyse!S110</f>
        <v>0</v>
      </c>
      <c r="E96" s="51">
        <f>IFERROR(IF(VLOOKUP(C96,Risikolog[],22)="Risiko",Risikoanalyse!R110+101,0),"")</f>
        <v>0</v>
      </c>
    </row>
    <row r="97" spans="1:5" x14ac:dyDescent="0.2">
      <c r="A97" s="51">
        <f t="shared" si="1"/>
        <v>0</v>
      </c>
      <c r="C97" s="51">
        <f>Risikoanalyse!B111</f>
        <v>97</v>
      </c>
      <c r="D97" s="51">
        <f>Risikoanalyse!S111</f>
        <v>0</v>
      </c>
      <c r="E97" s="51">
        <f>IFERROR(IF(VLOOKUP(C97,Risikolog[],22)="Risiko",Risikoanalyse!R111+101,0),"")</f>
        <v>0</v>
      </c>
    </row>
    <row r="98" spans="1:5" x14ac:dyDescent="0.2">
      <c r="A98" s="51">
        <f t="shared" si="1"/>
        <v>0</v>
      </c>
      <c r="C98" s="51">
        <f>Risikoanalyse!B112</f>
        <v>98</v>
      </c>
      <c r="D98" s="51">
        <f>Risikoanalyse!S112</f>
        <v>0</v>
      </c>
      <c r="E98" s="51">
        <f>IFERROR(IF(VLOOKUP(C98,Risikolog[],22)="Risiko",Risikoanalyse!R112+101,0),"")</f>
        <v>0</v>
      </c>
    </row>
    <row r="99" spans="1:5" x14ac:dyDescent="0.2">
      <c r="A99" s="51">
        <f t="shared" si="1"/>
        <v>0</v>
      </c>
      <c r="C99" s="51">
        <f>Risikoanalyse!B113</f>
        <v>99</v>
      </c>
      <c r="D99" s="51">
        <f>Risikoanalyse!S113</f>
        <v>0</v>
      </c>
      <c r="E99" s="51">
        <f>IFERROR(IF(VLOOKUP(C99,Risikolog[],22)="Risiko",Risikoanalyse!R113+101,0),"")</f>
        <v>0</v>
      </c>
    </row>
    <row r="100" spans="1:5" x14ac:dyDescent="0.2">
      <c r="A100" s="51">
        <f t="shared" si="1"/>
        <v>0</v>
      </c>
      <c r="C100" s="51">
        <f>Risikoanalyse!B114</f>
        <v>100</v>
      </c>
      <c r="D100" s="51">
        <f>Risikoanalyse!S114</f>
        <v>0</v>
      </c>
      <c r="E100" s="51">
        <f>IFERROR(IF(VLOOKUP(C100,Risikolog[],22)="Risiko",Risikoanalyse!R114+101,0),"")</f>
        <v>0</v>
      </c>
    </row>
  </sheetData>
  <mergeCells count="2">
    <mergeCell ref="N1:N7"/>
    <mergeCell ref="Q8:S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5"/>
  <sheetViews>
    <sheetView workbookViewId="0">
      <selection activeCell="C4" sqref="C4"/>
    </sheetView>
  </sheetViews>
  <sheetFormatPr defaultRowHeight="14.25" x14ac:dyDescent="0.2"/>
  <cols>
    <col min="2" max="2" width="9.5" bestFit="1" customWidth="1"/>
  </cols>
  <sheetData>
    <row r="2" spans="2:3" x14ac:dyDescent="0.2">
      <c r="B2" t="s">
        <v>1</v>
      </c>
      <c r="C2" t="s">
        <v>75</v>
      </c>
    </row>
    <row r="3" spans="2:3" x14ac:dyDescent="0.2">
      <c r="B3" s="50" t="s">
        <v>21</v>
      </c>
      <c r="C3">
        <f>COUNTIFS(Risikolog[Status],'Data graf'!B3,Risikolog[Risiko-værdi],"&gt;"&amp;0)</f>
        <v>0</v>
      </c>
    </row>
    <row r="4" spans="2:3" x14ac:dyDescent="0.2">
      <c r="B4" s="50" t="s">
        <v>43</v>
      </c>
      <c r="C4" s="51">
        <f>COUNTIF(Risikolog[Status],'Data graf'!B4)</f>
        <v>0</v>
      </c>
    </row>
    <row r="5" spans="2:3" x14ac:dyDescent="0.2">
      <c r="B5" s="50" t="s">
        <v>44</v>
      </c>
      <c r="C5" s="51">
        <f>COUNTIF(Risikolog[Status],'Data graf'!B5)</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3:B27"/>
  <sheetViews>
    <sheetView workbookViewId="0">
      <selection activeCell="G24" sqref="G24"/>
    </sheetView>
  </sheetViews>
  <sheetFormatPr defaultRowHeight="14.25" x14ac:dyDescent="0.2"/>
  <sheetData>
    <row r="3" spans="1:2" x14ac:dyDescent="0.2">
      <c r="A3" t="s">
        <v>15</v>
      </c>
    </row>
    <row r="4" spans="1:2" x14ac:dyDescent="0.2">
      <c r="A4" t="s">
        <v>10</v>
      </c>
      <c r="B4" t="s">
        <v>11</v>
      </c>
    </row>
    <row r="5" spans="1:2" x14ac:dyDescent="0.2">
      <c r="A5" t="s">
        <v>12</v>
      </c>
    </row>
    <row r="6" spans="1:2" x14ac:dyDescent="0.2">
      <c r="A6" t="s">
        <v>13</v>
      </c>
    </row>
    <row r="7" spans="1:2" x14ac:dyDescent="0.2">
      <c r="A7" t="s">
        <v>14</v>
      </c>
    </row>
    <row r="8" spans="1:2" x14ac:dyDescent="0.2">
      <c r="A8" t="s">
        <v>16</v>
      </c>
    </row>
    <row r="9" spans="1:2" x14ac:dyDescent="0.2">
      <c r="A9" t="s">
        <v>17</v>
      </c>
    </row>
    <row r="10" spans="1:2" x14ac:dyDescent="0.2">
      <c r="A10" t="s">
        <v>18</v>
      </c>
    </row>
    <row r="12" spans="1:2" x14ac:dyDescent="0.2">
      <c r="A12" t="s">
        <v>19</v>
      </c>
    </row>
    <row r="13" spans="1:2" x14ac:dyDescent="0.2">
      <c r="A13" t="s">
        <v>20</v>
      </c>
    </row>
    <row r="14" spans="1:2" x14ac:dyDescent="0.2">
      <c r="A14" t="s">
        <v>22</v>
      </c>
    </row>
    <row r="15" spans="1:2" x14ac:dyDescent="0.2">
      <c r="A15" t="s">
        <v>25</v>
      </c>
    </row>
    <row r="16" spans="1:2" x14ac:dyDescent="0.2">
      <c r="A16" t="s">
        <v>26</v>
      </c>
    </row>
    <row r="17" spans="1:1" x14ac:dyDescent="0.2">
      <c r="A17" t="s">
        <v>27</v>
      </c>
    </row>
    <row r="18" spans="1:1" x14ac:dyDescent="0.2">
      <c r="A18" t="s">
        <v>28</v>
      </c>
    </row>
    <row r="19" spans="1:1" x14ac:dyDescent="0.2">
      <c r="A19" t="s">
        <v>29</v>
      </c>
    </row>
    <row r="20" spans="1:1" x14ac:dyDescent="0.2">
      <c r="A20" t="s">
        <v>30</v>
      </c>
    </row>
    <row r="21" spans="1:1" x14ac:dyDescent="0.2">
      <c r="A21" t="s">
        <v>31</v>
      </c>
    </row>
    <row r="22" spans="1:1" x14ac:dyDescent="0.2">
      <c r="A22" t="s">
        <v>32</v>
      </c>
    </row>
    <row r="23" spans="1:1" x14ac:dyDescent="0.2">
      <c r="A23" t="s">
        <v>33</v>
      </c>
    </row>
    <row r="24" spans="1:1" x14ac:dyDescent="0.2">
      <c r="A24" t="s">
        <v>34</v>
      </c>
    </row>
    <row r="26" spans="1:1" x14ac:dyDescent="0.2">
      <c r="A26" t="s">
        <v>57</v>
      </c>
    </row>
    <row r="27" spans="1:1" x14ac:dyDescent="0.2">
      <c r="A27" t="s">
        <v>58</v>
      </c>
    </row>
  </sheetData>
  <pageMargins left="0.7" right="0.7" top="0.75" bottom="0.75" header="0.3" footer="0.3"/>
  <customProperties>
    <customPr name="Smart"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DDD9E799E7E8524B923206CADB8AC00F" ma:contentTypeVersion="0" ma:contentTypeDescription="Opret et nyt dokument." ma:contentTypeScope="" ma:versionID="e14a96fdbc9780443c13da838deb629b">
  <xsd:schema xmlns:xsd="http://www.w3.org/2001/XMLSchema" xmlns:p="http://schemas.microsoft.com/office/2006/metadata/properties" targetNamespace="http://schemas.microsoft.com/office/2006/metadata/properties" ma:root="true" ma:fieldsID="79458e8cc01bc5f1f076b1628d37ae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D19820F-2BE5-434F-8E69-38211902D5EA}">
  <ds:schemaRefs>
    <ds:schemaRef ds:uri="http://schemas.microsoft.com/sharepoint/v3/contenttype/forms"/>
  </ds:schemaRefs>
</ds:datastoreItem>
</file>

<file path=customXml/itemProps2.xml><?xml version="1.0" encoding="utf-8"?>
<ds:datastoreItem xmlns:ds="http://schemas.openxmlformats.org/officeDocument/2006/customXml" ds:itemID="{AD83A6FA-B740-40C5-B30A-FE4E0AC1447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D4F81972-9309-4B52-A133-241CA2AF532A}">
  <ds:schemaRefs>
    <ds:schemaRef ds:uri="http://schemas.microsoft.com/office/2006/metadata/longProperties"/>
  </ds:schemaRefs>
</ds:datastoreItem>
</file>

<file path=customXml/itemProps4.xml><?xml version="1.0" encoding="utf-8"?>
<ds:datastoreItem xmlns:ds="http://schemas.openxmlformats.org/officeDocument/2006/customXml" ds:itemID="{D6EC6677-8C66-499B-83A3-17590D742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Vejledning</vt:lpstr>
      <vt:lpstr>Risikoanalyse</vt:lpstr>
      <vt:lpstr>Nærmeste risici</vt:lpstr>
      <vt:lpstr>Overblik</vt:lpstr>
      <vt:lpstr>Største risici</vt:lpstr>
      <vt:lpstr>Risici i styringsgrundlag</vt:lpstr>
      <vt:lpstr>Valgfri risici</vt:lpstr>
      <vt:lpstr>Vejledning til formler</vt:lpstr>
      <vt:lpstr>Styringsgrundlag</vt:lpstr>
      <vt:lpstr>Lister</vt:lpstr>
      <vt:lpstr>Data til matrix</vt:lpstr>
      <vt:lpstr>Data til matrix efter tiltag</vt:lpstr>
      <vt:lpstr>Data graf</vt:lpstr>
      <vt:lpstr>Versionshistorik Mads</vt:lpstr>
      <vt:lpstr>Eskalation</vt:lpstr>
      <vt:lpstr>Primaert_formaal</vt:lpstr>
      <vt:lpstr>Risikokvartal</vt:lpstr>
      <vt:lpstr>Risikotype</vt:lpstr>
      <vt:lpstr>Skala</vt:lpstr>
      <vt:lpstr>Startkvartal</vt:lpstr>
      <vt:lpstr>Status</vt:lpstr>
      <vt:lpstr>Tiltag</vt:lpstr>
      <vt:lpstr>'Nærmeste risici'!Udskriftsområde</vt:lpstr>
      <vt:lpstr>Overblik!Udskriftsområde</vt:lpstr>
      <vt:lpstr>'Risici i styringsgrundlag'!Udskriftsområde</vt:lpstr>
      <vt:lpstr>Risikoanalyse!Udskriftsområde</vt:lpstr>
      <vt:lpstr>'Største risici'!Udskriftsområde</vt:lpstr>
      <vt:lpstr>Vaelg_haandtering</vt:lpstr>
      <vt:lpstr>Vaelgfase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Otto Nielsen</dc:creator>
  <cp:lastModifiedBy>Jeppe Stenager Fallesen</cp:lastModifiedBy>
  <cp:lastPrinted>2018-12-17T10:13:25Z</cp:lastPrinted>
  <dcterms:created xsi:type="dcterms:W3CDTF">1997-11-13T17:56:20Z</dcterms:created>
  <dcterms:modified xsi:type="dcterms:W3CDTF">2024-08-27T14:16:48Z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Dokument</vt:lpwstr>
  </property>
</Properties>
</file>