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enne_projektmappe"/>
  <mc:AlternateContent xmlns:mc="http://schemas.openxmlformats.org/markup-compatibility/2006">
    <mc:Choice Requires="x15">
      <x15ac:absPath xmlns:x15ac="http://schemas.microsoft.com/office/spreadsheetml/2010/11/ac" url="C:\Users\B075865\Desktop\"/>
    </mc:Choice>
  </mc:AlternateContent>
  <xr:revisionPtr revIDLastSave="0" documentId="8_{C672D0B2-78AC-4112-9751-75D26F540B4B}" xr6:coauthVersionLast="47" xr6:coauthVersionMax="47" xr10:uidLastSave="{00000000-0000-0000-0000-000000000000}"/>
  <bookViews>
    <workbookView xWindow="-120" yWindow="-120" windowWidth="29040" windowHeight="17520" firstSheet="2" activeTab="2" xr2:uid="{00000000-000D-0000-FFFF-FFFF00000000}"/>
  </bookViews>
  <sheets>
    <sheet name="Ændringslog" sheetId="8" state="hidden" r:id="rId1"/>
    <sheet name="NR_1" sheetId="1" state="hidden" r:id="rId2"/>
    <sheet name="Stamoplysninger" sheetId="3" r:id="rId3"/>
    <sheet name="Leverancer" sheetId="5" r:id="rId4"/>
    <sheet name="Tabeller" sheetId="6" r:id="rId5"/>
  </sheets>
  <definedNames>
    <definedName name="g_assets_sc_1">NR_1!$U$3:$U$24</definedName>
    <definedName name="g_interest_discount">NR_1!$E$3</definedName>
    <definedName name="g_interest_FF4">NR_1!$D$3</definedName>
    <definedName name="g_lang_key">NR_1!$A$3:$A$103</definedName>
    <definedName name="g_lang_val">NR_1!$B$3:$B$103</definedName>
    <definedName name="g_phase_names">NR_1!$C$3:$C$5</definedName>
    <definedName name="g_pl_factor">NR_1!$O$3</definedName>
    <definedName name="g_pl_factors">NR_1!$L$3:$L$1003</definedName>
    <definedName name="g_pl_year">NR_1!$M$3</definedName>
    <definedName name="g_pl_years">NR_1!$K$3:$K$19</definedName>
    <definedName name="g_pl_years_end">NR_1!$G$3</definedName>
    <definedName name="g_pl_years_start">NR_1!$F$3</definedName>
    <definedName name="g_reporting_year">NR_1!$N$3</definedName>
    <definedName name="g_sc_1_assets">NR_1!$Q$3:$Q$12</definedName>
    <definedName name="g_sc_1_assets_dates">NR_1!$R$3:$R$22</definedName>
    <definedName name="g_sc_1_assets_years">NR_1!$Q$3:$Q$22</definedName>
    <definedName name="g_sc_1_capex">NR_1!$S$3:$S$8</definedName>
    <definedName name="g_sc_1_opex">NR_1!$T$3:$T$10</definedName>
    <definedName name="g_sc_1_phases_years">NR_1!$P$3:$P$5</definedName>
    <definedName name="THIS_CELL">!A1</definedName>
    <definedName name="_xlnm.Print_Area" localSheetId="3">Leverancer!$AN$1:$AV$138</definedName>
    <definedName name="_xlnm.Print_Area" localSheetId="2">Stamoplysninger!$I$1:$P$104</definedName>
    <definedName name="_xlnm.Print_Area" localSheetId="4">Tabeller!$N$1:$AP$280</definedName>
    <definedName name="Z_CC114306_4468_4F70_9DB6_D54D814D228F_.wvu.Cols" localSheetId="3" hidden="1">Leverancer!$A:$AL</definedName>
    <definedName name="Z_CC114306_4468_4F70_9DB6_D54D814D228F_.wvu.Cols" localSheetId="2" hidden="1">Stamoplysninger!$A:$H</definedName>
    <definedName name="Z_CC114306_4468_4F70_9DB6_D54D814D228F_.wvu.Cols" localSheetId="4" hidden="1">Tabeller!$A:$K</definedName>
    <definedName name="Z_CC114306_4468_4F70_9DB6_D54D814D228F_.wvu.PrintArea" localSheetId="3" hidden="1">Leverancer!$AN$1:$AV$138</definedName>
    <definedName name="Z_CC114306_4468_4F70_9DB6_D54D814D228F_.wvu.PrintArea" localSheetId="2" hidden="1">Stamoplysninger!$I$1:$P$104</definedName>
    <definedName name="Z_CC114306_4468_4F70_9DB6_D54D814D228F_.wvu.PrintArea" localSheetId="4" hidden="1">Tabeller!$N$1:$AP$280</definedName>
    <definedName name="Z_CC114306_4468_4F70_9DB6_D54D814D228F_.wvu.Rows" localSheetId="3" hidden="1">Leverancer!$1:$12</definedName>
    <definedName name="Z_CC114306_4468_4F70_9DB6_D54D814D228F_.wvu.Rows" localSheetId="2" hidden="1">Stamoplysninger!$1:$6,Stamoplysninger!$92:$92</definedName>
    <definedName name="Z_CC114306_4468_4F70_9DB6_D54D814D228F_.wvu.Rows" localSheetId="4" hidden="1">Tabeller!$1:$12,Tabeller!$122:$122</definedName>
  </definedNames>
  <calcPr calcId="191029"/>
  <customWorkbookViews>
    <customWorkbookView name="Ionel Dan Blaguiescu - Personal View" guid="{CC114306-4468-4F70-9DB6-D54D814D228F}" mergeInterval="0" personalView="1" maximized="1" xWindow="-8" yWindow="-8" windowWidth="1936" windowHeight="117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94" i="5" l="1"/>
  <c r="Q90" i="6"/>
  <c r="Q91" i="6"/>
  <c r="Q92" i="6"/>
  <c r="Q93" i="6"/>
  <c r="Q94" i="6"/>
  <c r="Q95" i="6"/>
  <c r="Q96" i="6"/>
  <c r="Q97" i="6"/>
  <c r="Q98" i="6"/>
  <c r="Q99" i="6"/>
  <c r="Q100" i="6"/>
  <c r="Q101" i="6"/>
  <c r="Q102" i="6"/>
  <c r="Q103" i="6"/>
  <c r="Q104" i="6"/>
  <c r="Q105" i="6"/>
  <c r="Q106" i="6"/>
  <c r="Q107" i="6"/>
  <c r="Q108" i="6"/>
  <c r="Q109" i="6"/>
  <c r="Q110" i="6"/>
  <c r="Q111" i="6"/>
  <c r="Q112" i="6"/>
  <c r="Q113" i="6"/>
  <c r="Q114" i="6"/>
  <c r="Q115" i="6"/>
  <c r="Q116" i="6"/>
  <c r="Q117" i="6"/>
  <c r="Q118" i="6"/>
  <c r="Q119" i="6"/>
  <c r="O153" i="6"/>
  <c r="O125" i="6"/>
  <c r="O53" i="6"/>
  <c r="O33" i="6"/>
  <c r="O32" i="6"/>
  <c r="O17" i="6"/>
  <c r="AX141" i="5" l="1"/>
  <c r="AW141" i="5"/>
  <c r="AV141" i="5"/>
  <c r="AU141" i="5"/>
  <c r="Q71" i="6" l="1"/>
  <c r="Q72" i="6"/>
  <c r="Q73" i="6"/>
  <c r="Q74" i="6"/>
  <c r="Q75" i="6"/>
  <c r="Q76" i="6"/>
  <c r="Q77" i="6"/>
  <c r="Q78" i="6"/>
  <c r="Q79" i="6"/>
  <c r="Q80" i="6"/>
  <c r="Q81" i="6"/>
  <c r="Q82" i="6"/>
  <c r="Q83" i="6"/>
  <c r="Q84" i="6"/>
  <c r="Q85" i="6"/>
  <c r="Q86" i="6"/>
  <c r="Q87" i="6"/>
  <c r="Q88" i="6"/>
  <c r="Q89" i="6"/>
  <c r="Q70" i="6"/>
  <c r="Q60" i="6"/>
  <c r="Q61" i="6"/>
  <c r="Q62" i="6"/>
  <c r="Q63" i="6"/>
  <c r="Q64" i="6"/>
  <c r="Q65" i="6"/>
  <c r="Q66" i="6"/>
  <c r="Q67" i="6"/>
  <c r="Q68" i="6"/>
  <c r="Q59" i="6"/>
  <c r="Q50" i="6" l="1"/>
  <c r="S48" i="6"/>
  <c r="Q49" i="6"/>
  <c r="Q46" i="6"/>
  <c r="Q47" i="6"/>
  <c r="Q155" i="6"/>
  <c r="Q127" i="6"/>
  <c r="Q55" i="6"/>
  <c r="R22" i="1"/>
  <c r="R21" i="1"/>
  <c r="R20" i="1"/>
  <c r="R19" i="1"/>
  <c r="R18" i="1"/>
  <c r="R17" i="1"/>
  <c r="R16" i="1"/>
  <c r="R15" i="1"/>
  <c r="R14" i="1"/>
  <c r="R13" i="1"/>
  <c r="R12" i="1"/>
  <c r="R11" i="1"/>
  <c r="R10" i="1"/>
  <c r="R9" i="1"/>
  <c r="R8" i="1"/>
  <c r="AO23" i="5" l="1"/>
  <c r="AP24" i="5"/>
  <c r="AO25" i="5"/>
  <c r="AQ25" i="5"/>
  <c r="AR25" i="5"/>
  <c r="AS25" i="5"/>
  <c r="AT25" i="5"/>
  <c r="AO27" i="5"/>
  <c r="AV94" i="5" l="1"/>
  <c r="AW94" i="5"/>
  <c r="AX94" i="5"/>
  <c r="AY94" i="5"/>
  <c r="AZ94" i="5"/>
  <c r="BA94" i="5"/>
  <c r="BB94" i="5"/>
  <c r="BC94" i="5"/>
  <c r="BD94" i="5"/>
  <c r="BE94" i="5"/>
  <c r="BF94" i="5"/>
  <c r="BG94" i="5"/>
  <c r="BH94" i="5"/>
  <c r="BI94" i="5"/>
  <c r="BJ94" i="5"/>
  <c r="BK94" i="5"/>
  <c r="BL94" i="5"/>
  <c r="BM94" i="5"/>
  <c r="BN94" i="5"/>
  <c r="BO94" i="5"/>
  <c r="BP94" i="5"/>
  <c r="BQ94" i="5"/>
  <c r="BR94" i="5"/>
  <c r="BS94" i="5"/>
  <c r="BT94" i="5"/>
  <c r="BU94" i="5"/>
  <c r="BV94" i="5"/>
  <c r="BW94" i="5"/>
  <c r="BX94" i="5"/>
  <c r="BY94" i="5"/>
  <c r="AY141" i="5"/>
  <c r="AZ141" i="5"/>
  <c r="BA141" i="5"/>
  <c r="BB141" i="5"/>
  <c r="BC141" i="5"/>
  <c r="BD141" i="5"/>
  <c r="BE141" i="5"/>
  <c r="BF141" i="5"/>
  <c r="BG141" i="5"/>
  <c r="BH141" i="5"/>
  <c r="BI141" i="5"/>
  <c r="BJ141" i="5"/>
  <c r="BK141" i="5"/>
  <c r="BL141" i="5"/>
  <c r="BM141" i="5"/>
  <c r="BN141" i="5"/>
  <c r="BO141" i="5"/>
  <c r="BP141" i="5"/>
  <c r="BQ141" i="5"/>
  <c r="BR141" i="5"/>
  <c r="BS141" i="5"/>
  <c r="BT141" i="5"/>
  <c r="BU141" i="5"/>
  <c r="BV141" i="5"/>
  <c r="BW141" i="5"/>
  <c r="BX141" i="5"/>
  <c r="BY141" i="5"/>
  <c r="P5" i="1" l="1"/>
  <c r="U21" i="1"/>
  <c r="Q238" i="6" s="1"/>
  <c r="U22" i="1"/>
  <c r="Q243" i="6" s="1"/>
  <c r="U23" i="1"/>
  <c r="Q248" i="6" s="1"/>
  <c r="U24" i="1"/>
  <c r="Q253" i="6" s="1"/>
  <c r="U17" i="1"/>
  <c r="Q218" i="6" s="1"/>
  <c r="U18" i="1"/>
  <c r="Q223" i="6" s="1"/>
  <c r="U19" i="1"/>
  <c r="Q228" i="6" s="1"/>
  <c r="U20" i="1"/>
  <c r="Q233" i="6" s="1"/>
  <c r="U10" i="1"/>
  <c r="Q183" i="6" s="1"/>
  <c r="U11" i="1"/>
  <c r="Q188" i="6" s="1"/>
  <c r="U12" i="1"/>
  <c r="Q193" i="6" s="1"/>
  <c r="U13" i="1"/>
  <c r="Q198" i="6" s="1"/>
  <c r="U14" i="1"/>
  <c r="Q203" i="6" s="1"/>
  <c r="U15" i="1"/>
  <c r="Q208" i="6" s="1"/>
  <c r="U16" i="1"/>
  <c r="Q213" i="6" s="1"/>
  <c r="U9" i="1"/>
  <c r="U7" i="1"/>
  <c r="U6" i="1"/>
  <c r="U8" i="1"/>
  <c r="Q22" i="1" l="1"/>
  <c r="E255" i="6" s="1"/>
  <c r="C256" i="6" s="1"/>
  <c r="Q21" i="1"/>
  <c r="E250" i="6" s="1"/>
  <c r="C251" i="6" s="1"/>
  <c r="Q20" i="1"/>
  <c r="E245" i="6" s="1"/>
  <c r="C246" i="6" s="1"/>
  <c r="Q19" i="1"/>
  <c r="E240" i="6" s="1"/>
  <c r="C241" i="6" s="1"/>
  <c r="Q18" i="1"/>
  <c r="E235" i="6" s="1"/>
  <c r="C236" i="6" s="1"/>
  <c r="Q17" i="1"/>
  <c r="E230" i="6" s="1"/>
  <c r="C231" i="6" s="1"/>
  <c r="Q16" i="1"/>
  <c r="E225" i="6" s="1"/>
  <c r="C226" i="6" s="1"/>
  <c r="Q15" i="1"/>
  <c r="E220" i="6" s="1"/>
  <c r="C221" i="6" s="1"/>
  <c r="Q14" i="1"/>
  <c r="E215" i="6" s="1"/>
  <c r="C216" i="6" s="1"/>
  <c r="Q13" i="1"/>
  <c r="E210" i="6" s="1"/>
  <c r="C211" i="6" s="1"/>
  <c r="Q12" i="1"/>
  <c r="E205" i="6" s="1"/>
  <c r="C206" i="6" s="1"/>
  <c r="Q11" i="1"/>
  <c r="Q10" i="1"/>
  <c r="E195" i="6" s="1"/>
  <c r="C196" i="6" s="1"/>
  <c r="Q9" i="1"/>
  <c r="E190" i="6" s="1"/>
  <c r="C191" i="6" s="1"/>
  <c r="Q8" i="1"/>
  <c r="E185" i="6" s="1"/>
  <c r="C186" i="6" s="1"/>
  <c r="Q4" i="1"/>
  <c r="Q3" i="1"/>
  <c r="E160" i="6" s="1"/>
  <c r="C214" i="6"/>
  <c r="D215" i="6" s="1"/>
  <c r="C244" i="6"/>
  <c r="D245" i="6" s="1"/>
  <c r="Q257" i="6"/>
  <c r="Q256" i="6"/>
  <c r="Q255" i="6"/>
  <c r="Q254" i="6"/>
  <c r="Q252" i="6"/>
  <c r="Q251" i="6"/>
  <c r="Q250" i="6"/>
  <c r="Q249" i="6"/>
  <c r="Q247" i="6"/>
  <c r="Q246" i="6"/>
  <c r="Q245" i="6"/>
  <c r="Q244" i="6"/>
  <c r="Q242" i="6"/>
  <c r="Q241" i="6"/>
  <c r="Q240" i="6"/>
  <c r="Q239" i="6"/>
  <c r="Q237" i="6"/>
  <c r="Q236" i="6"/>
  <c r="Q235" i="6"/>
  <c r="Q234" i="6"/>
  <c r="Q232" i="6"/>
  <c r="Q231" i="6"/>
  <c r="Q230" i="6"/>
  <c r="Q229" i="6"/>
  <c r="Q227" i="6"/>
  <c r="Q226" i="6"/>
  <c r="Q225" i="6"/>
  <c r="Q224" i="6"/>
  <c r="Q222" i="6"/>
  <c r="Q221" i="6"/>
  <c r="Q220" i="6"/>
  <c r="Q219" i="6"/>
  <c r="C219" i="6"/>
  <c r="C220" i="6" s="1"/>
  <c r="Q217" i="6"/>
  <c r="Q216" i="6"/>
  <c r="Q215" i="6"/>
  <c r="Q214" i="6"/>
  <c r="Q212" i="6"/>
  <c r="Q211" i="6"/>
  <c r="Q210" i="6"/>
  <c r="Q209" i="6"/>
  <c r="Q207" i="6"/>
  <c r="Q206" i="6"/>
  <c r="Q205" i="6"/>
  <c r="Q204" i="6"/>
  <c r="Q202" i="6"/>
  <c r="Q201" i="6"/>
  <c r="Q200" i="6"/>
  <c r="E200" i="6"/>
  <c r="C201" i="6" s="1"/>
  <c r="Q199" i="6"/>
  <c r="Q197" i="6"/>
  <c r="Q196" i="6"/>
  <c r="Q195" i="6"/>
  <c r="Q194" i="6"/>
  <c r="Q192" i="6"/>
  <c r="Q191" i="6"/>
  <c r="Q190" i="6"/>
  <c r="Q189" i="6"/>
  <c r="Q187" i="6"/>
  <c r="Q186" i="6"/>
  <c r="Q185" i="6"/>
  <c r="Q184" i="6"/>
  <c r="T17" i="1" l="1"/>
  <c r="T18" i="1"/>
  <c r="T23" i="1"/>
  <c r="C199" i="6"/>
  <c r="E201" i="6" s="1"/>
  <c r="D201" i="6" s="1"/>
  <c r="T14" i="1"/>
  <c r="C234" i="6"/>
  <c r="D235" i="6" s="1"/>
  <c r="T21" i="1"/>
  <c r="C194" i="6"/>
  <c r="D195" i="6" s="1"/>
  <c r="T13" i="1"/>
  <c r="C229" i="6"/>
  <c r="C230" i="6" s="1"/>
  <c r="T20" i="1"/>
  <c r="C189" i="6"/>
  <c r="D190" i="6" s="1"/>
  <c r="T12" i="1"/>
  <c r="C224" i="6"/>
  <c r="C225" i="6" s="1"/>
  <c r="T19" i="1"/>
  <c r="C184" i="6"/>
  <c r="C185" i="6" s="1"/>
  <c r="T11" i="1"/>
  <c r="C254" i="6"/>
  <c r="D255" i="6" s="1"/>
  <c r="T25" i="1"/>
  <c r="C249" i="6"/>
  <c r="D250" i="6" s="1"/>
  <c r="T24" i="1"/>
  <c r="C209" i="6"/>
  <c r="E211" i="6" s="1"/>
  <c r="D211" i="6" s="1"/>
  <c r="T16" i="1"/>
  <c r="C204" i="6"/>
  <c r="E206" i="6" s="1"/>
  <c r="D206" i="6" s="1"/>
  <c r="T15" i="1"/>
  <c r="C239" i="6"/>
  <c r="D240" i="6" s="1"/>
  <c r="T22" i="1"/>
  <c r="E221" i="6"/>
  <c r="D221" i="6" s="1"/>
  <c r="D220" i="6"/>
  <c r="E246" i="6"/>
  <c r="D246" i="6" s="1"/>
  <c r="C245" i="6"/>
  <c r="E216" i="6"/>
  <c r="D216" i="6" s="1"/>
  <c r="C215" i="6"/>
  <c r="Q141" i="6"/>
  <c r="Q142" i="6"/>
  <c r="Q143" i="6"/>
  <c r="Q144" i="6"/>
  <c r="Q145" i="6"/>
  <c r="Q146" i="6"/>
  <c r="Q147" i="6"/>
  <c r="Q148" i="6"/>
  <c r="Q149" i="6"/>
  <c r="Q131" i="6"/>
  <c r="Q132" i="6"/>
  <c r="Q133" i="6"/>
  <c r="Q134" i="6"/>
  <c r="Q135" i="6"/>
  <c r="Q136" i="6"/>
  <c r="Q137" i="6"/>
  <c r="Q138" i="6"/>
  <c r="Q139" i="6"/>
  <c r="Q140" i="6"/>
  <c r="C190" i="6" l="1"/>
  <c r="D200" i="6"/>
  <c r="C205" i="6"/>
  <c r="C200" i="6"/>
  <c r="E196" i="6"/>
  <c r="D196" i="6" s="1"/>
  <c r="D210" i="6"/>
  <c r="E186" i="6"/>
  <c r="D186" i="6" s="1"/>
  <c r="E251" i="6"/>
  <c r="D251" i="6" s="1"/>
  <c r="E231" i="6"/>
  <c r="D231" i="6" s="1"/>
  <c r="E191" i="6"/>
  <c r="D191" i="6" s="1"/>
  <c r="C255" i="6"/>
  <c r="C195" i="6"/>
  <c r="E226" i="6"/>
  <c r="D226" i="6" s="1"/>
  <c r="C235" i="6"/>
  <c r="D205" i="6"/>
  <c r="E236" i="6"/>
  <c r="D236" i="6" s="1"/>
  <c r="D225" i="6"/>
  <c r="C210" i="6"/>
  <c r="C250" i="6"/>
  <c r="D185" i="6"/>
  <c r="C240" i="6"/>
  <c r="E256" i="6"/>
  <c r="D256" i="6" s="1"/>
  <c r="E241" i="6"/>
  <c r="D241" i="6" s="1"/>
  <c r="D230" i="6"/>
  <c r="K40" i="5"/>
  <c r="L40" i="5"/>
  <c r="M40" i="5"/>
  <c r="N40" i="5"/>
  <c r="O40" i="5"/>
  <c r="P40" i="5"/>
  <c r="Q40" i="5"/>
  <c r="R40" i="5"/>
  <c r="S40" i="5"/>
  <c r="T40" i="5"/>
  <c r="U40" i="5"/>
  <c r="V40" i="5"/>
  <c r="W40" i="5"/>
  <c r="X40" i="5"/>
  <c r="Y40" i="5"/>
  <c r="Z40" i="5"/>
  <c r="AA40" i="5"/>
  <c r="AB40" i="5"/>
  <c r="AC40" i="5"/>
  <c r="AD40" i="5"/>
  <c r="AE40" i="5"/>
  <c r="AF40" i="5"/>
  <c r="AG40" i="5"/>
  <c r="K41" i="5"/>
  <c r="L41" i="5"/>
  <c r="M41" i="5"/>
  <c r="N41" i="5"/>
  <c r="O41" i="5"/>
  <c r="P41" i="5"/>
  <c r="Q41" i="5"/>
  <c r="R41" i="5"/>
  <c r="S41" i="5"/>
  <c r="T41" i="5"/>
  <c r="U41" i="5"/>
  <c r="V41" i="5"/>
  <c r="W41" i="5"/>
  <c r="X41" i="5"/>
  <c r="Y41" i="5"/>
  <c r="Z41" i="5"/>
  <c r="AA41" i="5"/>
  <c r="AB41" i="5"/>
  <c r="AC41" i="5"/>
  <c r="AD41" i="5"/>
  <c r="AE41" i="5"/>
  <c r="AF41" i="5"/>
  <c r="AG41" i="5"/>
  <c r="K42" i="5"/>
  <c r="L42" i="5"/>
  <c r="M42" i="5"/>
  <c r="N42" i="5"/>
  <c r="O42" i="5"/>
  <c r="P42" i="5"/>
  <c r="Q42" i="5"/>
  <c r="R42" i="5"/>
  <c r="S42" i="5"/>
  <c r="T42" i="5"/>
  <c r="U42" i="5"/>
  <c r="V42" i="5"/>
  <c r="W42" i="5"/>
  <c r="X42" i="5"/>
  <c r="Y42" i="5"/>
  <c r="Z42" i="5"/>
  <c r="AA42" i="5"/>
  <c r="AB42" i="5"/>
  <c r="AC42" i="5"/>
  <c r="AD42" i="5"/>
  <c r="AE42" i="5"/>
  <c r="AF42" i="5"/>
  <c r="AG42" i="5"/>
  <c r="K43" i="5"/>
  <c r="L43" i="5"/>
  <c r="M43" i="5"/>
  <c r="N43" i="5"/>
  <c r="O43" i="5"/>
  <c r="P43" i="5"/>
  <c r="Q43" i="5"/>
  <c r="R43" i="5"/>
  <c r="S43" i="5"/>
  <c r="T43" i="5"/>
  <c r="U43" i="5"/>
  <c r="V43" i="5"/>
  <c r="W43" i="5"/>
  <c r="X43" i="5"/>
  <c r="Y43" i="5"/>
  <c r="Z43" i="5"/>
  <c r="AA43" i="5"/>
  <c r="AB43" i="5"/>
  <c r="AC43" i="5"/>
  <c r="AD43" i="5"/>
  <c r="AE43" i="5"/>
  <c r="AF43" i="5"/>
  <c r="AG43" i="5"/>
  <c r="K44" i="5"/>
  <c r="L44" i="5"/>
  <c r="M44" i="5"/>
  <c r="N44" i="5"/>
  <c r="O44" i="5"/>
  <c r="P44" i="5"/>
  <c r="Q44" i="5"/>
  <c r="R44" i="5"/>
  <c r="S44" i="5"/>
  <c r="T44" i="5"/>
  <c r="U44" i="5"/>
  <c r="V44" i="5"/>
  <c r="W44" i="5"/>
  <c r="X44" i="5"/>
  <c r="Y44" i="5"/>
  <c r="Z44" i="5"/>
  <c r="AA44" i="5"/>
  <c r="AB44" i="5"/>
  <c r="AC44" i="5"/>
  <c r="AD44" i="5"/>
  <c r="AE44" i="5"/>
  <c r="AF44" i="5"/>
  <c r="AG44" i="5"/>
  <c r="K45" i="5"/>
  <c r="L45" i="5"/>
  <c r="M45" i="5"/>
  <c r="N45" i="5"/>
  <c r="O45" i="5"/>
  <c r="P45" i="5"/>
  <c r="Q45" i="5"/>
  <c r="R45" i="5"/>
  <c r="S45" i="5"/>
  <c r="T45" i="5"/>
  <c r="U45" i="5"/>
  <c r="V45" i="5"/>
  <c r="W45" i="5"/>
  <c r="X45" i="5"/>
  <c r="Y45" i="5"/>
  <c r="Z45" i="5"/>
  <c r="AA45" i="5"/>
  <c r="AB45" i="5"/>
  <c r="AC45" i="5"/>
  <c r="AD45" i="5"/>
  <c r="AE45" i="5"/>
  <c r="AF45" i="5"/>
  <c r="AG45" i="5"/>
  <c r="K46" i="5"/>
  <c r="L46" i="5"/>
  <c r="M46" i="5"/>
  <c r="N46" i="5"/>
  <c r="O46" i="5"/>
  <c r="P46" i="5"/>
  <c r="Q46" i="5"/>
  <c r="R46" i="5"/>
  <c r="S46" i="5"/>
  <c r="T46" i="5"/>
  <c r="U46" i="5"/>
  <c r="V46" i="5"/>
  <c r="W46" i="5"/>
  <c r="X46" i="5"/>
  <c r="Y46" i="5"/>
  <c r="Z46" i="5"/>
  <c r="AA46" i="5"/>
  <c r="AB46" i="5"/>
  <c r="AC46" i="5"/>
  <c r="AD46" i="5"/>
  <c r="AE46" i="5"/>
  <c r="AF46" i="5"/>
  <c r="AG46" i="5"/>
  <c r="K47" i="5"/>
  <c r="L47" i="5"/>
  <c r="M47" i="5"/>
  <c r="N47" i="5"/>
  <c r="O47" i="5"/>
  <c r="P47" i="5"/>
  <c r="Q47" i="5"/>
  <c r="R47" i="5"/>
  <c r="S47" i="5"/>
  <c r="T47" i="5"/>
  <c r="U47" i="5"/>
  <c r="V47" i="5"/>
  <c r="W47" i="5"/>
  <c r="X47" i="5"/>
  <c r="Y47" i="5"/>
  <c r="Z47" i="5"/>
  <c r="AA47" i="5"/>
  <c r="AB47" i="5"/>
  <c r="AC47" i="5"/>
  <c r="AD47" i="5"/>
  <c r="AE47" i="5"/>
  <c r="AF47" i="5"/>
  <c r="AG47" i="5"/>
  <c r="K48" i="5"/>
  <c r="L48" i="5"/>
  <c r="M48" i="5"/>
  <c r="N48" i="5"/>
  <c r="O48" i="5"/>
  <c r="P48" i="5"/>
  <c r="Q48" i="5"/>
  <c r="R48" i="5"/>
  <c r="S48" i="5"/>
  <c r="T48" i="5"/>
  <c r="U48" i="5"/>
  <c r="V48" i="5"/>
  <c r="W48" i="5"/>
  <c r="X48" i="5"/>
  <c r="Y48" i="5"/>
  <c r="Z48" i="5"/>
  <c r="AA48" i="5"/>
  <c r="AB48" i="5"/>
  <c r="AC48" i="5"/>
  <c r="AD48" i="5"/>
  <c r="AE48" i="5"/>
  <c r="AF48" i="5"/>
  <c r="AG48" i="5"/>
  <c r="K49" i="5"/>
  <c r="L49" i="5"/>
  <c r="M49" i="5"/>
  <c r="N49" i="5"/>
  <c r="O49" i="5"/>
  <c r="P49" i="5"/>
  <c r="Q49" i="5"/>
  <c r="R49" i="5"/>
  <c r="S49" i="5"/>
  <c r="T49" i="5"/>
  <c r="U49" i="5"/>
  <c r="V49" i="5"/>
  <c r="W49" i="5"/>
  <c r="X49" i="5"/>
  <c r="Y49" i="5"/>
  <c r="Z49" i="5"/>
  <c r="AA49" i="5"/>
  <c r="AB49" i="5"/>
  <c r="AC49" i="5"/>
  <c r="AD49" i="5"/>
  <c r="AE49" i="5"/>
  <c r="AF49" i="5"/>
  <c r="AG49" i="5"/>
  <c r="K50" i="5"/>
  <c r="L50" i="5"/>
  <c r="M50" i="5"/>
  <c r="N50" i="5"/>
  <c r="O50" i="5"/>
  <c r="P50" i="5"/>
  <c r="Q50" i="5"/>
  <c r="R50" i="5"/>
  <c r="S50" i="5"/>
  <c r="T50" i="5"/>
  <c r="U50" i="5"/>
  <c r="V50" i="5"/>
  <c r="W50" i="5"/>
  <c r="X50" i="5"/>
  <c r="Y50" i="5"/>
  <c r="Z50" i="5"/>
  <c r="AA50" i="5"/>
  <c r="AB50" i="5"/>
  <c r="AC50" i="5"/>
  <c r="AD50" i="5"/>
  <c r="AE50" i="5"/>
  <c r="AF50" i="5"/>
  <c r="AG50" i="5"/>
  <c r="K51" i="5"/>
  <c r="L51" i="5"/>
  <c r="M51" i="5"/>
  <c r="N51" i="5"/>
  <c r="O51" i="5"/>
  <c r="P51" i="5"/>
  <c r="Q51" i="5"/>
  <c r="R51" i="5"/>
  <c r="S51" i="5"/>
  <c r="T51" i="5"/>
  <c r="U51" i="5"/>
  <c r="V51" i="5"/>
  <c r="W51" i="5"/>
  <c r="X51" i="5"/>
  <c r="Y51" i="5"/>
  <c r="Z51" i="5"/>
  <c r="AA51" i="5"/>
  <c r="AB51" i="5"/>
  <c r="AC51" i="5"/>
  <c r="AD51" i="5"/>
  <c r="AE51" i="5"/>
  <c r="AF51" i="5"/>
  <c r="AG51" i="5"/>
  <c r="K52" i="5"/>
  <c r="L52" i="5"/>
  <c r="M52" i="5"/>
  <c r="N52" i="5"/>
  <c r="O52" i="5"/>
  <c r="P52" i="5"/>
  <c r="Q52" i="5"/>
  <c r="R52" i="5"/>
  <c r="S52" i="5"/>
  <c r="T52" i="5"/>
  <c r="U52" i="5"/>
  <c r="V52" i="5"/>
  <c r="W52" i="5"/>
  <c r="X52" i="5"/>
  <c r="Y52" i="5"/>
  <c r="Z52" i="5"/>
  <c r="AA52" i="5"/>
  <c r="AB52" i="5"/>
  <c r="AC52" i="5"/>
  <c r="AD52" i="5"/>
  <c r="AE52" i="5"/>
  <c r="AF52" i="5"/>
  <c r="AG52" i="5"/>
  <c r="K53" i="5"/>
  <c r="L53" i="5"/>
  <c r="M53" i="5"/>
  <c r="N53" i="5"/>
  <c r="O53" i="5"/>
  <c r="P53" i="5"/>
  <c r="Q53" i="5"/>
  <c r="R53" i="5"/>
  <c r="S53" i="5"/>
  <c r="T53" i="5"/>
  <c r="U53" i="5"/>
  <c r="V53" i="5"/>
  <c r="W53" i="5"/>
  <c r="X53" i="5"/>
  <c r="Y53" i="5"/>
  <c r="Z53" i="5"/>
  <c r="AA53" i="5"/>
  <c r="AB53" i="5"/>
  <c r="AC53" i="5"/>
  <c r="AD53" i="5"/>
  <c r="AE53" i="5"/>
  <c r="AF53" i="5"/>
  <c r="AG53" i="5"/>
  <c r="K54" i="5"/>
  <c r="L54" i="5"/>
  <c r="M54" i="5"/>
  <c r="N54" i="5"/>
  <c r="O54" i="5"/>
  <c r="P54" i="5"/>
  <c r="Q54" i="5"/>
  <c r="R54" i="5"/>
  <c r="S54" i="5"/>
  <c r="T54" i="5"/>
  <c r="U54" i="5"/>
  <c r="V54" i="5"/>
  <c r="W54" i="5"/>
  <c r="X54" i="5"/>
  <c r="Y54" i="5"/>
  <c r="Z54" i="5"/>
  <c r="AA54" i="5"/>
  <c r="AB54" i="5"/>
  <c r="AC54" i="5"/>
  <c r="AD54" i="5"/>
  <c r="AE54" i="5"/>
  <c r="AF54" i="5"/>
  <c r="AG54" i="5"/>
  <c r="K55" i="5"/>
  <c r="L55" i="5"/>
  <c r="M55" i="5"/>
  <c r="N55" i="5"/>
  <c r="O55" i="5"/>
  <c r="P55" i="5"/>
  <c r="Q55" i="5"/>
  <c r="R55" i="5"/>
  <c r="S55" i="5"/>
  <c r="T55" i="5"/>
  <c r="U55" i="5"/>
  <c r="V55" i="5"/>
  <c r="W55" i="5"/>
  <c r="X55" i="5"/>
  <c r="Y55" i="5"/>
  <c r="Z55" i="5"/>
  <c r="AA55" i="5"/>
  <c r="AB55" i="5"/>
  <c r="AC55" i="5"/>
  <c r="AD55" i="5"/>
  <c r="AE55" i="5"/>
  <c r="AF55" i="5"/>
  <c r="AG55" i="5"/>
  <c r="K56" i="5"/>
  <c r="L56" i="5"/>
  <c r="M56" i="5"/>
  <c r="N56" i="5"/>
  <c r="O56" i="5"/>
  <c r="P56" i="5"/>
  <c r="Q56" i="5"/>
  <c r="R56" i="5"/>
  <c r="S56" i="5"/>
  <c r="T56" i="5"/>
  <c r="U56" i="5"/>
  <c r="V56" i="5"/>
  <c r="W56" i="5"/>
  <c r="X56" i="5"/>
  <c r="Y56" i="5"/>
  <c r="Z56" i="5"/>
  <c r="AA56" i="5"/>
  <c r="AB56" i="5"/>
  <c r="AC56" i="5"/>
  <c r="AD56" i="5"/>
  <c r="AE56" i="5"/>
  <c r="AF56" i="5"/>
  <c r="AG56" i="5"/>
  <c r="K57" i="5"/>
  <c r="L57" i="5"/>
  <c r="M57" i="5"/>
  <c r="N57" i="5"/>
  <c r="O57" i="5"/>
  <c r="P57" i="5"/>
  <c r="Q57" i="5"/>
  <c r="R57" i="5"/>
  <c r="S57" i="5"/>
  <c r="T57" i="5"/>
  <c r="U57" i="5"/>
  <c r="V57" i="5"/>
  <c r="W57" i="5"/>
  <c r="X57" i="5"/>
  <c r="Y57" i="5"/>
  <c r="Z57" i="5"/>
  <c r="AA57" i="5"/>
  <c r="AB57" i="5"/>
  <c r="AC57" i="5"/>
  <c r="AD57" i="5"/>
  <c r="AE57" i="5"/>
  <c r="AF57" i="5"/>
  <c r="AG57" i="5"/>
  <c r="K58" i="5"/>
  <c r="L58" i="5"/>
  <c r="M58" i="5"/>
  <c r="N58" i="5"/>
  <c r="O58" i="5"/>
  <c r="P58" i="5"/>
  <c r="Q58" i="5"/>
  <c r="R58" i="5"/>
  <c r="S58" i="5"/>
  <c r="T58" i="5"/>
  <c r="U58" i="5"/>
  <c r="V58" i="5"/>
  <c r="W58" i="5"/>
  <c r="X58" i="5"/>
  <c r="Y58" i="5"/>
  <c r="Z58" i="5"/>
  <c r="AA58" i="5"/>
  <c r="AB58" i="5"/>
  <c r="AC58" i="5"/>
  <c r="AD58" i="5"/>
  <c r="AE58" i="5"/>
  <c r="AF58" i="5"/>
  <c r="AG58" i="5"/>
  <c r="K59" i="5"/>
  <c r="L59" i="5"/>
  <c r="M59" i="5"/>
  <c r="N59" i="5"/>
  <c r="O59" i="5"/>
  <c r="P59" i="5"/>
  <c r="Q59" i="5"/>
  <c r="R59" i="5"/>
  <c r="S59" i="5"/>
  <c r="T59" i="5"/>
  <c r="U59" i="5"/>
  <c r="V59" i="5"/>
  <c r="W59" i="5"/>
  <c r="X59" i="5"/>
  <c r="Y59" i="5"/>
  <c r="Z59" i="5"/>
  <c r="AA59" i="5"/>
  <c r="AB59" i="5"/>
  <c r="AC59" i="5"/>
  <c r="AD59" i="5"/>
  <c r="AE59" i="5"/>
  <c r="AF59" i="5"/>
  <c r="AG59" i="5"/>
  <c r="K60" i="5"/>
  <c r="L60" i="5"/>
  <c r="M60" i="5"/>
  <c r="N60" i="5"/>
  <c r="O60" i="5"/>
  <c r="P60" i="5"/>
  <c r="Q60" i="5"/>
  <c r="R60" i="5"/>
  <c r="S60" i="5"/>
  <c r="T60" i="5"/>
  <c r="U60" i="5"/>
  <c r="V60" i="5"/>
  <c r="W60" i="5"/>
  <c r="X60" i="5"/>
  <c r="Y60" i="5"/>
  <c r="Z60" i="5"/>
  <c r="AA60" i="5"/>
  <c r="AB60" i="5"/>
  <c r="AC60" i="5"/>
  <c r="AD60" i="5"/>
  <c r="AE60" i="5"/>
  <c r="AF60" i="5"/>
  <c r="AG60" i="5"/>
  <c r="K61" i="5"/>
  <c r="L61" i="5"/>
  <c r="M61" i="5"/>
  <c r="N61" i="5"/>
  <c r="O61" i="5"/>
  <c r="P61" i="5"/>
  <c r="Q61" i="5"/>
  <c r="R61" i="5"/>
  <c r="S61" i="5"/>
  <c r="T61" i="5"/>
  <c r="U61" i="5"/>
  <c r="V61" i="5"/>
  <c r="W61" i="5"/>
  <c r="X61" i="5"/>
  <c r="Y61" i="5"/>
  <c r="Z61" i="5"/>
  <c r="AA61" i="5"/>
  <c r="AB61" i="5"/>
  <c r="AC61" i="5"/>
  <c r="AD61" i="5"/>
  <c r="AE61" i="5"/>
  <c r="AF61" i="5"/>
  <c r="AG61" i="5"/>
  <c r="K62" i="5"/>
  <c r="L62" i="5"/>
  <c r="M62" i="5"/>
  <c r="N62" i="5"/>
  <c r="O62" i="5"/>
  <c r="P62" i="5"/>
  <c r="Q62" i="5"/>
  <c r="R62" i="5"/>
  <c r="S62" i="5"/>
  <c r="T62" i="5"/>
  <c r="U62" i="5"/>
  <c r="V62" i="5"/>
  <c r="W62" i="5"/>
  <c r="X62" i="5"/>
  <c r="Y62" i="5"/>
  <c r="Z62" i="5"/>
  <c r="AA62" i="5"/>
  <c r="AB62" i="5"/>
  <c r="AC62" i="5"/>
  <c r="AD62" i="5"/>
  <c r="AE62" i="5"/>
  <c r="AF62" i="5"/>
  <c r="AG62" i="5"/>
  <c r="C63" i="5"/>
  <c r="K63" i="5"/>
  <c r="L63" i="5"/>
  <c r="M63" i="5"/>
  <c r="N63" i="5"/>
  <c r="O63" i="5"/>
  <c r="P63" i="5"/>
  <c r="Q63" i="5"/>
  <c r="R63" i="5"/>
  <c r="S63" i="5"/>
  <c r="T63" i="5"/>
  <c r="U63" i="5"/>
  <c r="V63" i="5"/>
  <c r="W63" i="5"/>
  <c r="X63" i="5"/>
  <c r="Y63" i="5"/>
  <c r="Z63" i="5"/>
  <c r="AA63" i="5"/>
  <c r="AB63" i="5"/>
  <c r="AC63" i="5"/>
  <c r="AD63" i="5"/>
  <c r="AE63" i="5"/>
  <c r="AF63" i="5"/>
  <c r="AG63" i="5"/>
  <c r="C64" i="5"/>
  <c r="K64" i="5"/>
  <c r="L64" i="5"/>
  <c r="M64" i="5"/>
  <c r="N64" i="5"/>
  <c r="O64" i="5"/>
  <c r="P64" i="5"/>
  <c r="Q64" i="5"/>
  <c r="R64" i="5"/>
  <c r="S64" i="5"/>
  <c r="T64" i="5"/>
  <c r="U64" i="5"/>
  <c r="V64" i="5"/>
  <c r="W64" i="5"/>
  <c r="X64" i="5"/>
  <c r="Y64" i="5"/>
  <c r="Z64" i="5"/>
  <c r="AA64" i="5"/>
  <c r="AB64" i="5"/>
  <c r="AC64" i="5"/>
  <c r="AD64" i="5"/>
  <c r="AE64" i="5"/>
  <c r="AF64" i="5"/>
  <c r="AG64" i="5"/>
  <c r="C65" i="5"/>
  <c r="K65" i="5"/>
  <c r="L65" i="5"/>
  <c r="M65" i="5"/>
  <c r="N65" i="5"/>
  <c r="O65" i="5"/>
  <c r="P65" i="5"/>
  <c r="Q65" i="5"/>
  <c r="R65" i="5"/>
  <c r="S65" i="5"/>
  <c r="T65" i="5"/>
  <c r="U65" i="5"/>
  <c r="V65" i="5"/>
  <c r="W65" i="5"/>
  <c r="X65" i="5"/>
  <c r="Y65" i="5"/>
  <c r="Z65" i="5"/>
  <c r="AA65" i="5"/>
  <c r="AB65" i="5"/>
  <c r="AC65" i="5"/>
  <c r="AD65" i="5"/>
  <c r="AE65" i="5"/>
  <c r="AF65" i="5"/>
  <c r="AG65" i="5"/>
  <c r="C66" i="5"/>
  <c r="K66" i="5"/>
  <c r="L66" i="5"/>
  <c r="M66" i="5"/>
  <c r="N66" i="5"/>
  <c r="O66" i="5"/>
  <c r="P66" i="5"/>
  <c r="Q66" i="5"/>
  <c r="R66" i="5"/>
  <c r="S66" i="5"/>
  <c r="T66" i="5"/>
  <c r="U66" i="5"/>
  <c r="V66" i="5"/>
  <c r="W66" i="5"/>
  <c r="X66" i="5"/>
  <c r="Y66" i="5"/>
  <c r="Z66" i="5"/>
  <c r="AA66" i="5"/>
  <c r="AB66" i="5"/>
  <c r="AC66" i="5"/>
  <c r="AD66" i="5"/>
  <c r="AE66" i="5"/>
  <c r="AF66" i="5"/>
  <c r="AG66" i="5"/>
  <c r="C67" i="5"/>
  <c r="K67" i="5"/>
  <c r="L67" i="5"/>
  <c r="M67" i="5"/>
  <c r="N67" i="5"/>
  <c r="O67" i="5"/>
  <c r="P67" i="5"/>
  <c r="Q67" i="5"/>
  <c r="R67" i="5"/>
  <c r="S67" i="5"/>
  <c r="T67" i="5"/>
  <c r="U67" i="5"/>
  <c r="V67" i="5"/>
  <c r="W67" i="5"/>
  <c r="X67" i="5"/>
  <c r="Y67" i="5"/>
  <c r="Z67" i="5"/>
  <c r="AA67" i="5"/>
  <c r="AB67" i="5"/>
  <c r="AC67" i="5"/>
  <c r="AD67" i="5"/>
  <c r="AE67" i="5"/>
  <c r="AF67" i="5"/>
  <c r="AG67" i="5"/>
  <c r="C68" i="5"/>
  <c r="K68" i="5"/>
  <c r="L68" i="5"/>
  <c r="M68" i="5"/>
  <c r="N68" i="5"/>
  <c r="O68" i="5"/>
  <c r="P68" i="5"/>
  <c r="Q68" i="5"/>
  <c r="R68" i="5"/>
  <c r="S68" i="5"/>
  <c r="T68" i="5"/>
  <c r="U68" i="5"/>
  <c r="V68" i="5"/>
  <c r="W68" i="5"/>
  <c r="X68" i="5"/>
  <c r="Y68" i="5"/>
  <c r="Z68" i="5"/>
  <c r="AA68" i="5"/>
  <c r="AB68" i="5"/>
  <c r="AC68" i="5"/>
  <c r="AD68" i="5"/>
  <c r="AE68" i="5"/>
  <c r="AF68" i="5"/>
  <c r="AG68" i="5"/>
  <c r="C69" i="5"/>
  <c r="K69" i="5"/>
  <c r="L69" i="5"/>
  <c r="M69" i="5"/>
  <c r="N69" i="5"/>
  <c r="O69" i="5"/>
  <c r="P69" i="5"/>
  <c r="Q69" i="5"/>
  <c r="R69" i="5"/>
  <c r="S69" i="5"/>
  <c r="T69" i="5"/>
  <c r="U69" i="5"/>
  <c r="V69" i="5"/>
  <c r="W69" i="5"/>
  <c r="X69" i="5"/>
  <c r="Y69" i="5"/>
  <c r="Z69" i="5"/>
  <c r="AA69" i="5"/>
  <c r="AB69" i="5"/>
  <c r="AC69" i="5"/>
  <c r="AD69" i="5"/>
  <c r="AE69" i="5"/>
  <c r="AF69" i="5"/>
  <c r="AG69" i="5"/>
  <c r="C70" i="5"/>
  <c r="K70" i="5"/>
  <c r="L70" i="5"/>
  <c r="M70" i="5"/>
  <c r="N70" i="5"/>
  <c r="O70" i="5"/>
  <c r="P70" i="5"/>
  <c r="Q70" i="5"/>
  <c r="R70" i="5"/>
  <c r="S70" i="5"/>
  <c r="T70" i="5"/>
  <c r="U70" i="5"/>
  <c r="V70" i="5"/>
  <c r="W70" i="5"/>
  <c r="X70" i="5"/>
  <c r="Y70" i="5"/>
  <c r="Z70" i="5"/>
  <c r="AA70" i="5"/>
  <c r="AB70" i="5"/>
  <c r="AC70" i="5"/>
  <c r="AD70" i="5"/>
  <c r="AE70" i="5"/>
  <c r="AF70" i="5"/>
  <c r="AG70" i="5"/>
  <c r="C71" i="5"/>
  <c r="K71" i="5"/>
  <c r="L71" i="5"/>
  <c r="M71" i="5"/>
  <c r="N71" i="5"/>
  <c r="O71" i="5"/>
  <c r="P71" i="5"/>
  <c r="Q71" i="5"/>
  <c r="R71" i="5"/>
  <c r="S71" i="5"/>
  <c r="T71" i="5"/>
  <c r="U71" i="5"/>
  <c r="V71" i="5"/>
  <c r="W71" i="5"/>
  <c r="X71" i="5"/>
  <c r="Y71" i="5"/>
  <c r="Z71" i="5"/>
  <c r="AA71" i="5"/>
  <c r="AB71" i="5"/>
  <c r="AC71" i="5"/>
  <c r="AD71" i="5"/>
  <c r="AE71" i="5"/>
  <c r="AF71" i="5"/>
  <c r="AG71" i="5"/>
  <c r="C72" i="5"/>
  <c r="K72" i="5"/>
  <c r="L72" i="5"/>
  <c r="M72" i="5"/>
  <c r="N72" i="5"/>
  <c r="O72" i="5"/>
  <c r="P72" i="5"/>
  <c r="Q72" i="5"/>
  <c r="R72" i="5"/>
  <c r="S72" i="5"/>
  <c r="T72" i="5"/>
  <c r="U72" i="5"/>
  <c r="V72" i="5"/>
  <c r="W72" i="5"/>
  <c r="X72" i="5"/>
  <c r="Y72" i="5"/>
  <c r="Z72" i="5"/>
  <c r="AA72" i="5"/>
  <c r="AB72" i="5"/>
  <c r="AC72" i="5"/>
  <c r="AD72" i="5"/>
  <c r="AE72" i="5"/>
  <c r="AF72" i="5"/>
  <c r="AG72" i="5"/>
  <c r="C73" i="5"/>
  <c r="K73" i="5"/>
  <c r="L73" i="5"/>
  <c r="M73" i="5"/>
  <c r="N73" i="5"/>
  <c r="O73" i="5"/>
  <c r="P73" i="5"/>
  <c r="Q73" i="5"/>
  <c r="R73" i="5"/>
  <c r="S73" i="5"/>
  <c r="T73" i="5"/>
  <c r="U73" i="5"/>
  <c r="V73" i="5"/>
  <c r="W73" i="5"/>
  <c r="X73" i="5"/>
  <c r="Y73" i="5"/>
  <c r="Z73" i="5"/>
  <c r="AA73" i="5"/>
  <c r="AB73" i="5"/>
  <c r="AC73" i="5"/>
  <c r="AD73" i="5"/>
  <c r="AE73" i="5"/>
  <c r="AF73" i="5"/>
  <c r="AG73" i="5"/>
  <c r="C74" i="5"/>
  <c r="K74" i="5"/>
  <c r="L74" i="5"/>
  <c r="M74" i="5"/>
  <c r="N74" i="5"/>
  <c r="O74" i="5"/>
  <c r="P74" i="5"/>
  <c r="Q74" i="5"/>
  <c r="R74" i="5"/>
  <c r="S74" i="5"/>
  <c r="T74" i="5"/>
  <c r="U74" i="5"/>
  <c r="V74" i="5"/>
  <c r="W74" i="5"/>
  <c r="X74" i="5"/>
  <c r="Y74" i="5"/>
  <c r="Z74" i="5"/>
  <c r="AA74" i="5"/>
  <c r="AB74" i="5"/>
  <c r="AC74" i="5"/>
  <c r="AD74" i="5"/>
  <c r="AE74" i="5"/>
  <c r="AF74" i="5"/>
  <c r="AG74" i="5"/>
  <c r="C75" i="5"/>
  <c r="K75" i="5"/>
  <c r="L75" i="5"/>
  <c r="M75" i="5"/>
  <c r="N75" i="5"/>
  <c r="O75" i="5"/>
  <c r="P75" i="5"/>
  <c r="Q75" i="5"/>
  <c r="R75" i="5"/>
  <c r="S75" i="5"/>
  <c r="T75" i="5"/>
  <c r="U75" i="5"/>
  <c r="V75" i="5"/>
  <c r="W75" i="5"/>
  <c r="X75" i="5"/>
  <c r="Y75" i="5"/>
  <c r="Z75" i="5"/>
  <c r="AA75" i="5"/>
  <c r="AB75" i="5"/>
  <c r="AC75" i="5"/>
  <c r="AD75" i="5"/>
  <c r="AE75" i="5"/>
  <c r="AF75" i="5"/>
  <c r="AG75" i="5"/>
  <c r="C76" i="5"/>
  <c r="K76" i="5"/>
  <c r="L76" i="5"/>
  <c r="M76" i="5"/>
  <c r="N76" i="5"/>
  <c r="O76" i="5"/>
  <c r="P76" i="5"/>
  <c r="Q76" i="5"/>
  <c r="R76" i="5"/>
  <c r="S76" i="5"/>
  <c r="T76" i="5"/>
  <c r="U76" i="5"/>
  <c r="V76" i="5"/>
  <c r="W76" i="5"/>
  <c r="X76" i="5"/>
  <c r="Y76" i="5"/>
  <c r="Z76" i="5"/>
  <c r="AA76" i="5"/>
  <c r="AB76" i="5"/>
  <c r="AC76" i="5"/>
  <c r="AD76" i="5"/>
  <c r="AE76" i="5"/>
  <c r="AF76" i="5"/>
  <c r="AG76" i="5"/>
  <c r="C77" i="5"/>
  <c r="K77" i="5"/>
  <c r="L77" i="5"/>
  <c r="M77" i="5"/>
  <c r="N77" i="5"/>
  <c r="O77" i="5"/>
  <c r="P77" i="5"/>
  <c r="Q77" i="5"/>
  <c r="R77" i="5"/>
  <c r="S77" i="5"/>
  <c r="T77" i="5"/>
  <c r="U77" i="5"/>
  <c r="V77" i="5"/>
  <c r="W77" i="5"/>
  <c r="X77" i="5"/>
  <c r="Y77" i="5"/>
  <c r="Z77" i="5"/>
  <c r="AA77" i="5"/>
  <c r="AB77" i="5"/>
  <c r="AC77" i="5"/>
  <c r="AD77" i="5"/>
  <c r="AE77" i="5"/>
  <c r="AF77" i="5"/>
  <c r="AG77" i="5"/>
  <c r="C78" i="5"/>
  <c r="K78" i="5"/>
  <c r="L78" i="5"/>
  <c r="M78" i="5"/>
  <c r="N78" i="5"/>
  <c r="O78" i="5"/>
  <c r="P78" i="5"/>
  <c r="Q78" i="5"/>
  <c r="R78" i="5"/>
  <c r="S78" i="5"/>
  <c r="T78" i="5"/>
  <c r="U78" i="5"/>
  <c r="V78" i="5"/>
  <c r="W78" i="5"/>
  <c r="X78" i="5"/>
  <c r="Y78" i="5"/>
  <c r="Z78" i="5"/>
  <c r="AA78" i="5"/>
  <c r="AB78" i="5"/>
  <c r="AC78" i="5"/>
  <c r="AD78" i="5"/>
  <c r="AE78" i="5"/>
  <c r="AF78" i="5"/>
  <c r="AG78" i="5"/>
  <c r="C79" i="5"/>
  <c r="K79" i="5"/>
  <c r="L79" i="5"/>
  <c r="M79" i="5"/>
  <c r="N79" i="5"/>
  <c r="O79" i="5"/>
  <c r="P79" i="5"/>
  <c r="Q79" i="5"/>
  <c r="R79" i="5"/>
  <c r="S79" i="5"/>
  <c r="T79" i="5"/>
  <c r="U79" i="5"/>
  <c r="V79" i="5"/>
  <c r="W79" i="5"/>
  <c r="X79" i="5"/>
  <c r="Y79" i="5"/>
  <c r="Z79" i="5"/>
  <c r="AA79" i="5"/>
  <c r="AB79" i="5"/>
  <c r="AC79" i="5"/>
  <c r="AD79" i="5"/>
  <c r="AE79" i="5"/>
  <c r="AF79" i="5"/>
  <c r="AG79" i="5"/>
  <c r="C80" i="5"/>
  <c r="K80" i="5"/>
  <c r="L80" i="5"/>
  <c r="M80" i="5"/>
  <c r="N80" i="5"/>
  <c r="O80" i="5"/>
  <c r="P80" i="5"/>
  <c r="Q80" i="5"/>
  <c r="R80" i="5"/>
  <c r="S80" i="5"/>
  <c r="T80" i="5"/>
  <c r="U80" i="5"/>
  <c r="V80" i="5"/>
  <c r="W80" i="5"/>
  <c r="X80" i="5"/>
  <c r="Y80" i="5"/>
  <c r="Z80" i="5"/>
  <c r="AA80" i="5"/>
  <c r="AB80" i="5"/>
  <c r="AC80" i="5"/>
  <c r="AD80" i="5"/>
  <c r="AE80" i="5"/>
  <c r="AF80" i="5"/>
  <c r="AG80" i="5"/>
  <c r="C81" i="5"/>
  <c r="K81" i="5"/>
  <c r="L81" i="5"/>
  <c r="M81" i="5"/>
  <c r="N81" i="5"/>
  <c r="O81" i="5"/>
  <c r="P81" i="5"/>
  <c r="Q81" i="5"/>
  <c r="R81" i="5"/>
  <c r="S81" i="5"/>
  <c r="T81" i="5"/>
  <c r="U81" i="5"/>
  <c r="V81" i="5"/>
  <c r="W81" i="5"/>
  <c r="X81" i="5"/>
  <c r="Y81" i="5"/>
  <c r="Z81" i="5"/>
  <c r="AA81" i="5"/>
  <c r="AB81" i="5"/>
  <c r="AC81" i="5"/>
  <c r="AD81" i="5"/>
  <c r="AE81" i="5"/>
  <c r="AF81" i="5"/>
  <c r="AG81" i="5"/>
  <c r="C82" i="5"/>
  <c r="K82" i="5"/>
  <c r="L82" i="5"/>
  <c r="M82" i="5"/>
  <c r="N82" i="5"/>
  <c r="O82" i="5"/>
  <c r="P82" i="5"/>
  <c r="Q82" i="5"/>
  <c r="R82" i="5"/>
  <c r="S82" i="5"/>
  <c r="T82" i="5"/>
  <c r="U82" i="5"/>
  <c r="V82" i="5"/>
  <c r="W82" i="5"/>
  <c r="X82" i="5"/>
  <c r="Y82" i="5"/>
  <c r="Z82" i="5"/>
  <c r="AA82" i="5"/>
  <c r="AB82" i="5"/>
  <c r="AC82" i="5"/>
  <c r="AD82" i="5"/>
  <c r="AE82" i="5"/>
  <c r="AF82" i="5"/>
  <c r="AG82" i="5"/>
  <c r="C83" i="5"/>
  <c r="K83" i="5"/>
  <c r="L83" i="5"/>
  <c r="M83" i="5"/>
  <c r="N83" i="5"/>
  <c r="O83" i="5"/>
  <c r="P83" i="5"/>
  <c r="Q83" i="5"/>
  <c r="R83" i="5"/>
  <c r="S83" i="5"/>
  <c r="T83" i="5"/>
  <c r="U83" i="5"/>
  <c r="V83" i="5"/>
  <c r="W83" i="5"/>
  <c r="X83" i="5"/>
  <c r="Y83" i="5"/>
  <c r="Z83" i="5"/>
  <c r="AA83" i="5"/>
  <c r="AB83" i="5"/>
  <c r="AC83" i="5"/>
  <c r="AD83" i="5"/>
  <c r="AE83" i="5"/>
  <c r="AF83" i="5"/>
  <c r="AG83" i="5"/>
  <c r="C84" i="5"/>
  <c r="K84" i="5"/>
  <c r="L84" i="5"/>
  <c r="M84" i="5"/>
  <c r="N84" i="5"/>
  <c r="O84" i="5"/>
  <c r="P84" i="5"/>
  <c r="Q84" i="5"/>
  <c r="R84" i="5"/>
  <c r="S84" i="5"/>
  <c r="T84" i="5"/>
  <c r="U84" i="5"/>
  <c r="V84" i="5"/>
  <c r="W84" i="5"/>
  <c r="X84" i="5"/>
  <c r="Y84" i="5"/>
  <c r="Z84" i="5"/>
  <c r="AA84" i="5"/>
  <c r="AB84" i="5"/>
  <c r="AC84" i="5"/>
  <c r="AD84" i="5"/>
  <c r="AE84" i="5"/>
  <c r="AF84" i="5"/>
  <c r="AG84" i="5"/>
  <c r="C85" i="5"/>
  <c r="K85" i="5"/>
  <c r="L85" i="5"/>
  <c r="M85" i="5"/>
  <c r="N85" i="5"/>
  <c r="O85" i="5"/>
  <c r="P85" i="5"/>
  <c r="Q85" i="5"/>
  <c r="R85" i="5"/>
  <c r="S85" i="5"/>
  <c r="T85" i="5"/>
  <c r="U85" i="5"/>
  <c r="V85" i="5"/>
  <c r="W85" i="5"/>
  <c r="X85" i="5"/>
  <c r="Y85" i="5"/>
  <c r="Z85" i="5"/>
  <c r="AA85" i="5"/>
  <c r="AB85" i="5"/>
  <c r="AC85" i="5"/>
  <c r="AD85" i="5"/>
  <c r="AE85" i="5"/>
  <c r="AF85" i="5"/>
  <c r="AG85" i="5"/>
  <c r="C86" i="5"/>
  <c r="K86" i="5"/>
  <c r="L86" i="5"/>
  <c r="M86" i="5"/>
  <c r="N86" i="5"/>
  <c r="O86" i="5"/>
  <c r="P86" i="5"/>
  <c r="Q86" i="5"/>
  <c r="R86" i="5"/>
  <c r="S86" i="5"/>
  <c r="T86" i="5"/>
  <c r="U86" i="5"/>
  <c r="V86" i="5"/>
  <c r="W86" i="5"/>
  <c r="X86" i="5"/>
  <c r="Y86" i="5"/>
  <c r="Z86" i="5"/>
  <c r="AA86" i="5"/>
  <c r="AB86" i="5"/>
  <c r="AC86" i="5"/>
  <c r="AD86" i="5"/>
  <c r="AE86" i="5"/>
  <c r="AF86" i="5"/>
  <c r="AG86" i="5"/>
  <c r="C87" i="5"/>
  <c r="K87" i="5"/>
  <c r="L87" i="5"/>
  <c r="M87" i="5"/>
  <c r="N87" i="5"/>
  <c r="O87" i="5"/>
  <c r="P87" i="5"/>
  <c r="Q87" i="5"/>
  <c r="R87" i="5"/>
  <c r="S87" i="5"/>
  <c r="T87" i="5"/>
  <c r="U87" i="5"/>
  <c r="V87" i="5"/>
  <c r="W87" i="5"/>
  <c r="X87" i="5"/>
  <c r="Y87" i="5"/>
  <c r="Z87" i="5"/>
  <c r="AA87" i="5"/>
  <c r="AB87" i="5"/>
  <c r="AC87" i="5"/>
  <c r="AD87" i="5"/>
  <c r="AE87" i="5"/>
  <c r="AF87" i="5"/>
  <c r="AG87" i="5"/>
  <c r="C88" i="5"/>
  <c r="K88" i="5"/>
  <c r="L88" i="5"/>
  <c r="M88" i="5"/>
  <c r="N88" i="5"/>
  <c r="O88" i="5"/>
  <c r="P88" i="5"/>
  <c r="Q88" i="5"/>
  <c r="R88" i="5"/>
  <c r="S88" i="5"/>
  <c r="T88" i="5"/>
  <c r="U88" i="5"/>
  <c r="V88" i="5"/>
  <c r="W88" i="5"/>
  <c r="X88" i="5"/>
  <c r="Y88" i="5"/>
  <c r="Z88" i="5"/>
  <c r="AA88" i="5"/>
  <c r="AB88" i="5"/>
  <c r="AC88" i="5"/>
  <c r="AD88" i="5"/>
  <c r="AE88" i="5"/>
  <c r="AF88" i="5"/>
  <c r="AG88" i="5"/>
  <c r="K28" i="5"/>
  <c r="L28" i="5"/>
  <c r="M28" i="5"/>
  <c r="N28" i="5"/>
  <c r="O28" i="5"/>
  <c r="P28" i="5"/>
  <c r="Q28" i="5"/>
  <c r="R28" i="5"/>
  <c r="S28" i="5"/>
  <c r="T28" i="5"/>
  <c r="U28" i="5"/>
  <c r="V28" i="5"/>
  <c r="W28" i="5"/>
  <c r="X28" i="5"/>
  <c r="Y28" i="5"/>
  <c r="Z28" i="5"/>
  <c r="AA28" i="5"/>
  <c r="AB28" i="5"/>
  <c r="AC28" i="5"/>
  <c r="AD28" i="5"/>
  <c r="AE28" i="5"/>
  <c r="AF28" i="5"/>
  <c r="AG28" i="5"/>
  <c r="K29" i="5"/>
  <c r="L29" i="5"/>
  <c r="M29" i="5"/>
  <c r="N29" i="5"/>
  <c r="O29" i="5"/>
  <c r="P29" i="5"/>
  <c r="Q29" i="5"/>
  <c r="R29" i="5"/>
  <c r="S29" i="5"/>
  <c r="T29" i="5"/>
  <c r="U29" i="5"/>
  <c r="V29" i="5"/>
  <c r="W29" i="5"/>
  <c r="X29" i="5"/>
  <c r="Y29" i="5"/>
  <c r="Z29" i="5"/>
  <c r="AA29" i="5"/>
  <c r="AB29" i="5"/>
  <c r="AC29" i="5"/>
  <c r="AD29" i="5"/>
  <c r="AE29" i="5"/>
  <c r="AF29" i="5"/>
  <c r="AG29" i="5"/>
  <c r="K30" i="5"/>
  <c r="L30" i="5"/>
  <c r="M30" i="5"/>
  <c r="N30" i="5"/>
  <c r="O30" i="5"/>
  <c r="P30" i="5"/>
  <c r="Q30" i="5"/>
  <c r="R30" i="5"/>
  <c r="S30" i="5"/>
  <c r="T30" i="5"/>
  <c r="U30" i="5"/>
  <c r="V30" i="5"/>
  <c r="W30" i="5"/>
  <c r="X30" i="5"/>
  <c r="Y30" i="5"/>
  <c r="Z30" i="5"/>
  <c r="AA30" i="5"/>
  <c r="AB30" i="5"/>
  <c r="AC30" i="5"/>
  <c r="AD30" i="5"/>
  <c r="AE30" i="5"/>
  <c r="AF30" i="5"/>
  <c r="AG30" i="5"/>
  <c r="K31" i="5"/>
  <c r="L31" i="5"/>
  <c r="M31" i="5"/>
  <c r="N31" i="5"/>
  <c r="O31" i="5"/>
  <c r="P31" i="5"/>
  <c r="Q31" i="5"/>
  <c r="R31" i="5"/>
  <c r="S31" i="5"/>
  <c r="T31" i="5"/>
  <c r="U31" i="5"/>
  <c r="V31" i="5"/>
  <c r="W31" i="5"/>
  <c r="X31" i="5"/>
  <c r="Y31" i="5"/>
  <c r="Z31" i="5"/>
  <c r="AA31" i="5"/>
  <c r="AB31" i="5"/>
  <c r="AC31" i="5"/>
  <c r="AD31" i="5"/>
  <c r="AE31" i="5"/>
  <c r="AF31" i="5"/>
  <c r="AG31" i="5"/>
  <c r="K32" i="5"/>
  <c r="L32" i="5"/>
  <c r="M32" i="5"/>
  <c r="N32" i="5"/>
  <c r="O32" i="5"/>
  <c r="P32" i="5"/>
  <c r="Q32" i="5"/>
  <c r="R32" i="5"/>
  <c r="S32" i="5"/>
  <c r="T32" i="5"/>
  <c r="U32" i="5"/>
  <c r="V32" i="5"/>
  <c r="W32" i="5"/>
  <c r="X32" i="5"/>
  <c r="Y32" i="5"/>
  <c r="Z32" i="5"/>
  <c r="AA32" i="5"/>
  <c r="AB32" i="5"/>
  <c r="AC32" i="5"/>
  <c r="AD32" i="5"/>
  <c r="AE32" i="5"/>
  <c r="AF32" i="5"/>
  <c r="AG32" i="5"/>
  <c r="K33" i="5"/>
  <c r="L33" i="5"/>
  <c r="M33" i="5"/>
  <c r="N33" i="5"/>
  <c r="O33" i="5"/>
  <c r="P33" i="5"/>
  <c r="Q33" i="5"/>
  <c r="R33" i="5"/>
  <c r="S33" i="5"/>
  <c r="T33" i="5"/>
  <c r="U33" i="5"/>
  <c r="V33" i="5"/>
  <c r="W33" i="5"/>
  <c r="X33" i="5"/>
  <c r="Y33" i="5"/>
  <c r="Z33" i="5"/>
  <c r="AA33" i="5"/>
  <c r="AB33" i="5"/>
  <c r="AC33" i="5"/>
  <c r="AD33" i="5"/>
  <c r="AE33" i="5"/>
  <c r="AF33" i="5"/>
  <c r="AG33" i="5"/>
  <c r="K34" i="5"/>
  <c r="L34" i="5"/>
  <c r="M34" i="5"/>
  <c r="N34" i="5"/>
  <c r="O34" i="5"/>
  <c r="P34" i="5"/>
  <c r="Q34" i="5"/>
  <c r="R34" i="5"/>
  <c r="S34" i="5"/>
  <c r="T34" i="5"/>
  <c r="U34" i="5"/>
  <c r="V34" i="5"/>
  <c r="W34" i="5"/>
  <c r="X34" i="5"/>
  <c r="Y34" i="5"/>
  <c r="Z34" i="5"/>
  <c r="AA34" i="5"/>
  <c r="AB34" i="5"/>
  <c r="AC34" i="5"/>
  <c r="AD34" i="5"/>
  <c r="AE34" i="5"/>
  <c r="AF34" i="5"/>
  <c r="AG34" i="5"/>
  <c r="Q128" i="6" l="1"/>
  <c r="AP113" i="5"/>
  <c r="AO114" i="5"/>
  <c r="Q130" i="6" l="1"/>
  <c r="AO112" i="5"/>
  <c r="AO104" i="5" l="1"/>
  <c r="M35" i="5" l="1"/>
  <c r="N35" i="5"/>
  <c r="O35" i="5"/>
  <c r="P35" i="5"/>
  <c r="Q35" i="5"/>
  <c r="R35" i="5"/>
  <c r="S35" i="5"/>
  <c r="T35" i="5"/>
  <c r="U35" i="5"/>
  <c r="V35" i="5"/>
  <c r="W35" i="5"/>
  <c r="X35" i="5"/>
  <c r="Y35" i="5"/>
  <c r="Z35" i="5"/>
  <c r="AA35" i="5"/>
  <c r="AB35" i="5"/>
  <c r="AC35" i="5"/>
  <c r="AD35" i="5"/>
  <c r="AE35" i="5"/>
  <c r="AF35" i="5"/>
  <c r="M36" i="5"/>
  <c r="N36" i="5"/>
  <c r="O36" i="5"/>
  <c r="P36" i="5"/>
  <c r="Q36" i="5"/>
  <c r="R36" i="5"/>
  <c r="S36" i="5"/>
  <c r="T36" i="5"/>
  <c r="U36" i="5"/>
  <c r="V36" i="5"/>
  <c r="W36" i="5"/>
  <c r="X36" i="5"/>
  <c r="Y36" i="5"/>
  <c r="Z36" i="5"/>
  <c r="AA36" i="5"/>
  <c r="AB36" i="5"/>
  <c r="AC36" i="5"/>
  <c r="AD36" i="5"/>
  <c r="AE36" i="5"/>
  <c r="AF36" i="5"/>
  <c r="M37" i="5"/>
  <c r="N37" i="5"/>
  <c r="O37" i="5"/>
  <c r="P37" i="5"/>
  <c r="Q37" i="5"/>
  <c r="R37" i="5"/>
  <c r="S37" i="5"/>
  <c r="T37" i="5"/>
  <c r="U37" i="5"/>
  <c r="V37" i="5"/>
  <c r="W37" i="5"/>
  <c r="X37" i="5"/>
  <c r="Y37" i="5"/>
  <c r="Z37" i="5"/>
  <c r="AA37" i="5"/>
  <c r="AB37" i="5"/>
  <c r="AC37" i="5"/>
  <c r="AD37" i="5"/>
  <c r="AE37" i="5"/>
  <c r="AF37" i="5"/>
  <c r="T39" i="5"/>
  <c r="U39" i="5"/>
  <c r="V39" i="5"/>
  <c r="W39" i="5"/>
  <c r="X39" i="5"/>
  <c r="Y39" i="5"/>
  <c r="Z39" i="5"/>
  <c r="AA39" i="5"/>
  <c r="AB39" i="5"/>
  <c r="AC39" i="5"/>
  <c r="AD39" i="5"/>
  <c r="AE39" i="5"/>
  <c r="AF39" i="5"/>
  <c r="K35" i="5" l="1"/>
  <c r="L35" i="5"/>
  <c r="AG35" i="5"/>
  <c r="K36" i="5"/>
  <c r="L36" i="5"/>
  <c r="AG36" i="5"/>
  <c r="K37" i="5"/>
  <c r="L37" i="5"/>
  <c r="AG37" i="5"/>
  <c r="AP151" i="5" l="1"/>
  <c r="AO150" i="5"/>
  <c r="AN148" i="5"/>
  <c r="AO156" i="5"/>
  <c r="AO152" i="5"/>
  <c r="AO144" i="5" l="1"/>
  <c r="AO106" i="5"/>
  <c r="AO97" i="5"/>
  <c r="N3" i="1" l="1"/>
  <c r="Q48" i="6" s="1"/>
  <c r="M3" i="1" l="1"/>
  <c r="O3" i="1" s="1"/>
  <c r="P3" i="1"/>
  <c r="R3" i="1"/>
  <c r="T6" i="1" s="1"/>
  <c r="AO141" i="5" l="1"/>
  <c r="AT114" i="5" l="1"/>
  <c r="Q121" i="6" l="1"/>
  <c r="Q43" i="6"/>
  <c r="Q42" i="6"/>
  <c r="Q41" i="6"/>
  <c r="AK27" i="5" l="1"/>
  <c r="AL27" i="5"/>
  <c r="Q38" i="6"/>
  <c r="Q39" i="6"/>
  <c r="Q25" i="6"/>
  <c r="Q24" i="6"/>
  <c r="Q28" i="6" l="1"/>
  <c r="Q27" i="6"/>
  <c r="Q26" i="6"/>
  <c r="Q23" i="6"/>
  <c r="Q22" i="6"/>
  <c r="J7" i="3" l="1"/>
  <c r="Q182" i="6" l="1"/>
  <c r="Q181" i="6"/>
  <c r="Q180" i="6"/>
  <c r="Q179" i="6"/>
  <c r="Q177" i="6"/>
  <c r="Q176" i="6"/>
  <c r="Q175" i="6"/>
  <c r="Q174" i="6"/>
  <c r="Q172" i="6"/>
  <c r="Q171" i="6"/>
  <c r="Q170" i="6"/>
  <c r="Q169" i="6"/>
  <c r="Q167" i="6"/>
  <c r="Q166" i="6"/>
  <c r="Q165" i="6"/>
  <c r="Q164" i="6"/>
  <c r="Q162" i="6"/>
  <c r="Q161" i="6"/>
  <c r="Q160" i="6"/>
  <c r="Q159" i="6"/>
  <c r="Q156" i="6"/>
  <c r="Q150" i="6"/>
  <c r="Q56" i="6"/>
  <c r="Q120" i="6"/>
  <c r="Q69" i="6"/>
  <c r="Q58" i="6"/>
  <c r="Q40" i="6"/>
  <c r="Q36" i="6"/>
  <c r="S157" i="6"/>
  <c r="S129" i="6"/>
  <c r="S57" i="6"/>
  <c r="S37" i="6"/>
  <c r="S21" i="6"/>
  <c r="Q20" i="6"/>
  <c r="Q35" i="6"/>
  <c r="Q19" i="6"/>
  <c r="AT143" i="5"/>
  <c r="AO137" i="5"/>
  <c r="AN110" i="5"/>
  <c r="AT101" i="5"/>
  <c r="AO101" i="5"/>
  <c r="AO90" i="5"/>
  <c r="AT96" i="5"/>
  <c r="AO94" i="5"/>
  <c r="AO38" i="5"/>
  <c r="AN21" i="5"/>
  <c r="K101" i="3"/>
  <c r="K99" i="3"/>
  <c r="K97" i="3"/>
  <c r="K95" i="3"/>
  <c r="K93" i="3"/>
  <c r="K91" i="3"/>
  <c r="N46" i="3"/>
  <c r="M46" i="3"/>
  <c r="L46" i="3"/>
  <c r="K22" i="3"/>
  <c r="K46" i="3"/>
  <c r="K44" i="3"/>
  <c r="K42" i="3" l="1"/>
  <c r="K38" i="3"/>
  <c r="K36" i="3"/>
  <c r="K34" i="3"/>
  <c r="K29" i="3"/>
  <c r="K27" i="3"/>
  <c r="K20" i="3"/>
  <c r="K18" i="3"/>
  <c r="K16" i="3"/>
  <c r="Q10" i="3"/>
  <c r="K14" i="3"/>
  <c r="Q9" i="3"/>
  <c r="R8" i="3"/>
  <c r="Q8" i="3"/>
  <c r="J9" i="3"/>
  <c r="J8" i="3"/>
  <c r="Q178" i="6" l="1"/>
  <c r="R7" i="1"/>
  <c r="R6" i="1"/>
  <c r="R5" i="1"/>
  <c r="R4" i="1"/>
  <c r="T7" i="1" s="1"/>
  <c r="Q7" i="1"/>
  <c r="Q6" i="1"/>
  <c r="Q5" i="1"/>
  <c r="U5" i="1"/>
  <c r="P4" i="1"/>
  <c r="C51" i="5" l="1"/>
  <c r="C58" i="5"/>
  <c r="C56" i="5"/>
  <c r="C55" i="5"/>
  <c r="C43" i="5"/>
  <c r="C50" i="5"/>
  <c r="C52" i="5"/>
  <c r="C53" i="5"/>
  <c r="C54" i="5"/>
  <c r="C57" i="5"/>
  <c r="C59" i="5"/>
  <c r="C60" i="5"/>
  <c r="C61" i="5"/>
  <c r="C62" i="5"/>
  <c r="C41" i="5"/>
  <c r="C47" i="5"/>
  <c r="C48" i="5"/>
  <c r="C45" i="5"/>
  <c r="C42" i="5"/>
  <c r="C31" i="5"/>
  <c r="C40" i="5"/>
  <c r="C44" i="5"/>
  <c r="C46" i="5"/>
  <c r="C49" i="5"/>
  <c r="C29" i="5"/>
  <c r="C30" i="5"/>
  <c r="C33" i="5"/>
  <c r="C36" i="5"/>
  <c r="C35" i="5"/>
  <c r="T8" i="1"/>
  <c r="T9" i="1"/>
  <c r="T10" i="1"/>
  <c r="Q168" i="6"/>
  <c r="C28" i="5"/>
  <c r="C32" i="5"/>
  <c r="C37" i="5"/>
  <c r="C34" i="5"/>
  <c r="Q173" i="6"/>
  <c r="Q163" i="6"/>
  <c r="C39" i="5"/>
  <c r="Q157" i="6"/>
  <c r="Q57" i="6"/>
  <c r="Q129" i="6"/>
  <c r="Q21" i="6"/>
  <c r="Q37" i="6"/>
  <c r="S6" i="1" l="1"/>
  <c r="S8" i="1" l="1"/>
  <c r="S7" i="1"/>
  <c r="E180" i="6"/>
  <c r="C179" i="6"/>
  <c r="C174" i="6"/>
  <c r="C169" i="6"/>
  <c r="E175" i="6"/>
  <c r="E170" i="6"/>
  <c r="E165" i="6"/>
  <c r="S5" i="1" l="1"/>
  <c r="T5" i="1" s="1"/>
  <c r="C159" i="6"/>
  <c r="E161" i="6" s="1"/>
  <c r="C164" i="6"/>
  <c r="S4" i="1" l="1"/>
  <c r="AW22" i="5" l="1"/>
  <c r="AX22" i="5"/>
  <c r="BF22" i="5"/>
  <c r="BN22" i="5"/>
  <c r="BV22" i="5"/>
  <c r="AY22" i="5"/>
  <c r="BG22" i="5"/>
  <c r="BO22" i="5"/>
  <c r="BW22" i="5"/>
  <c r="AZ22" i="5"/>
  <c r="BH22" i="5"/>
  <c r="BP22" i="5"/>
  <c r="BX22" i="5"/>
  <c r="BS22" i="5"/>
  <c r="BA22" i="5"/>
  <c r="BI22" i="5"/>
  <c r="BQ22" i="5"/>
  <c r="BY22" i="5"/>
  <c r="BK22" i="5"/>
  <c r="BB22" i="5"/>
  <c r="BJ22" i="5"/>
  <c r="BR22" i="5"/>
  <c r="BC22" i="5"/>
  <c r="BE22" i="5"/>
  <c r="BL22" i="5"/>
  <c r="BT22" i="5"/>
  <c r="BM22" i="5"/>
  <c r="BU22" i="5"/>
  <c r="AV22" i="5"/>
  <c r="BD22" i="5"/>
  <c r="AU22" i="5"/>
  <c r="T4" i="1"/>
  <c r="S3" i="1"/>
  <c r="Q158" i="6"/>
  <c r="BE38" i="5" l="1"/>
  <c r="BE27" i="5"/>
  <c r="BE95" i="5"/>
  <c r="BE96" i="5" s="1"/>
  <c r="BE104" i="5" s="1"/>
  <c r="BE25" i="5"/>
  <c r="AD57" i="6" s="1"/>
  <c r="BI25" i="5"/>
  <c r="AH57" i="6" s="1"/>
  <c r="BI38" i="5"/>
  <c r="BI27" i="5"/>
  <c r="BI95" i="5"/>
  <c r="BI96" i="5" s="1"/>
  <c r="BO27" i="5"/>
  <c r="BO38" i="5"/>
  <c r="BO96" i="5"/>
  <c r="BO95" i="5"/>
  <c r="BO25" i="5"/>
  <c r="AN57" i="6" s="1"/>
  <c r="BO106" i="5"/>
  <c r="BO97" i="5"/>
  <c r="BO90" i="5"/>
  <c r="BO104" i="5"/>
  <c r="AV111" i="5"/>
  <c r="BD111" i="5"/>
  <c r="BL111" i="5"/>
  <c r="BT111" i="5"/>
  <c r="BB149" i="5"/>
  <c r="BB152" i="5" s="1"/>
  <c r="BJ149" i="5"/>
  <c r="BJ152" i="5" s="1"/>
  <c r="BR149" i="5"/>
  <c r="BR152" i="5" s="1"/>
  <c r="AX111" i="5"/>
  <c r="BF111" i="5"/>
  <c r="BN111" i="5"/>
  <c r="BV111" i="5"/>
  <c r="AV149" i="5"/>
  <c r="AV152" i="5" s="1"/>
  <c r="BD149" i="5"/>
  <c r="BD152" i="5" s="1"/>
  <c r="BL149" i="5"/>
  <c r="BL152" i="5" s="1"/>
  <c r="BT149" i="5"/>
  <c r="BT152" i="5" s="1"/>
  <c r="AY111" i="5"/>
  <c r="BG111" i="5"/>
  <c r="BO111" i="5"/>
  <c r="BW111" i="5"/>
  <c r="AW149" i="5"/>
  <c r="AW152" i="5" s="1"/>
  <c r="BE149" i="5"/>
  <c r="BE152" i="5" s="1"/>
  <c r="BM149" i="5"/>
  <c r="BM152" i="5" s="1"/>
  <c r="BU149" i="5"/>
  <c r="BU152" i="5" s="1"/>
  <c r="AZ111" i="5"/>
  <c r="BH111" i="5"/>
  <c r="BP111" i="5"/>
  <c r="BX111" i="5"/>
  <c r="AX149" i="5"/>
  <c r="AX152" i="5" s="1"/>
  <c r="BF149" i="5"/>
  <c r="BF152" i="5" s="1"/>
  <c r="BN149" i="5"/>
  <c r="BN152" i="5" s="1"/>
  <c r="BV149" i="5"/>
  <c r="BV152" i="5" s="1"/>
  <c r="BK111" i="5"/>
  <c r="BK149" i="5"/>
  <c r="BK152" i="5" s="1"/>
  <c r="AW111" i="5"/>
  <c r="BM111" i="5"/>
  <c r="AY149" i="5"/>
  <c r="AY152" i="5" s="1"/>
  <c r="BO149" i="5"/>
  <c r="BO152" i="5" s="1"/>
  <c r="BB111" i="5"/>
  <c r="BQ149" i="5"/>
  <c r="BQ152" i="5" s="1"/>
  <c r="BH149" i="5"/>
  <c r="BH152" i="5" s="1"/>
  <c r="BA111" i="5"/>
  <c r="BQ111" i="5"/>
  <c r="AZ149" i="5"/>
  <c r="AZ152" i="5" s="1"/>
  <c r="BP149" i="5"/>
  <c r="BP152" i="5" s="1"/>
  <c r="BR111" i="5"/>
  <c r="BA149" i="5"/>
  <c r="BA152" i="5" s="1"/>
  <c r="BX149" i="5"/>
  <c r="BX152" i="5" s="1"/>
  <c r="BC111" i="5"/>
  <c r="BS111" i="5"/>
  <c r="BC149" i="5"/>
  <c r="BC152" i="5" s="1"/>
  <c r="BS149" i="5"/>
  <c r="BS152" i="5" s="1"/>
  <c r="BE111" i="5"/>
  <c r="BU111" i="5"/>
  <c r="BG149" i="5"/>
  <c r="BG152" i="5" s="1"/>
  <c r="BW149" i="5"/>
  <c r="BW152" i="5" s="1"/>
  <c r="BI111" i="5"/>
  <c r="BY111" i="5"/>
  <c r="BY149" i="5"/>
  <c r="BY152" i="5" s="1"/>
  <c r="BJ111" i="5"/>
  <c r="BI149" i="5"/>
  <c r="BI152" i="5" s="1"/>
  <c r="BA25" i="5"/>
  <c r="Z57" i="6" s="1"/>
  <c r="BA38" i="5"/>
  <c r="BA95" i="5"/>
  <c r="BA96" i="5" s="1"/>
  <c r="BA104" i="5" s="1"/>
  <c r="BA27" i="5"/>
  <c r="BG38" i="5"/>
  <c r="BG95" i="5"/>
  <c r="BG96" i="5" s="1"/>
  <c r="BG27" i="5"/>
  <c r="BG25" i="5"/>
  <c r="AF57" i="6" s="1"/>
  <c r="BR27" i="5"/>
  <c r="BR95" i="5"/>
  <c r="BR106" i="5"/>
  <c r="BR25" i="5"/>
  <c r="AQ57" i="6" s="1"/>
  <c r="BR104" i="5"/>
  <c r="BR90" i="5"/>
  <c r="BR97" i="5"/>
  <c r="BR96" i="5"/>
  <c r="BR38" i="5"/>
  <c r="BS27" i="5"/>
  <c r="BS90" i="5"/>
  <c r="BS25" i="5"/>
  <c r="AR57" i="6" s="1"/>
  <c r="BS104" i="5"/>
  <c r="BS97" i="5"/>
  <c r="BS38" i="5"/>
  <c r="BS96" i="5"/>
  <c r="BS106" i="5"/>
  <c r="BS95" i="5"/>
  <c r="AY95" i="5"/>
  <c r="AY96" i="5" s="1"/>
  <c r="AY104" i="5" s="1"/>
  <c r="AY38" i="5"/>
  <c r="AY27" i="5"/>
  <c r="AY25" i="5"/>
  <c r="X57" i="6" s="1"/>
  <c r="BJ27" i="5"/>
  <c r="BJ95" i="5"/>
  <c r="BJ96" i="5" s="1"/>
  <c r="S39" i="5" s="1"/>
  <c r="BJ25" i="5"/>
  <c r="AI57" i="6" s="1"/>
  <c r="BJ38" i="5"/>
  <c r="BX25" i="5"/>
  <c r="AW57" i="6" s="1"/>
  <c r="BX104" i="5"/>
  <c r="BX90" i="5"/>
  <c r="BX97" i="5"/>
  <c r="BX38" i="5"/>
  <c r="BX96" i="5"/>
  <c r="BX95" i="5"/>
  <c r="BX27" i="5"/>
  <c r="BX106" i="5"/>
  <c r="BV90" i="5"/>
  <c r="BV97" i="5"/>
  <c r="BV38" i="5"/>
  <c r="BV96" i="5"/>
  <c r="BV27" i="5"/>
  <c r="BV95" i="5"/>
  <c r="BV106" i="5"/>
  <c r="BV104" i="5"/>
  <c r="BV25" i="5"/>
  <c r="AU57" i="6" s="1"/>
  <c r="BU27" i="5"/>
  <c r="BU95" i="5"/>
  <c r="BU106" i="5"/>
  <c r="BU25" i="5"/>
  <c r="AT57" i="6" s="1"/>
  <c r="BU104" i="5"/>
  <c r="BU96" i="5"/>
  <c r="BU90" i="5"/>
  <c r="BU38" i="5"/>
  <c r="BU97" i="5"/>
  <c r="BB27" i="5"/>
  <c r="BB95" i="5"/>
  <c r="BB96" i="5" s="1"/>
  <c r="BB104" i="5" s="1"/>
  <c r="BB25" i="5"/>
  <c r="AA57" i="6" s="1"/>
  <c r="BB38" i="5"/>
  <c r="BP25" i="5"/>
  <c r="AO57" i="6" s="1"/>
  <c r="BP104" i="5"/>
  <c r="BP90" i="5"/>
  <c r="BP97" i="5"/>
  <c r="BP38" i="5"/>
  <c r="BP96" i="5"/>
  <c r="BP27" i="5"/>
  <c r="BP106" i="5"/>
  <c r="BP95" i="5"/>
  <c r="BN90" i="5"/>
  <c r="BN97" i="5"/>
  <c r="BN38" i="5"/>
  <c r="BN96" i="5"/>
  <c r="BN27" i="5"/>
  <c r="BN95" i="5"/>
  <c r="BN106" i="5"/>
  <c r="BN25" i="5"/>
  <c r="AM57" i="6" s="1"/>
  <c r="BN104" i="5"/>
  <c r="AV38" i="5"/>
  <c r="AV27" i="5"/>
  <c r="AV95" i="5"/>
  <c r="AV96" i="5" s="1"/>
  <c r="AV104" i="5" s="1"/>
  <c r="AV25" i="5"/>
  <c r="U57" i="6" s="1"/>
  <c r="BK27" i="5"/>
  <c r="BK25" i="5"/>
  <c r="AJ57" i="6" s="1"/>
  <c r="BK38" i="5"/>
  <c r="BK90" i="5" s="1"/>
  <c r="BK97" i="5" s="1"/>
  <c r="BK106" i="5" s="1"/>
  <c r="BK95" i="5"/>
  <c r="BK96" i="5" s="1"/>
  <c r="BK104" i="5" s="1"/>
  <c r="BH25" i="5"/>
  <c r="AG57" i="6" s="1"/>
  <c r="BH38" i="5"/>
  <c r="BH95" i="5"/>
  <c r="BH96" i="5" s="1"/>
  <c r="BH27" i="5"/>
  <c r="BF38" i="5"/>
  <c r="BF27" i="5"/>
  <c r="BF95" i="5"/>
  <c r="BF96" i="5" s="1"/>
  <c r="BF104" i="5" s="1"/>
  <c r="BF25" i="5"/>
  <c r="AE57" i="6" s="1"/>
  <c r="BC27" i="5"/>
  <c r="BC25" i="5"/>
  <c r="AB57" i="6" s="1"/>
  <c r="BC95" i="5"/>
  <c r="BC96" i="5" s="1"/>
  <c r="BC104" i="5" s="1"/>
  <c r="BC38" i="5"/>
  <c r="BT38" i="5"/>
  <c r="BT96" i="5"/>
  <c r="BT27" i="5"/>
  <c r="BT95" i="5"/>
  <c r="BT106" i="5"/>
  <c r="BT25" i="5"/>
  <c r="AS57" i="6" s="1"/>
  <c r="BT104" i="5"/>
  <c r="BT97" i="5"/>
  <c r="BT90" i="5"/>
  <c r="BY25" i="5"/>
  <c r="BY90" i="5"/>
  <c r="BY97" i="5"/>
  <c r="BY38" i="5"/>
  <c r="BY96" i="5"/>
  <c r="BY106" i="5"/>
  <c r="BY95" i="5"/>
  <c r="BY104" i="5"/>
  <c r="BY27" i="5"/>
  <c r="AZ25" i="5"/>
  <c r="Y57" i="6" s="1"/>
  <c r="AZ38" i="5"/>
  <c r="AZ27" i="5"/>
  <c r="AZ95" i="5"/>
  <c r="AZ96" i="5" s="1"/>
  <c r="AZ104" i="5" s="1"/>
  <c r="AX38" i="5"/>
  <c r="AX27" i="5"/>
  <c r="AX95" i="5"/>
  <c r="AX96" i="5" s="1"/>
  <c r="AX104" i="5" s="1"/>
  <c r="AX25" i="5"/>
  <c r="W57" i="6" s="1"/>
  <c r="BD38" i="5"/>
  <c r="BD27" i="5"/>
  <c r="BD95" i="5"/>
  <c r="BD96" i="5" s="1"/>
  <c r="BD104" i="5" s="1"/>
  <c r="BD25" i="5"/>
  <c r="AC57" i="6" s="1"/>
  <c r="BM27" i="5"/>
  <c r="BM95" i="5"/>
  <c r="BM106" i="5"/>
  <c r="BM104" i="5"/>
  <c r="BM25" i="5"/>
  <c r="AL57" i="6" s="1"/>
  <c r="BM96" i="5"/>
  <c r="BM38" i="5"/>
  <c r="BM97" i="5"/>
  <c r="BM90" i="5"/>
  <c r="BL38" i="5"/>
  <c r="BL90" i="5" s="1"/>
  <c r="BL97" i="5" s="1"/>
  <c r="BL106" i="5" s="1"/>
  <c r="BL96" i="5"/>
  <c r="BL104" i="5" s="1"/>
  <c r="BL27" i="5"/>
  <c r="BL95" i="5"/>
  <c r="BL25" i="5"/>
  <c r="AK57" i="6" s="1"/>
  <c r="BQ25" i="5"/>
  <c r="AP57" i="6" s="1"/>
  <c r="BQ38" i="5"/>
  <c r="BQ96" i="5"/>
  <c r="BQ90" i="5"/>
  <c r="BQ97" i="5"/>
  <c r="BQ104" i="5"/>
  <c r="BQ27" i="5"/>
  <c r="BQ106" i="5"/>
  <c r="BQ95" i="5"/>
  <c r="BW95" i="5"/>
  <c r="BW38" i="5"/>
  <c r="BW96" i="5"/>
  <c r="BW27" i="5"/>
  <c r="BW90" i="5"/>
  <c r="BW104" i="5"/>
  <c r="BW25" i="5"/>
  <c r="AV57" i="6" s="1"/>
  <c r="BW106" i="5"/>
  <c r="BW97" i="5"/>
  <c r="AW38" i="5"/>
  <c r="AW27" i="5"/>
  <c r="AW95" i="5"/>
  <c r="AW96" i="5" s="1"/>
  <c r="AW104" i="5" s="1"/>
  <c r="AW25" i="5"/>
  <c r="V57" i="6" s="1"/>
  <c r="AU149" i="5"/>
  <c r="AU152" i="5" s="1"/>
  <c r="AU111" i="5"/>
  <c r="T3" i="1"/>
  <c r="AJ61" i="6" l="1"/>
  <c r="AJ66" i="6"/>
  <c r="AJ65" i="6"/>
  <c r="AJ62" i="6"/>
  <c r="AJ59" i="6"/>
  <c r="AJ64" i="6"/>
  <c r="AJ68" i="6"/>
  <c r="AJ67" i="6"/>
  <c r="AJ60" i="6"/>
  <c r="AJ63" i="6"/>
  <c r="AM62" i="6"/>
  <c r="AM59" i="6"/>
  <c r="AM67" i="6"/>
  <c r="AM66" i="6"/>
  <c r="AM60" i="6"/>
  <c r="AM63" i="6"/>
  <c r="AM68" i="6"/>
  <c r="AM61" i="6"/>
  <c r="AM65" i="6"/>
  <c r="AM64" i="6"/>
  <c r="AO60" i="6"/>
  <c r="AO68" i="6"/>
  <c r="AO65" i="6"/>
  <c r="AO64" i="6"/>
  <c r="AO61" i="6"/>
  <c r="AO63" i="6"/>
  <c r="AO66" i="6"/>
  <c r="AO67" i="6"/>
  <c r="AO62" i="6"/>
  <c r="AO59" i="6"/>
  <c r="AP63" i="6"/>
  <c r="AP60" i="6"/>
  <c r="AP68" i="6"/>
  <c r="AP59" i="6"/>
  <c r="AP67" i="6"/>
  <c r="AP64" i="6"/>
  <c r="AP61" i="6"/>
  <c r="AP62" i="6"/>
  <c r="AP66" i="6"/>
  <c r="AP65" i="6"/>
  <c r="AV65" i="6"/>
  <c r="AV62" i="6"/>
  <c r="AV59" i="6"/>
  <c r="AV61" i="6"/>
  <c r="AV66" i="6"/>
  <c r="AV63" i="6"/>
  <c r="AV68" i="6"/>
  <c r="AV64" i="6"/>
  <c r="AV60" i="6"/>
  <c r="AV67" i="6"/>
  <c r="AG60" i="6"/>
  <c r="AG68" i="6"/>
  <c r="AG65" i="6"/>
  <c r="AG62" i="6"/>
  <c r="AG64" i="6"/>
  <c r="AG61" i="6"/>
  <c r="AG63" i="6"/>
  <c r="AG67" i="6"/>
  <c r="AG59" i="6"/>
  <c r="AG66" i="6"/>
  <c r="AI66" i="6"/>
  <c r="AI63" i="6"/>
  <c r="AI60" i="6"/>
  <c r="AI62" i="6"/>
  <c r="AI59" i="6"/>
  <c r="AI67" i="6"/>
  <c r="AI61" i="6"/>
  <c r="AI64" i="6"/>
  <c r="AI65" i="6"/>
  <c r="AI68" i="6"/>
  <c r="Z63" i="6"/>
  <c r="Z60" i="6"/>
  <c r="Z68" i="6"/>
  <c r="Z59" i="6"/>
  <c r="Z67" i="6"/>
  <c r="Z64" i="6"/>
  <c r="Z61" i="6"/>
  <c r="Z66" i="6"/>
  <c r="Z62" i="6"/>
  <c r="Z65" i="6"/>
  <c r="AK64" i="6"/>
  <c r="AK61" i="6"/>
  <c r="AK60" i="6"/>
  <c r="AK68" i="6"/>
  <c r="AK65" i="6"/>
  <c r="AK62" i="6"/>
  <c r="AK67" i="6"/>
  <c r="AK66" i="6"/>
  <c r="AK59" i="6"/>
  <c r="AK63" i="6"/>
  <c r="AE62" i="6"/>
  <c r="AE59" i="6"/>
  <c r="AE67" i="6"/>
  <c r="AE66" i="6"/>
  <c r="AE63" i="6"/>
  <c r="AE60" i="6"/>
  <c r="AE61" i="6"/>
  <c r="AE65" i="6"/>
  <c r="AE64" i="6"/>
  <c r="AE68" i="6"/>
  <c r="AA66" i="6"/>
  <c r="AA63" i="6"/>
  <c r="AA60" i="6"/>
  <c r="AA62" i="6"/>
  <c r="AA59" i="6"/>
  <c r="AA67" i="6"/>
  <c r="AA61" i="6"/>
  <c r="AA68" i="6"/>
  <c r="AA65" i="6"/>
  <c r="AA64" i="6"/>
  <c r="AT59" i="6"/>
  <c r="AT67" i="6"/>
  <c r="AT64" i="6"/>
  <c r="AT61" i="6"/>
  <c r="AT63" i="6"/>
  <c r="AT60" i="6"/>
  <c r="AT68" i="6"/>
  <c r="AT66" i="6"/>
  <c r="AT65" i="6"/>
  <c r="AT62" i="6"/>
  <c r="AF65" i="6"/>
  <c r="AF62" i="6"/>
  <c r="AF59" i="6"/>
  <c r="AF61" i="6"/>
  <c r="AF66" i="6"/>
  <c r="AF63" i="6"/>
  <c r="AF60" i="6"/>
  <c r="AF64" i="6"/>
  <c r="AF68" i="6"/>
  <c r="AF67" i="6"/>
  <c r="AN65" i="6"/>
  <c r="AN62" i="6"/>
  <c r="AN59" i="6"/>
  <c r="AN61" i="6"/>
  <c r="AN66" i="6"/>
  <c r="AN68" i="6"/>
  <c r="AN60" i="6"/>
  <c r="AN67" i="6"/>
  <c r="AN63" i="6"/>
  <c r="AN64" i="6"/>
  <c r="AH63" i="6"/>
  <c r="AH60" i="6"/>
  <c r="AH68" i="6"/>
  <c r="AH59" i="6"/>
  <c r="AH67" i="6"/>
  <c r="AH64" i="6"/>
  <c r="AH61" i="6"/>
  <c r="AH62" i="6"/>
  <c r="AH66" i="6"/>
  <c r="AH65" i="6"/>
  <c r="AL59" i="6"/>
  <c r="AL67" i="6"/>
  <c r="AL64" i="6"/>
  <c r="AL61" i="6"/>
  <c r="AL63" i="6"/>
  <c r="AL60" i="6"/>
  <c r="AL68" i="6"/>
  <c r="AL62" i="6"/>
  <c r="AL65" i="6"/>
  <c r="AL66" i="6"/>
  <c r="AD59" i="6"/>
  <c r="AD67" i="6"/>
  <c r="AD64" i="6"/>
  <c r="AD61" i="6"/>
  <c r="AD63" i="6"/>
  <c r="AD60" i="6"/>
  <c r="AD68" i="6"/>
  <c r="AD65" i="6"/>
  <c r="AD66" i="6"/>
  <c r="AD62" i="6"/>
  <c r="AW60" i="6"/>
  <c r="AW68" i="6"/>
  <c r="AW65" i="6"/>
  <c r="AW64" i="6"/>
  <c r="AW61" i="6"/>
  <c r="AW63" i="6"/>
  <c r="AW66" i="6"/>
  <c r="AW62" i="6"/>
  <c r="AW59" i="6"/>
  <c r="AW67" i="6"/>
  <c r="V59" i="6"/>
  <c r="V67" i="6"/>
  <c r="V64" i="6"/>
  <c r="V61" i="6"/>
  <c r="V63" i="6"/>
  <c r="V60" i="6"/>
  <c r="V68" i="6"/>
  <c r="V65" i="6"/>
  <c r="V66" i="6"/>
  <c r="V62" i="6"/>
  <c r="AC64" i="6"/>
  <c r="AC61" i="6"/>
  <c r="AC60" i="6"/>
  <c r="AC68" i="6"/>
  <c r="AC65" i="6"/>
  <c r="AC62" i="6"/>
  <c r="AC67" i="6"/>
  <c r="AC59" i="6"/>
  <c r="AC63" i="6"/>
  <c r="AC66" i="6"/>
  <c r="AS64" i="6"/>
  <c r="AS61" i="6"/>
  <c r="AS60" i="6"/>
  <c r="AS68" i="6"/>
  <c r="AS65" i="6"/>
  <c r="AS62" i="6"/>
  <c r="AS67" i="6"/>
  <c r="AS63" i="6"/>
  <c r="AS59" i="6"/>
  <c r="AS66" i="6"/>
  <c r="AB61" i="6"/>
  <c r="AB66" i="6"/>
  <c r="AB65" i="6"/>
  <c r="AB62" i="6"/>
  <c r="AB59" i="6"/>
  <c r="AB60" i="6"/>
  <c r="AB64" i="6"/>
  <c r="AB68" i="6"/>
  <c r="AB63" i="6"/>
  <c r="AB67" i="6"/>
  <c r="Y60" i="6"/>
  <c r="Y68" i="6"/>
  <c r="Y65" i="6"/>
  <c r="Y62" i="6"/>
  <c r="Y64" i="6"/>
  <c r="Y61" i="6"/>
  <c r="Y59" i="6"/>
  <c r="Y63" i="6"/>
  <c r="Y66" i="6"/>
  <c r="Y67" i="6"/>
  <c r="U64" i="6"/>
  <c r="U61" i="6"/>
  <c r="U60" i="6"/>
  <c r="U68" i="6"/>
  <c r="U65" i="6"/>
  <c r="U62" i="6"/>
  <c r="U59" i="6"/>
  <c r="U67" i="6"/>
  <c r="U63" i="6"/>
  <c r="U66" i="6"/>
  <c r="W62" i="6"/>
  <c r="W59" i="6"/>
  <c r="W67" i="6"/>
  <c r="W66" i="6"/>
  <c r="W63" i="6"/>
  <c r="W60" i="6"/>
  <c r="W65" i="6"/>
  <c r="W61" i="6"/>
  <c r="W68" i="6"/>
  <c r="W64" i="6"/>
  <c r="X65" i="6"/>
  <c r="X62" i="6"/>
  <c r="X59" i="6"/>
  <c r="X61" i="6"/>
  <c r="X66" i="6"/>
  <c r="X68" i="6"/>
  <c r="X64" i="6"/>
  <c r="X63" i="6"/>
  <c r="X67" i="6"/>
  <c r="X60" i="6"/>
  <c r="AU62" i="6"/>
  <c r="AU59" i="6"/>
  <c r="AU67" i="6"/>
  <c r="AU66" i="6"/>
  <c r="AU63" i="6"/>
  <c r="AU60" i="6"/>
  <c r="AU65" i="6"/>
  <c r="AU68" i="6"/>
  <c r="AU64" i="6"/>
  <c r="AU61" i="6"/>
  <c r="AR61" i="6"/>
  <c r="AR66" i="6"/>
  <c r="AR65" i="6"/>
  <c r="AR62" i="6"/>
  <c r="AR59" i="6"/>
  <c r="AR64" i="6"/>
  <c r="AR67" i="6"/>
  <c r="AR63" i="6"/>
  <c r="AR68" i="6"/>
  <c r="AR60" i="6"/>
  <c r="AQ66" i="6"/>
  <c r="AQ63" i="6"/>
  <c r="AQ60" i="6"/>
  <c r="AQ62" i="6"/>
  <c r="AQ59" i="6"/>
  <c r="AQ67" i="6"/>
  <c r="AQ65" i="6"/>
  <c r="AQ68" i="6"/>
  <c r="AQ64" i="6"/>
  <c r="AQ61" i="6"/>
  <c r="AU58" i="6"/>
  <c r="AR58" i="6"/>
  <c r="AQ58" i="6"/>
  <c r="AS58" i="6"/>
  <c r="AJ58" i="6"/>
  <c r="AM58" i="6"/>
  <c r="AO58" i="6"/>
  <c r="AV58" i="6"/>
  <c r="AK58" i="6"/>
  <c r="AT58" i="6"/>
  <c r="AL58" i="6"/>
  <c r="AN58" i="6"/>
  <c r="AP58" i="6"/>
  <c r="AW58" i="6"/>
  <c r="V120" i="6"/>
  <c r="BD90" i="5"/>
  <c r="AV73" i="6"/>
  <c r="AV74" i="6"/>
  <c r="AV78" i="6"/>
  <c r="AV82" i="6"/>
  <c r="AV89" i="6"/>
  <c r="AV91" i="6"/>
  <c r="AV71" i="6"/>
  <c r="AV96" i="6"/>
  <c r="AV85" i="6"/>
  <c r="AV87" i="6"/>
  <c r="AV94" i="6"/>
  <c r="AV97" i="6"/>
  <c r="AV101" i="6"/>
  <c r="AV105" i="6"/>
  <c r="AV72" i="6"/>
  <c r="AV92" i="6"/>
  <c r="AV83" i="6"/>
  <c r="AV90" i="6"/>
  <c r="AV79" i="6"/>
  <c r="AV80" i="6"/>
  <c r="AV81" i="6"/>
  <c r="AV86" i="6"/>
  <c r="AV76" i="6"/>
  <c r="AV107" i="6"/>
  <c r="AV111" i="6"/>
  <c r="AV115" i="6"/>
  <c r="AV119" i="6"/>
  <c r="AV103" i="6"/>
  <c r="AV98" i="6"/>
  <c r="AV108" i="6"/>
  <c r="AV112" i="6"/>
  <c r="AV116" i="6"/>
  <c r="AV84" i="6"/>
  <c r="AV99" i="6"/>
  <c r="AV75" i="6"/>
  <c r="AV77" i="6"/>
  <c r="AV109" i="6"/>
  <c r="AV113" i="6"/>
  <c r="AV117" i="6"/>
  <c r="AV88" i="6"/>
  <c r="AV95" i="6"/>
  <c r="AV106" i="6"/>
  <c r="AV110" i="6"/>
  <c r="AV114" i="6"/>
  <c r="AV118" i="6"/>
  <c r="AV93" i="6"/>
  <c r="AV102" i="6"/>
  <c r="AV104" i="6"/>
  <c r="AV100" i="6"/>
  <c r="AG71" i="6"/>
  <c r="AG75" i="6"/>
  <c r="AG79" i="6"/>
  <c r="AG83" i="6"/>
  <c r="AG87" i="6"/>
  <c r="AG91" i="6"/>
  <c r="AG95" i="6"/>
  <c r="AG72" i="6"/>
  <c r="AG76" i="6"/>
  <c r="AG80" i="6"/>
  <c r="AG84" i="6"/>
  <c r="AG88" i="6"/>
  <c r="AG92" i="6"/>
  <c r="AG96" i="6"/>
  <c r="AG73" i="6"/>
  <c r="AG74" i="6"/>
  <c r="AG90" i="6"/>
  <c r="AG100" i="6"/>
  <c r="AG104" i="6"/>
  <c r="AG86" i="6"/>
  <c r="AG93" i="6"/>
  <c r="AG97" i="6"/>
  <c r="AG77" i="6"/>
  <c r="AG78" i="6"/>
  <c r="AG89" i="6"/>
  <c r="AG98" i="6"/>
  <c r="AG106" i="6"/>
  <c r="AG107" i="6"/>
  <c r="AG111" i="6"/>
  <c r="AG115" i="6"/>
  <c r="AG119" i="6"/>
  <c r="AG81" i="6"/>
  <c r="AG99" i="6"/>
  <c r="AG102" i="6"/>
  <c r="AG85" i="6"/>
  <c r="AG94" i="6"/>
  <c r="AG108" i="6"/>
  <c r="AG112" i="6"/>
  <c r="AG116" i="6"/>
  <c r="AG105" i="6"/>
  <c r="AG82" i="6"/>
  <c r="AG101" i="6"/>
  <c r="AG103" i="6"/>
  <c r="AG110" i="6"/>
  <c r="AG109" i="6"/>
  <c r="AG114" i="6"/>
  <c r="AG113" i="6"/>
  <c r="AG118" i="6"/>
  <c r="AG117" i="6"/>
  <c r="AE72" i="6"/>
  <c r="AE76" i="6"/>
  <c r="AE80" i="6"/>
  <c r="AE84" i="6"/>
  <c r="AE88" i="6"/>
  <c r="AE92" i="6"/>
  <c r="AE96" i="6"/>
  <c r="AE73" i="6"/>
  <c r="AE77" i="6"/>
  <c r="AE81" i="6"/>
  <c r="AE85" i="6"/>
  <c r="AE89" i="6"/>
  <c r="AE93" i="6"/>
  <c r="AE74" i="6"/>
  <c r="AE86" i="6"/>
  <c r="AE95" i="6"/>
  <c r="AE97" i="6"/>
  <c r="AE101" i="6"/>
  <c r="AE105" i="6"/>
  <c r="AE71" i="6"/>
  <c r="AE75" i="6"/>
  <c r="AE78" i="6"/>
  <c r="AE79" i="6"/>
  <c r="AE91" i="6"/>
  <c r="AE82" i="6"/>
  <c r="AE99" i="6"/>
  <c r="AE102" i="6"/>
  <c r="AE104" i="6"/>
  <c r="AE94" i="6"/>
  <c r="AE108" i="6"/>
  <c r="AE112" i="6"/>
  <c r="AE116" i="6"/>
  <c r="AE100" i="6"/>
  <c r="AE90" i="6"/>
  <c r="AE83" i="6"/>
  <c r="AE109" i="6"/>
  <c r="AE113" i="6"/>
  <c r="AE117" i="6"/>
  <c r="AE103" i="6"/>
  <c r="AE87" i="6"/>
  <c r="AE115" i="6"/>
  <c r="AE114" i="6"/>
  <c r="AE119" i="6"/>
  <c r="AE107" i="6"/>
  <c r="AE118" i="6"/>
  <c r="AE98" i="6"/>
  <c r="AE110" i="6"/>
  <c r="AE106" i="6"/>
  <c r="AE111" i="6"/>
  <c r="AA74" i="6"/>
  <c r="AA78" i="6"/>
  <c r="AA82" i="6"/>
  <c r="AA86" i="6"/>
  <c r="AA90" i="6"/>
  <c r="AA94" i="6"/>
  <c r="AA71" i="6"/>
  <c r="AA75" i="6"/>
  <c r="AA79" i="6"/>
  <c r="AA83" i="6"/>
  <c r="AA87" i="6"/>
  <c r="AA91" i="6"/>
  <c r="AA95" i="6"/>
  <c r="AA72" i="6"/>
  <c r="AA76" i="6"/>
  <c r="AA77" i="6"/>
  <c r="AA80" i="6"/>
  <c r="AA81" i="6"/>
  <c r="AA89" i="6"/>
  <c r="AA96" i="6"/>
  <c r="AA99" i="6"/>
  <c r="AA103" i="6"/>
  <c r="AA85" i="6"/>
  <c r="AA92" i="6"/>
  <c r="AA73" i="6"/>
  <c r="AA97" i="6"/>
  <c r="AA105" i="6"/>
  <c r="AA110" i="6"/>
  <c r="AA114" i="6"/>
  <c r="AA118" i="6"/>
  <c r="AA88" i="6"/>
  <c r="AA93" i="6"/>
  <c r="AA101" i="6"/>
  <c r="AA119" i="6"/>
  <c r="AA107" i="6"/>
  <c r="AA111" i="6"/>
  <c r="AA115" i="6"/>
  <c r="AA104" i="6"/>
  <c r="AA106" i="6"/>
  <c r="AA98" i="6"/>
  <c r="AA100" i="6"/>
  <c r="AA102" i="6"/>
  <c r="AA109" i="6"/>
  <c r="AA108" i="6"/>
  <c r="AA113" i="6"/>
  <c r="AA84" i="6"/>
  <c r="AA116" i="6"/>
  <c r="AA112" i="6"/>
  <c r="AA117" i="6"/>
  <c r="AT74" i="6"/>
  <c r="AT71" i="6"/>
  <c r="AT75" i="6"/>
  <c r="AT79" i="6"/>
  <c r="AT87" i="6"/>
  <c r="AT94" i="6"/>
  <c r="AT96" i="6"/>
  <c r="AT97" i="6"/>
  <c r="AT85" i="6"/>
  <c r="AT72" i="6"/>
  <c r="AT83" i="6"/>
  <c r="AT90" i="6"/>
  <c r="AT92" i="6"/>
  <c r="AT98" i="6"/>
  <c r="AT102" i="6"/>
  <c r="AT73" i="6"/>
  <c r="AT76" i="6"/>
  <c r="AT77" i="6"/>
  <c r="AT78" i="6"/>
  <c r="AT86" i="6"/>
  <c r="AT88" i="6"/>
  <c r="AT95" i="6"/>
  <c r="AT82" i="6"/>
  <c r="AT84" i="6"/>
  <c r="AT80" i="6"/>
  <c r="AT91" i="6"/>
  <c r="AT108" i="6"/>
  <c r="AT112" i="6"/>
  <c r="AT116" i="6"/>
  <c r="AT99" i="6"/>
  <c r="AT101" i="6"/>
  <c r="AT109" i="6"/>
  <c r="AT113" i="6"/>
  <c r="AT117" i="6"/>
  <c r="AT100" i="6"/>
  <c r="AT89" i="6"/>
  <c r="AT104" i="6"/>
  <c r="AT81" i="6"/>
  <c r="AT106" i="6"/>
  <c r="AT110" i="6"/>
  <c r="AT114" i="6"/>
  <c r="AT118" i="6"/>
  <c r="AT93" i="6"/>
  <c r="AT107" i="6"/>
  <c r="AT111" i="6"/>
  <c r="AT115" i="6"/>
  <c r="AT119" i="6"/>
  <c r="AT103" i="6"/>
  <c r="AT105" i="6"/>
  <c r="AI74" i="6"/>
  <c r="AI78" i="6"/>
  <c r="AI82" i="6"/>
  <c r="AI86" i="6"/>
  <c r="AI90" i="6"/>
  <c r="AI94" i="6"/>
  <c r="AI71" i="6"/>
  <c r="AI75" i="6"/>
  <c r="AI79" i="6"/>
  <c r="AI83" i="6"/>
  <c r="AI87" i="6"/>
  <c r="AI91" i="6"/>
  <c r="AI95" i="6"/>
  <c r="AI72" i="6"/>
  <c r="AI85" i="6"/>
  <c r="AI92" i="6"/>
  <c r="AI99" i="6"/>
  <c r="AI103" i="6"/>
  <c r="AI88" i="6"/>
  <c r="AI80" i="6"/>
  <c r="AI81" i="6"/>
  <c r="AI84" i="6"/>
  <c r="AI101" i="6"/>
  <c r="AI89" i="6"/>
  <c r="AI110" i="6"/>
  <c r="AI114" i="6"/>
  <c r="AI118" i="6"/>
  <c r="AI73" i="6"/>
  <c r="AI77" i="6"/>
  <c r="AI96" i="6"/>
  <c r="AI104" i="6"/>
  <c r="AI93" i="6"/>
  <c r="AI98" i="6"/>
  <c r="AI106" i="6"/>
  <c r="AI107" i="6"/>
  <c r="AI111" i="6"/>
  <c r="AI115" i="6"/>
  <c r="AI119" i="6"/>
  <c r="AI97" i="6"/>
  <c r="AI100" i="6"/>
  <c r="AI102" i="6"/>
  <c r="AI76" i="6"/>
  <c r="AI105" i="6"/>
  <c r="AI109" i="6"/>
  <c r="AI113" i="6"/>
  <c r="AI112" i="6"/>
  <c r="AI116" i="6"/>
  <c r="AI108" i="6"/>
  <c r="AI117" i="6"/>
  <c r="Z72" i="6"/>
  <c r="Z73" i="6"/>
  <c r="Z77" i="6"/>
  <c r="Z81" i="6"/>
  <c r="Z75" i="6"/>
  <c r="Z78" i="6"/>
  <c r="Z79" i="6"/>
  <c r="Z80" i="6"/>
  <c r="Z89" i="6"/>
  <c r="Z96" i="6"/>
  <c r="Z99" i="6"/>
  <c r="Z71" i="6"/>
  <c r="Z82" i="6"/>
  <c r="Z87" i="6"/>
  <c r="Z85" i="6"/>
  <c r="Z92" i="6"/>
  <c r="Z94" i="6"/>
  <c r="Z100" i="6"/>
  <c r="Z104" i="6"/>
  <c r="Z83" i="6"/>
  <c r="Z88" i="6"/>
  <c r="Z90" i="6"/>
  <c r="Z74" i="6"/>
  <c r="Z84" i="6"/>
  <c r="Z86" i="6"/>
  <c r="Z110" i="6"/>
  <c r="Z114" i="6"/>
  <c r="Z118" i="6"/>
  <c r="Z93" i="6"/>
  <c r="Z101" i="6"/>
  <c r="Z103" i="6"/>
  <c r="Z107" i="6"/>
  <c r="Z111" i="6"/>
  <c r="Z115" i="6"/>
  <c r="Z119" i="6"/>
  <c r="Z76" i="6"/>
  <c r="Z91" i="6"/>
  <c r="Z106" i="6"/>
  <c r="Z98" i="6"/>
  <c r="Z108" i="6"/>
  <c r="Z112" i="6"/>
  <c r="Z116" i="6"/>
  <c r="Z109" i="6"/>
  <c r="Z113" i="6"/>
  <c r="Z117" i="6"/>
  <c r="Z105" i="6"/>
  <c r="Z95" i="6"/>
  <c r="Z102" i="6"/>
  <c r="Z97" i="6"/>
  <c r="AL74" i="6"/>
  <c r="AL71" i="6"/>
  <c r="AL75" i="6"/>
  <c r="AL79" i="6"/>
  <c r="AL80" i="6"/>
  <c r="AL81" i="6"/>
  <c r="AL82" i="6"/>
  <c r="AL84" i="6"/>
  <c r="AL91" i="6"/>
  <c r="AL97" i="6"/>
  <c r="AL73" i="6"/>
  <c r="AL89" i="6"/>
  <c r="AL87" i="6"/>
  <c r="AL94" i="6"/>
  <c r="AL96" i="6"/>
  <c r="AL98" i="6"/>
  <c r="AL102" i="6"/>
  <c r="AL85" i="6"/>
  <c r="AL83" i="6"/>
  <c r="AL90" i="6"/>
  <c r="AL92" i="6"/>
  <c r="AL86" i="6"/>
  <c r="AL88" i="6"/>
  <c r="AL108" i="6"/>
  <c r="AL112" i="6"/>
  <c r="AL116" i="6"/>
  <c r="AL103" i="6"/>
  <c r="AL105" i="6"/>
  <c r="AL109" i="6"/>
  <c r="AL113" i="6"/>
  <c r="AL117" i="6"/>
  <c r="AL93" i="6"/>
  <c r="AL72" i="6"/>
  <c r="AL77" i="6"/>
  <c r="AL95" i="6"/>
  <c r="AL101" i="6"/>
  <c r="AL99" i="6"/>
  <c r="AL110" i="6"/>
  <c r="AL114" i="6"/>
  <c r="AL118" i="6"/>
  <c r="AL107" i="6"/>
  <c r="AL111" i="6"/>
  <c r="AL115" i="6"/>
  <c r="AL119" i="6"/>
  <c r="AL76" i="6"/>
  <c r="AL78" i="6"/>
  <c r="AL106" i="6"/>
  <c r="AL100" i="6"/>
  <c r="AL104" i="6"/>
  <c r="Y71" i="6"/>
  <c r="Y75" i="6"/>
  <c r="Y79" i="6"/>
  <c r="Y83" i="6"/>
  <c r="Y87" i="6"/>
  <c r="Y91" i="6"/>
  <c r="Y95" i="6"/>
  <c r="Y72" i="6"/>
  <c r="Y76" i="6"/>
  <c r="Y80" i="6"/>
  <c r="Y84" i="6"/>
  <c r="Y88" i="6"/>
  <c r="Y92" i="6"/>
  <c r="Y96" i="6"/>
  <c r="Y73" i="6"/>
  <c r="Y81" i="6"/>
  <c r="Y82" i="6"/>
  <c r="Y85" i="6"/>
  <c r="Y94" i="6"/>
  <c r="Y100" i="6"/>
  <c r="Y104" i="6"/>
  <c r="Y90" i="6"/>
  <c r="Y97" i="6"/>
  <c r="Y86" i="6"/>
  <c r="Y93" i="6"/>
  <c r="Y101" i="6"/>
  <c r="Y103" i="6"/>
  <c r="Y78" i="6"/>
  <c r="Y77" i="6"/>
  <c r="Y107" i="6"/>
  <c r="Y111" i="6"/>
  <c r="Y115" i="6"/>
  <c r="Y119" i="6"/>
  <c r="Y106" i="6"/>
  <c r="Y99" i="6"/>
  <c r="Y108" i="6"/>
  <c r="Y112" i="6"/>
  <c r="Y116" i="6"/>
  <c r="Y98" i="6"/>
  <c r="Y102" i="6"/>
  <c r="Y74" i="6"/>
  <c r="Y105" i="6"/>
  <c r="Y114" i="6"/>
  <c r="Y117" i="6"/>
  <c r="Y113" i="6"/>
  <c r="Y118" i="6"/>
  <c r="Y109" i="6"/>
  <c r="Y89" i="6"/>
  <c r="Y110" i="6"/>
  <c r="AF73" i="6"/>
  <c r="AF74" i="6"/>
  <c r="AF78" i="6"/>
  <c r="AF82" i="6"/>
  <c r="AF83" i="6"/>
  <c r="AF90" i="6"/>
  <c r="AF88" i="6"/>
  <c r="AF86" i="6"/>
  <c r="AF93" i="6"/>
  <c r="AF95" i="6"/>
  <c r="AF97" i="6"/>
  <c r="AF101" i="6"/>
  <c r="AF105" i="6"/>
  <c r="AF71" i="6"/>
  <c r="AF75" i="6"/>
  <c r="AF76" i="6"/>
  <c r="AF77" i="6"/>
  <c r="AF84" i="6"/>
  <c r="AF79" i="6"/>
  <c r="AF80" i="6"/>
  <c r="AF81" i="6"/>
  <c r="AF89" i="6"/>
  <c r="AF91" i="6"/>
  <c r="AF85" i="6"/>
  <c r="AF87" i="6"/>
  <c r="AF96" i="6"/>
  <c r="AF98" i="6"/>
  <c r="AF106" i="6"/>
  <c r="AF107" i="6"/>
  <c r="AF111" i="6"/>
  <c r="AF115" i="6"/>
  <c r="AF119" i="6"/>
  <c r="AF99" i="6"/>
  <c r="AF102" i="6"/>
  <c r="AF104" i="6"/>
  <c r="AF72" i="6"/>
  <c r="AF94" i="6"/>
  <c r="AF108" i="6"/>
  <c r="AF112" i="6"/>
  <c r="AF116" i="6"/>
  <c r="AF100" i="6"/>
  <c r="AF92" i="6"/>
  <c r="AF109" i="6"/>
  <c r="AF113" i="6"/>
  <c r="AF117" i="6"/>
  <c r="AF110" i="6"/>
  <c r="AF114" i="6"/>
  <c r="AF118" i="6"/>
  <c r="AF103" i="6"/>
  <c r="AN73" i="6"/>
  <c r="AN74" i="6"/>
  <c r="AN78" i="6"/>
  <c r="AN72" i="6"/>
  <c r="AN75" i="6"/>
  <c r="AN76" i="6"/>
  <c r="AN77" i="6"/>
  <c r="AN86" i="6"/>
  <c r="AN93" i="6"/>
  <c r="AN95" i="6"/>
  <c r="AN79" i="6"/>
  <c r="AN80" i="6"/>
  <c r="AN81" i="6"/>
  <c r="AN84" i="6"/>
  <c r="AN82" i="6"/>
  <c r="AN89" i="6"/>
  <c r="AN91" i="6"/>
  <c r="AN97" i="6"/>
  <c r="AN101" i="6"/>
  <c r="AN105" i="6"/>
  <c r="AN96" i="6"/>
  <c r="AN85" i="6"/>
  <c r="AN87" i="6"/>
  <c r="AN94" i="6"/>
  <c r="AN71" i="6"/>
  <c r="AN83" i="6"/>
  <c r="AN107" i="6"/>
  <c r="AN111" i="6"/>
  <c r="AN115" i="6"/>
  <c r="AN119" i="6"/>
  <c r="AN100" i="6"/>
  <c r="AN108" i="6"/>
  <c r="AN112" i="6"/>
  <c r="AN116" i="6"/>
  <c r="AN88" i="6"/>
  <c r="AN92" i="6"/>
  <c r="AN103" i="6"/>
  <c r="AN109" i="6"/>
  <c r="AN113" i="6"/>
  <c r="AN117" i="6"/>
  <c r="AN98" i="6"/>
  <c r="AN99" i="6"/>
  <c r="AN110" i="6"/>
  <c r="AN114" i="6"/>
  <c r="AN118" i="6"/>
  <c r="AN106" i="6"/>
  <c r="AN90" i="6"/>
  <c r="AN102" i="6"/>
  <c r="AN104" i="6"/>
  <c r="AH72" i="6"/>
  <c r="AH73" i="6"/>
  <c r="AH77" i="6"/>
  <c r="AH81" i="6"/>
  <c r="AH85" i="6"/>
  <c r="AH92" i="6"/>
  <c r="AH94" i="6"/>
  <c r="AH99" i="6"/>
  <c r="AH74" i="6"/>
  <c r="AH83" i="6"/>
  <c r="AH88" i="6"/>
  <c r="AH90" i="6"/>
  <c r="AH100" i="6"/>
  <c r="AH104" i="6"/>
  <c r="AH95" i="6"/>
  <c r="AH71" i="6"/>
  <c r="AH75" i="6"/>
  <c r="AH76" i="6"/>
  <c r="AH84" i="6"/>
  <c r="AH86" i="6"/>
  <c r="AH93" i="6"/>
  <c r="AH82" i="6"/>
  <c r="AH89" i="6"/>
  <c r="AH110" i="6"/>
  <c r="AH114" i="6"/>
  <c r="AH118" i="6"/>
  <c r="AH96" i="6"/>
  <c r="AH79" i="6"/>
  <c r="AH98" i="6"/>
  <c r="AH106" i="6"/>
  <c r="AH107" i="6"/>
  <c r="AH111" i="6"/>
  <c r="AH115" i="6"/>
  <c r="AH119" i="6"/>
  <c r="AH97" i="6"/>
  <c r="AH102" i="6"/>
  <c r="AH91" i="6"/>
  <c r="AH108" i="6"/>
  <c r="AH112" i="6"/>
  <c r="AH116" i="6"/>
  <c r="AH78" i="6"/>
  <c r="AH80" i="6"/>
  <c r="AH109" i="6"/>
  <c r="AH113" i="6"/>
  <c r="AH117" i="6"/>
  <c r="AH103" i="6"/>
  <c r="AH105" i="6"/>
  <c r="AH87" i="6"/>
  <c r="AH101" i="6"/>
  <c r="AM72" i="6"/>
  <c r="AM76" i="6"/>
  <c r="AM80" i="6"/>
  <c r="AM84" i="6"/>
  <c r="AM88" i="6"/>
  <c r="AM92" i="6"/>
  <c r="AM96" i="6"/>
  <c r="AM73" i="6"/>
  <c r="AM77" i="6"/>
  <c r="AM81" i="6"/>
  <c r="AM85" i="6"/>
  <c r="AM89" i="6"/>
  <c r="AM93" i="6"/>
  <c r="AM74" i="6"/>
  <c r="AM78" i="6"/>
  <c r="AM79" i="6"/>
  <c r="AM82" i="6"/>
  <c r="AM91" i="6"/>
  <c r="AM97" i="6"/>
  <c r="AM101" i="6"/>
  <c r="AM105" i="6"/>
  <c r="AM87" i="6"/>
  <c r="AM94" i="6"/>
  <c r="AM71" i="6"/>
  <c r="AM100" i="6"/>
  <c r="AM99" i="6"/>
  <c r="AM108" i="6"/>
  <c r="AM112" i="6"/>
  <c r="AM116" i="6"/>
  <c r="AM103" i="6"/>
  <c r="AM75" i="6"/>
  <c r="AM86" i="6"/>
  <c r="AM109" i="6"/>
  <c r="AM113" i="6"/>
  <c r="AM117" i="6"/>
  <c r="AM83" i="6"/>
  <c r="AM95" i="6"/>
  <c r="AM98" i="6"/>
  <c r="AM90" i="6"/>
  <c r="AM102" i="6"/>
  <c r="AM104" i="6"/>
  <c r="AM106" i="6"/>
  <c r="AM111" i="6"/>
  <c r="AM110" i="6"/>
  <c r="AM114" i="6"/>
  <c r="AM118" i="6"/>
  <c r="AM119" i="6"/>
  <c r="AM115" i="6"/>
  <c r="AM107" i="6"/>
  <c r="AD74" i="6"/>
  <c r="AD71" i="6"/>
  <c r="AD75" i="6"/>
  <c r="AD79" i="6"/>
  <c r="AD86" i="6"/>
  <c r="AD88" i="6"/>
  <c r="AD95" i="6"/>
  <c r="AD97" i="6"/>
  <c r="AD93" i="6"/>
  <c r="AD76" i="6"/>
  <c r="AD77" i="6"/>
  <c r="AD78" i="6"/>
  <c r="AD84" i="6"/>
  <c r="AD91" i="6"/>
  <c r="AD98" i="6"/>
  <c r="AD102" i="6"/>
  <c r="AD80" i="6"/>
  <c r="AD81" i="6"/>
  <c r="AD82" i="6"/>
  <c r="AD89" i="6"/>
  <c r="AD72" i="6"/>
  <c r="AD87" i="6"/>
  <c r="AD94" i="6"/>
  <c r="AD96" i="6"/>
  <c r="AD73" i="6"/>
  <c r="AD83" i="6"/>
  <c r="AD90" i="6"/>
  <c r="AD108" i="6"/>
  <c r="AD112" i="6"/>
  <c r="AD116" i="6"/>
  <c r="AD100" i="6"/>
  <c r="AD109" i="6"/>
  <c r="AD113" i="6"/>
  <c r="AD117" i="6"/>
  <c r="AD92" i="6"/>
  <c r="AD103" i="6"/>
  <c r="AD105" i="6"/>
  <c r="AD85" i="6"/>
  <c r="AD110" i="6"/>
  <c r="AD114" i="6"/>
  <c r="AD118" i="6"/>
  <c r="AD106" i="6"/>
  <c r="AD107" i="6"/>
  <c r="AD111" i="6"/>
  <c r="AD115" i="6"/>
  <c r="AD119" i="6"/>
  <c r="AD101" i="6"/>
  <c r="AD104" i="6"/>
  <c r="AD99" i="6"/>
  <c r="AC73" i="6"/>
  <c r="AC77" i="6"/>
  <c r="AC81" i="6"/>
  <c r="AC85" i="6"/>
  <c r="AC89" i="6"/>
  <c r="AC93" i="6"/>
  <c r="AC74" i="6"/>
  <c r="AC78" i="6"/>
  <c r="AC82" i="6"/>
  <c r="AC86" i="6"/>
  <c r="AC90" i="6"/>
  <c r="AC94" i="6"/>
  <c r="AC71" i="6"/>
  <c r="AC75" i="6"/>
  <c r="AC76" i="6"/>
  <c r="AC84" i="6"/>
  <c r="AC91" i="6"/>
  <c r="AC98" i="6"/>
  <c r="AC102" i="6"/>
  <c r="AC106" i="6"/>
  <c r="AC79" i="6"/>
  <c r="AC80" i="6"/>
  <c r="AC72" i="6"/>
  <c r="AC87" i="6"/>
  <c r="AC96" i="6"/>
  <c r="AC100" i="6"/>
  <c r="AC95" i="6"/>
  <c r="AC109" i="6"/>
  <c r="AC113" i="6"/>
  <c r="AC117" i="6"/>
  <c r="AC83" i="6"/>
  <c r="AC92" i="6"/>
  <c r="AC97" i="6"/>
  <c r="AC103" i="6"/>
  <c r="AC105" i="6"/>
  <c r="AC118" i="6"/>
  <c r="AC88" i="6"/>
  <c r="AC110" i="6"/>
  <c r="AC114" i="6"/>
  <c r="AC101" i="6"/>
  <c r="AC99" i="6"/>
  <c r="AC104" i="6"/>
  <c r="AC119" i="6"/>
  <c r="AC111" i="6"/>
  <c r="AC115" i="6"/>
  <c r="AC108" i="6"/>
  <c r="AC107" i="6"/>
  <c r="AC112" i="6"/>
  <c r="AC116" i="6"/>
  <c r="AS73" i="6"/>
  <c r="AS77" i="6"/>
  <c r="AS81" i="6"/>
  <c r="AS85" i="6"/>
  <c r="AS89" i="6"/>
  <c r="AS93" i="6"/>
  <c r="AS74" i="6"/>
  <c r="AS78" i="6"/>
  <c r="AS82" i="6"/>
  <c r="AS86" i="6"/>
  <c r="AS90" i="6"/>
  <c r="AS94" i="6"/>
  <c r="AS71" i="6"/>
  <c r="AS72" i="6"/>
  <c r="AS83" i="6"/>
  <c r="AS92" i="6"/>
  <c r="AS98" i="6"/>
  <c r="AS102" i="6"/>
  <c r="AS106" i="6"/>
  <c r="AS75" i="6"/>
  <c r="AS76" i="6"/>
  <c r="AS88" i="6"/>
  <c r="AS95" i="6"/>
  <c r="AS79" i="6"/>
  <c r="AS80" i="6"/>
  <c r="AS99" i="6"/>
  <c r="AS101" i="6"/>
  <c r="AS87" i="6"/>
  <c r="AS109" i="6"/>
  <c r="AS113" i="6"/>
  <c r="AS117" i="6"/>
  <c r="AS84" i="6"/>
  <c r="AS97" i="6"/>
  <c r="AS104" i="6"/>
  <c r="AS110" i="6"/>
  <c r="AS114" i="6"/>
  <c r="AS118" i="6"/>
  <c r="AS100" i="6"/>
  <c r="AS96" i="6"/>
  <c r="AS103" i="6"/>
  <c r="AS105" i="6"/>
  <c r="AS112" i="6"/>
  <c r="AS116" i="6"/>
  <c r="AS111" i="6"/>
  <c r="AS119" i="6"/>
  <c r="AS115" i="6"/>
  <c r="AS107" i="6"/>
  <c r="AS91" i="6"/>
  <c r="AS108" i="6"/>
  <c r="AB71" i="6"/>
  <c r="AB75" i="6"/>
  <c r="AB72" i="6"/>
  <c r="AB76" i="6"/>
  <c r="AB80" i="6"/>
  <c r="AB84" i="6"/>
  <c r="AB91" i="6"/>
  <c r="AB93" i="6"/>
  <c r="AB98" i="6"/>
  <c r="AB77" i="6"/>
  <c r="AB78" i="6"/>
  <c r="AB79" i="6"/>
  <c r="AB81" i="6"/>
  <c r="AB82" i="6"/>
  <c r="AB87" i="6"/>
  <c r="AB89" i="6"/>
  <c r="AB96" i="6"/>
  <c r="AB99" i="6"/>
  <c r="AB103" i="6"/>
  <c r="AB94" i="6"/>
  <c r="AB83" i="6"/>
  <c r="AB85" i="6"/>
  <c r="AB92" i="6"/>
  <c r="AB88" i="6"/>
  <c r="AB95" i="6"/>
  <c r="AB109" i="6"/>
  <c r="AB113" i="6"/>
  <c r="AB117" i="6"/>
  <c r="AB86" i="6"/>
  <c r="AB97" i="6"/>
  <c r="AB105" i="6"/>
  <c r="AB110" i="6"/>
  <c r="AB114" i="6"/>
  <c r="AB118" i="6"/>
  <c r="AB101" i="6"/>
  <c r="AB73" i="6"/>
  <c r="AB90" i="6"/>
  <c r="AB107" i="6"/>
  <c r="AB111" i="6"/>
  <c r="AB115" i="6"/>
  <c r="AB119" i="6"/>
  <c r="AB108" i="6"/>
  <c r="AB112" i="6"/>
  <c r="AB116" i="6"/>
  <c r="AB74" i="6"/>
  <c r="AB106" i="6"/>
  <c r="AB100" i="6"/>
  <c r="AB102" i="6"/>
  <c r="AB104" i="6"/>
  <c r="AJ71" i="6"/>
  <c r="AJ72" i="6"/>
  <c r="AJ76" i="6"/>
  <c r="AJ80" i="6"/>
  <c r="AJ73" i="6"/>
  <c r="AJ87" i="6"/>
  <c r="AJ89" i="6"/>
  <c r="AJ96" i="6"/>
  <c r="AJ98" i="6"/>
  <c r="AJ94" i="6"/>
  <c r="AJ74" i="6"/>
  <c r="AJ83" i="6"/>
  <c r="AJ85" i="6"/>
  <c r="AJ92" i="6"/>
  <c r="AJ99" i="6"/>
  <c r="AJ103" i="6"/>
  <c r="AJ90" i="6"/>
  <c r="AJ88" i="6"/>
  <c r="AJ95" i="6"/>
  <c r="AJ77" i="6"/>
  <c r="AJ78" i="6"/>
  <c r="AJ79" i="6"/>
  <c r="AJ84" i="6"/>
  <c r="AJ109" i="6"/>
  <c r="AJ113" i="6"/>
  <c r="AJ117" i="6"/>
  <c r="AJ101" i="6"/>
  <c r="AJ75" i="6"/>
  <c r="AJ86" i="6"/>
  <c r="AJ110" i="6"/>
  <c r="AJ114" i="6"/>
  <c r="AJ118" i="6"/>
  <c r="AJ91" i="6"/>
  <c r="AJ97" i="6"/>
  <c r="AJ81" i="6"/>
  <c r="AJ104" i="6"/>
  <c r="AJ93" i="6"/>
  <c r="AJ106" i="6"/>
  <c r="AJ107" i="6"/>
  <c r="AJ111" i="6"/>
  <c r="AJ115" i="6"/>
  <c r="AJ119" i="6"/>
  <c r="AJ108" i="6"/>
  <c r="AJ112" i="6"/>
  <c r="AJ116" i="6"/>
  <c r="AJ82" i="6"/>
  <c r="AJ105" i="6"/>
  <c r="AJ100" i="6"/>
  <c r="AJ102" i="6"/>
  <c r="AO71" i="6"/>
  <c r="AO75" i="6"/>
  <c r="AO79" i="6"/>
  <c r="AO83" i="6"/>
  <c r="AO87" i="6"/>
  <c r="AO91" i="6"/>
  <c r="AO95" i="6"/>
  <c r="AO72" i="6"/>
  <c r="AO76" i="6"/>
  <c r="AO80" i="6"/>
  <c r="AO84" i="6"/>
  <c r="AO88" i="6"/>
  <c r="AO92" i="6"/>
  <c r="AO96" i="6"/>
  <c r="AO73" i="6"/>
  <c r="AO77" i="6"/>
  <c r="AO78" i="6"/>
  <c r="AO86" i="6"/>
  <c r="AO93" i="6"/>
  <c r="AO100" i="6"/>
  <c r="AO104" i="6"/>
  <c r="AO81" i="6"/>
  <c r="AO74" i="6"/>
  <c r="AO82" i="6"/>
  <c r="AO89" i="6"/>
  <c r="AO97" i="6"/>
  <c r="AO90" i="6"/>
  <c r="AO102" i="6"/>
  <c r="AO106" i="6"/>
  <c r="AO107" i="6"/>
  <c r="AO111" i="6"/>
  <c r="AO115" i="6"/>
  <c r="AO119" i="6"/>
  <c r="AO105" i="6"/>
  <c r="AO108" i="6"/>
  <c r="AO112" i="6"/>
  <c r="AO116" i="6"/>
  <c r="AO94" i="6"/>
  <c r="AO101" i="6"/>
  <c r="AO103" i="6"/>
  <c r="AO85" i="6"/>
  <c r="AO98" i="6"/>
  <c r="AO99" i="6"/>
  <c r="AO110" i="6"/>
  <c r="AO114" i="6"/>
  <c r="AO109" i="6"/>
  <c r="AO113" i="6"/>
  <c r="AO117" i="6"/>
  <c r="AO118" i="6"/>
  <c r="AK73" i="6"/>
  <c r="AK77" i="6"/>
  <c r="AK81" i="6"/>
  <c r="AK85" i="6"/>
  <c r="AK89" i="6"/>
  <c r="AK93" i="6"/>
  <c r="AK74" i="6"/>
  <c r="AK78" i="6"/>
  <c r="AK82" i="6"/>
  <c r="AK86" i="6"/>
  <c r="AK90" i="6"/>
  <c r="AK94" i="6"/>
  <c r="AK71" i="6"/>
  <c r="AK87" i="6"/>
  <c r="AK96" i="6"/>
  <c r="AK98" i="6"/>
  <c r="AK102" i="6"/>
  <c r="AK106" i="6"/>
  <c r="AK83" i="6"/>
  <c r="AK92" i="6"/>
  <c r="AK72" i="6"/>
  <c r="AK75" i="6"/>
  <c r="AK76" i="6"/>
  <c r="AK103" i="6"/>
  <c r="AK105" i="6"/>
  <c r="AK84" i="6"/>
  <c r="AK109" i="6"/>
  <c r="AK113" i="6"/>
  <c r="AK117" i="6"/>
  <c r="AK95" i="6"/>
  <c r="AK101" i="6"/>
  <c r="AK79" i="6"/>
  <c r="AK99" i="6"/>
  <c r="AK110" i="6"/>
  <c r="AK114" i="6"/>
  <c r="AK118" i="6"/>
  <c r="AK88" i="6"/>
  <c r="AK104" i="6"/>
  <c r="AK91" i="6"/>
  <c r="AK97" i="6"/>
  <c r="AK100" i="6"/>
  <c r="AK80" i="6"/>
  <c r="AK116" i="6"/>
  <c r="AK115" i="6"/>
  <c r="AK111" i="6"/>
  <c r="AK108" i="6"/>
  <c r="AK107" i="6"/>
  <c r="AK119" i="6"/>
  <c r="AK112" i="6"/>
  <c r="AP72" i="6"/>
  <c r="AP73" i="6"/>
  <c r="AP77" i="6"/>
  <c r="AP81" i="6"/>
  <c r="AP88" i="6"/>
  <c r="AP90" i="6"/>
  <c r="AP99" i="6"/>
  <c r="AP75" i="6"/>
  <c r="AP76" i="6"/>
  <c r="AP95" i="6"/>
  <c r="AP78" i="6"/>
  <c r="AP79" i="6"/>
  <c r="AP80" i="6"/>
  <c r="AP84" i="6"/>
  <c r="AP86" i="6"/>
  <c r="AP93" i="6"/>
  <c r="AP100" i="6"/>
  <c r="AP104" i="6"/>
  <c r="AP91" i="6"/>
  <c r="AP74" i="6"/>
  <c r="AP82" i="6"/>
  <c r="AP89" i="6"/>
  <c r="AP85" i="6"/>
  <c r="AP87" i="6"/>
  <c r="AP110" i="6"/>
  <c r="AP114" i="6"/>
  <c r="AP118" i="6"/>
  <c r="AP71" i="6"/>
  <c r="AP102" i="6"/>
  <c r="AP106" i="6"/>
  <c r="AP107" i="6"/>
  <c r="AP111" i="6"/>
  <c r="AP115" i="6"/>
  <c r="AP119" i="6"/>
  <c r="AP83" i="6"/>
  <c r="AP94" i="6"/>
  <c r="AP96" i="6"/>
  <c r="AP105" i="6"/>
  <c r="AP108" i="6"/>
  <c r="AP112" i="6"/>
  <c r="AP116" i="6"/>
  <c r="AP92" i="6"/>
  <c r="AP109" i="6"/>
  <c r="AP113" i="6"/>
  <c r="AP117" i="6"/>
  <c r="AP103" i="6"/>
  <c r="AP101" i="6"/>
  <c r="AP97" i="6"/>
  <c r="AP98" i="6"/>
  <c r="X73" i="6"/>
  <c r="X74" i="6"/>
  <c r="X78" i="6"/>
  <c r="X82" i="6"/>
  <c r="X71" i="6"/>
  <c r="X85" i="6"/>
  <c r="X87" i="6"/>
  <c r="X94" i="6"/>
  <c r="X92" i="6"/>
  <c r="X72" i="6"/>
  <c r="X83" i="6"/>
  <c r="X90" i="6"/>
  <c r="X97" i="6"/>
  <c r="X101" i="6"/>
  <c r="X105" i="6"/>
  <c r="X88" i="6"/>
  <c r="X86" i="6"/>
  <c r="X93" i="6"/>
  <c r="X95" i="6"/>
  <c r="X76" i="6"/>
  <c r="X77" i="6"/>
  <c r="X89" i="6"/>
  <c r="X107" i="6"/>
  <c r="X111" i="6"/>
  <c r="X115" i="6"/>
  <c r="X119" i="6"/>
  <c r="X75" i="6"/>
  <c r="X79" i="6"/>
  <c r="X81" i="6"/>
  <c r="X106" i="6"/>
  <c r="X91" i="6"/>
  <c r="X108" i="6"/>
  <c r="X112" i="6"/>
  <c r="X116" i="6"/>
  <c r="X100" i="6"/>
  <c r="X98" i="6"/>
  <c r="X102" i="6"/>
  <c r="X104" i="6"/>
  <c r="X99" i="6"/>
  <c r="X109" i="6"/>
  <c r="X113" i="6"/>
  <c r="X117" i="6"/>
  <c r="X80" i="6"/>
  <c r="X84" i="6"/>
  <c r="X110" i="6"/>
  <c r="X114" i="6"/>
  <c r="X118" i="6"/>
  <c r="X96" i="6"/>
  <c r="X103" i="6"/>
  <c r="AU72" i="6"/>
  <c r="AU76" i="6"/>
  <c r="AU80" i="6"/>
  <c r="AU84" i="6"/>
  <c r="AU88" i="6"/>
  <c r="AU92" i="6"/>
  <c r="AU96" i="6"/>
  <c r="AU73" i="6"/>
  <c r="AU77" i="6"/>
  <c r="AU81" i="6"/>
  <c r="AU85" i="6"/>
  <c r="AU89" i="6"/>
  <c r="AU93" i="6"/>
  <c r="AU74" i="6"/>
  <c r="AU71" i="6"/>
  <c r="AU87" i="6"/>
  <c r="AU94" i="6"/>
  <c r="AU97" i="6"/>
  <c r="AU101" i="6"/>
  <c r="AU105" i="6"/>
  <c r="AU83" i="6"/>
  <c r="AU90" i="6"/>
  <c r="AU75" i="6"/>
  <c r="AU78" i="6"/>
  <c r="AU103" i="6"/>
  <c r="AU82" i="6"/>
  <c r="AU91" i="6"/>
  <c r="AU98" i="6"/>
  <c r="AU108" i="6"/>
  <c r="AU112" i="6"/>
  <c r="AU116" i="6"/>
  <c r="AU99" i="6"/>
  <c r="AU95" i="6"/>
  <c r="AU109" i="6"/>
  <c r="AU113" i="6"/>
  <c r="AU117" i="6"/>
  <c r="AU79" i="6"/>
  <c r="AU86" i="6"/>
  <c r="AU102" i="6"/>
  <c r="AU104" i="6"/>
  <c r="AU100" i="6"/>
  <c r="AU107" i="6"/>
  <c r="AU110" i="6"/>
  <c r="AU106" i="6"/>
  <c r="AU111" i="6"/>
  <c r="AU115" i="6"/>
  <c r="AU118" i="6"/>
  <c r="AU114" i="6"/>
  <c r="AU119" i="6"/>
  <c r="AW120" i="6"/>
  <c r="AW71" i="6"/>
  <c r="AW75" i="6"/>
  <c r="AW79" i="6"/>
  <c r="AW83" i="6"/>
  <c r="AW87" i="6"/>
  <c r="AW91" i="6"/>
  <c r="AW95" i="6"/>
  <c r="AW72" i="6"/>
  <c r="AW76" i="6"/>
  <c r="AW80" i="6"/>
  <c r="AW84" i="6"/>
  <c r="AW88" i="6"/>
  <c r="AW92" i="6"/>
  <c r="AW96" i="6"/>
  <c r="AW73" i="6"/>
  <c r="AW82" i="6"/>
  <c r="AW89" i="6"/>
  <c r="AW100" i="6"/>
  <c r="AW104" i="6"/>
  <c r="AW85" i="6"/>
  <c r="AW94" i="6"/>
  <c r="AW97" i="6"/>
  <c r="AW74" i="6"/>
  <c r="AW77" i="6"/>
  <c r="AW78" i="6"/>
  <c r="AW93" i="6"/>
  <c r="AW105" i="6"/>
  <c r="AW90" i="6"/>
  <c r="AW107" i="6"/>
  <c r="AW111" i="6"/>
  <c r="AW115" i="6"/>
  <c r="AW119" i="6"/>
  <c r="AW101" i="6"/>
  <c r="AW103" i="6"/>
  <c r="AW86" i="6"/>
  <c r="AW98" i="6"/>
  <c r="AW108" i="6"/>
  <c r="AW112" i="6"/>
  <c r="AW116" i="6"/>
  <c r="AW81" i="6"/>
  <c r="AW99" i="6"/>
  <c r="AW102" i="6"/>
  <c r="AW118" i="6"/>
  <c r="AW117" i="6"/>
  <c r="AW106" i="6"/>
  <c r="AW113" i="6"/>
  <c r="AW109" i="6"/>
  <c r="AW110" i="6"/>
  <c r="AW114" i="6"/>
  <c r="AR71" i="6"/>
  <c r="AR72" i="6"/>
  <c r="AR76" i="6"/>
  <c r="AR80" i="6"/>
  <c r="AR83" i="6"/>
  <c r="AR85" i="6"/>
  <c r="AR92" i="6"/>
  <c r="AR98" i="6"/>
  <c r="AR90" i="6"/>
  <c r="AR75" i="6"/>
  <c r="AR88" i="6"/>
  <c r="AR95" i="6"/>
  <c r="AR99" i="6"/>
  <c r="AR103" i="6"/>
  <c r="AR73" i="6"/>
  <c r="AR77" i="6"/>
  <c r="AR78" i="6"/>
  <c r="AR79" i="6"/>
  <c r="AR86" i="6"/>
  <c r="AR81" i="6"/>
  <c r="AR84" i="6"/>
  <c r="AR91" i="6"/>
  <c r="AR93" i="6"/>
  <c r="AR87" i="6"/>
  <c r="AR89" i="6"/>
  <c r="AR74" i="6"/>
  <c r="AR82" i="6"/>
  <c r="AR109" i="6"/>
  <c r="AR113" i="6"/>
  <c r="AR117" i="6"/>
  <c r="AR97" i="6"/>
  <c r="AR104" i="6"/>
  <c r="AR110" i="6"/>
  <c r="AR114" i="6"/>
  <c r="AR118" i="6"/>
  <c r="AR96" i="6"/>
  <c r="AR100" i="6"/>
  <c r="AR102" i="6"/>
  <c r="AR106" i="6"/>
  <c r="AR107" i="6"/>
  <c r="AR111" i="6"/>
  <c r="AR115" i="6"/>
  <c r="AR119" i="6"/>
  <c r="AR94" i="6"/>
  <c r="AR108" i="6"/>
  <c r="AR112" i="6"/>
  <c r="AR116" i="6"/>
  <c r="AR101" i="6"/>
  <c r="AR105" i="6"/>
  <c r="AQ74" i="6"/>
  <c r="AQ78" i="6"/>
  <c r="AQ82" i="6"/>
  <c r="AQ86" i="6"/>
  <c r="AQ90" i="6"/>
  <c r="AQ94" i="6"/>
  <c r="AQ71" i="6"/>
  <c r="AQ75" i="6"/>
  <c r="AQ79" i="6"/>
  <c r="AQ83" i="6"/>
  <c r="AQ87" i="6"/>
  <c r="AQ91" i="6"/>
  <c r="AQ95" i="6"/>
  <c r="AQ72" i="6"/>
  <c r="AQ88" i="6"/>
  <c r="AQ99" i="6"/>
  <c r="AQ103" i="6"/>
  <c r="AQ73" i="6"/>
  <c r="AQ76" i="6"/>
  <c r="AQ77" i="6"/>
  <c r="AQ80" i="6"/>
  <c r="AQ81" i="6"/>
  <c r="AQ84" i="6"/>
  <c r="AQ93" i="6"/>
  <c r="AQ97" i="6"/>
  <c r="AQ98" i="6"/>
  <c r="AQ104" i="6"/>
  <c r="AQ110" i="6"/>
  <c r="AQ114" i="6"/>
  <c r="AQ118" i="6"/>
  <c r="AQ89" i="6"/>
  <c r="AQ100" i="6"/>
  <c r="AQ102" i="6"/>
  <c r="AQ106" i="6"/>
  <c r="AQ119" i="6"/>
  <c r="AQ107" i="6"/>
  <c r="AQ111" i="6"/>
  <c r="AQ115" i="6"/>
  <c r="AQ96" i="6"/>
  <c r="AQ105" i="6"/>
  <c r="AQ101" i="6"/>
  <c r="AQ117" i="6"/>
  <c r="AQ116" i="6"/>
  <c r="AQ85" i="6"/>
  <c r="AQ109" i="6"/>
  <c r="AQ112" i="6"/>
  <c r="AQ108" i="6"/>
  <c r="AQ113" i="6"/>
  <c r="AQ92" i="6"/>
  <c r="W74" i="6"/>
  <c r="W75" i="6"/>
  <c r="W83" i="6"/>
  <c r="W91" i="6"/>
  <c r="W99" i="6"/>
  <c r="W115" i="6"/>
  <c r="W76" i="6"/>
  <c r="W84" i="6"/>
  <c r="W92" i="6"/>
  <c r="W100" i="6"/>
  <c r="W108" i="6"/>
  <c r="W116" i="6"/>
  <c r="W86" i="6"/>
  <c r="W102" i="6"/>
  <c r="W118" i="6"/>
  <c r="W79" i="6"/>
  <c r="W103" i="6"/>
  <c r="W119" i="6"/>
  <c r="W80" i="6"/>
  <c r="W96" i="6"/>
  <c r="W112" i="6"/>
  <c r="W81" i="6"/>
  <c r="W89" i="6"/>
  <c r="W113" i="6"/>
  <c r="W82" i="6"/>
  <c r="W114" i="6"/>
  <c r="W77" i="6"/>
  <c r="W85" i="6"/>
  <c r="W93" i="6"/>
  <c r="W101" i="6"/>
  <c r="W109" i="6"/>
  <c r="W117" i="6"/>
  <c r="W78" i="6"/>
  <c r="W94" i="6"/>
  <c r="W110" i="6"/>
  <c r="W87" i="6"/>
  <c r="W95" i="6"/>
  <c r="W111" i="6"/>
  <c r="W72" i="6"/>
  <c r="W88" i="6"/>
  <c r="W104" i="6"/>
  <c r="W73" i="6"/>
  <c r="W97" i="6"/>
  <c r="W105" i="6"/>
  <c r="W90" i="6"/>
  <c r="W98" i="6"/>
  <c r="W106" i="6"/>
  <c r="W107" i="6"/>
  <c r="AC70" i="6"/>
  <c r="AB70" i="6"/>
  <c r="AE70" i="6"/>
  <c r="AA70" i="6"/>
  <c r="AF70" i="6"/>
  <c r="AD70" i="6"/>
  <c r="AG70" i="6"/>
  <c r="AI70" i="6"/>
  <c r="Z70" i="6"/>
  <c r="AH70" i="6"/>
  <c r="BI90" i="5"/>
  <c r="BI97" i="5" s="1"/>
  <c r="BJ104" i="5"/>
  <c r="AI120" i="6" s="1"/>
  <c r="BF90" i="5"/>
  <c r="BF97" i="5" s="1"/>
  <c r="BF106" i="5" s="1"/>
  <c r="BJ90" i="5"/>
  <c r="BJ97" i="5" s="1"/>
  <c r="BI104" i="5"/>
  <c r="AH120" i="6" s="1"/>
  <c r="R39" i="5"/>
  <c r="BH104" i="5"/>
  <c r="AG120" i="6" s="1"/>
  <c r="Q39" i="5"/>
  <c r="BH90" i="5"/>
  <c r="BH97" i="5" s="1"/>
  <c r="BG90" i="5"/>
  <c r="BG97" i="5" s="1"/>
  <c r="BG104" i="5"/>
  <c r="AF120" i="6" s="1"/>
  <c r="P39" i="5"/>
  <c r="BA90" i="5"/>
  <c r="BA97" i="5" s="1"/>
  <c r="BA106" i="5" s="1"/>
  <c r="BE90" i="5"/>
  <c r="BE97" i="5" s="1"/>
  <c r="BE106" i="5" s="1"/>
  <c r="BB90" i="5"/>
  <c r="BB97" i="5" s="1"/>
  <c r="BB106" i="5" s="1"/>
  <c r="BC90" i="5"/>
  <c r="BC97" i="5" s="1"/>
  <c r="BC106" i="5" s="1"/>
  <c r="BD97" i="5"/>
  <c r="BD106" i="5" s="1"/>
  <c r="V122" i="6"/>
  <c r="V91" i="6"/>
  <c r="V99" i="6"/>
  <c r="V107" i="6"/>
  <c r="V115" i="6"/>
  <c r="V92" i="6"/>
  <c r="V100" i="6"/>
  <c r="V108" i="6"/>
  <c r="V116" i="6"/>
  <c r="V114" i="6"/>
  <c r="V93" i="6"/>
  <c r="V101" i="6"/>
  <c r="V109" i="6"/>
  <c r="V117" i="6"/>
  <c r="V102" i="6"/>
  <c r="V110" i="6"/>
  <c r="V118" i="6"/>
  <c r="V103" i="6"/>
  <c r="V111" i="6"/>
  <c r="V119" i="6"/>
  <c r="V94" i="6"/>
  <c r="V95" i="6"/>
  <c r="V96" i="6"/>
  <c r="V104" i="6"/>
  <c r="V112" i="6"/>
  <c r="V97" i="6"/>
  <c r="V105" i="6"/>
  <c r="V113" i="6"/>
  <c r="V90" i="6"/>
  <c r="V98" i="6"/>
  <c r="V106" i="6"/>
  <c r="U90" i="6"/>
  <c r="U98" i="6"/>
  <c r="U106" i="6"/>
  <c r="U114" i="6"/>
  <c r="U100" i="6"/>
  <c r="U108" i="6"/>
  <c r="U95" i="6"/>
  <c r="U91" i="6"/>
  <c r="U99" i="6"/>
  <c r="U107" i="6"/>
  <c r="U115" i="6"/>
  <c r="U92" i="6"/>
  <c r="U116" i="6"/>
  <c r="U111" i="6"/>
  <c r="U112" i="6"/>
  <c r="U93" i="6"/>
  <c r="U101" i="6"/>
  <c r="U109" i="6"/>
  <c r="U117" i="6"/>
  <c r="U94" i="6"/>
  <c r="U102" i="6"/>
  <c r="U110" i="6"/>
  <c r="U118" i="6"/>
  <c r="U119" i="6"/>
  <c r="U96" i="6"/>
  <c r="U97" i="6"/>
  <c r="U105" i="6"/>
  <c r="U113" i="6"/>
  <c r="U103" i="6"/>
  <c r="U104" i="6"/>
  <c r="Y70" i="6"/>
  <c r="X70" i="6"/>
  <c r="W70" i="6"/>
  <c r="W71" i="6"/>
  <c r="V71" i="6"/>
  <c r="V72" i="6"/>
  <c r="V80" i="6"/>
  <c r="V88" i="6"/>
  <c r="V82" i="6"/>
  <c r="V76" i="6"/>
  <c r="V85" i="6"/>
  <c r="V86" i="6"/>
  <c r="V87" i="6"/>
  <c r="V73" i="6"/>
  <c r="V81" i="6"/>
  <c r="V89" i="6"/>
  <c r="V74" i="6"/>
  <c r="V83" i="6"/>
  <c r="V84" i="6"/>
  <c r="V77" i="6"/>
  <c r="V78" i="6"/>
  <c r="V79" i="6"/>
  <c r="V75" i="6"/>
  <c r="V70" i="6"/>
  <c r="U72" i="6"/>
  <c r="U80" i="6"/>
  <c r="U88" i="6"/>
  <c r="U73" i="6"/>
  <c r="U81" i="6"/>
  <c r="U89" i="6"/>
  <c r="U82" i="6"/>
  <c r="U75" i="6"/>
  <c r="U83" i="6"/>
  <c r="U84" i="6"/>
  <c r="U77" i="6"/>
  <c r="U85" i="6"/>
  <c r="U78" i="6"/>
  <c r="U86" i="6"/>
  <c r="U71" i="6"/>
  <c r="U87" i="6"/>
  <c r="U74" i="6"/>
  <c r="U76" i="6"/>
  <c r="U79" i="6"/>
  <c r="U70" i="6"/>
  <c r="AY90" i="5"/>
  <c r="AY97" i="5" s="1"/>
  <c r="AY106" i="5" s="1"/>
  <c r="AZ90" i="5"/>
  <c r="AZ97" i="5" s="1"/>
  <c r="AZ106" i="5" s="1"/>
  <c r="AV90" i="5"/>
  <c r="AV97" i="5" s="1"/>
  <c r="AV106" i="5" s="1"/>
  <c r="AW90" i="5"/>
  <c r="AW97" i="5" s="1"/>
  <c r="AW106" i="5" s="1"/>
  <c r="AX90" i="5"/>
  <c r="AX97" i="5" s="1"/>
  <c r="AX106" i="5" s="1"/>
  <c r="BU142" i="5"/>
  <c r="BU156" i="5"/>
  <c r="BU137" i="5"/>
  <c r="BU114" i="5"/>
  <c r="BU144" i="5"/>
  <c r="BU143" i="5"/>
  <c r="BR137" i="5"/>
  <c r="BR144" i="5"/>
  <c r="BR114" i="5"/>
  <c r="BR143" i="5"/>
  <c r="BR156" i="5"/>
  <c r="BR142" i="5"/>
  <c r="BE142" i="5"/>
  <c r="BE143" i="5" s="1"/>
  <c r="BE156" i="5" s="1"/>
  <c r="BE137" i="5"/>
  <c r="BE114" i="5"/>
  <c r="AD48" i="6" s="1"/>
  <c r="BT142" i="5"/>
  <c r="BT137" i="5"/>
  <c r="BT144" i="5"/>
  <c r="BT156" i="5"/>
  <c r="BT143" i="5"/>
  <c r="BT114" i="5"/>
  <c r="BJ137" i="5"/>
  <c r="BJ114" i="5"/>
  <c r="BJ142" i="5"/>
  <c r="BJ143" i="5" s="1"/>
  <c r="BJ156" i="5" s="1"/>
  <c r="BM114" i="5"/>
  <c r="BM144" i="5"/>
  <c r="BM143" i="5"/>
  <c r="BM142" i="5"/>
  <c r="BM137" i="5"/>
  <c r="BM156" i="5"/>
  <c r="BX137" i="5"/>
  <c r="BX144" i="5"/>
  <c r="BX114" i="5"/>
  <c r="BX143" i="5"/>
  <c r="BX156" i="5"/>
  <c r="BX142" i="5"/>
  <c r="BW142" i="5"/>
  <c r="BW143" i="5"/>
  <c r="BW137" i="5"/>
  <c r="BW156" i="5"/>
  <c r="BW114" i="5"/>
  <c r="BW144" i="5"/>
  <c r="BV114" i="5"/>
  <c r="BV143" i="5"/>
  <c r="BV156" i="5"/>
  <c r="BV142" i="5"/>
  <c r="BV137" i="5"/>
  <c r="BV144" i="5"/>
  <c r="BL142" i="5"/>
  <c r="BL137" i="5"/>
  <c r="BL143" i="5"/>
  <c r="BL144" i="5" s="1"/>
  <c r="BL156" i="5"/>
  <c r="BL114" i="5"/>
  <c r="BQ114" i="5"/>
  <c r="BQ143" i="5"/>
  <c r="BQ156" i="5"/>
  <c r="BQ137" i="5"/>
  <c r="BQ144" i="5"/>
  <c r="BQ142" i="5"/>
  <c r="AW114" i="5"/>
  <c r="V48" i="6" s="1"/>
  <c r="AW142" i="5"/>
  <c r="AW143" i="5" s="1"/>
  <c r="AW156" i="5" s="1"/>
  <c r="AW137" i="5"/>
  <c r="BP137" i="5"/>
  <c r="BP144" i="5"/>
  <c r="BP114" i="5"/>
  <c r="BP143" i="5"/>
  <c r="BP156" i="5"/>
  <c r="BP142" i="5"/>
  <c r="BO142" i="5"/>
  <c r="BO137" i="5"/>
  <c r="BO156" i="5"/>
  <c r="BO114" i="5"/>
  <c r="BO144" i="5"/>
  <c r="BO143" i="5"/>
  <c r="BN114" i="5"/>
  <c r="BN143" i="5"/>
  <c r="BN156" i="5"/>
  <c r="BN142" i="5"/>
  <c r="BN144" i="5"/>
  <c r="BN137" i="5"/>
  <c r="BD142" i="5"/>
  <c r="BD143" i="5" s="1"/>
  <c r="BD156" i="5" s="1"/>
  <c r="BD137" i="5"/>
  <c r="BD114" i="5"/>
  <c r="AC48" i="6" s="1"/>
  <c r="BY114" i="5"/>
  <c r="BY143" i="5"/>
  <c r="BY156" i="5"/>
  <c r="BY144" i="5"/>
  <c r="BY142" i="5"/>
  <c r="BY137" i="5"/>
  <c r="BS137" i="5"/>
  <c r="BS144" i="5"/>
  <c r="BS156" i="5"/>
  <c r="BS114" i="5"/>
  <c r="BS143" i="5"/>
  <c r="BS142" i="5"/>
  <c r="BA114" i="5"/>
  <c r="Z48" i="6" s="1"/>
  <c r="BA137" i="5"/>
  <c r="BA142" i="5"/>
  <c r="BA143" i="5" s="1"/>
  <c r="BA156" i="5" s="1"/>
  <c r="BH137" i="5"/>
  <c r="BH114" i="5"/>
  <c r="BH142" i="5"/>
  <c r="BH143" i="5" s="1"/>
  <c r="BH156" i="5" s="1"/>
  <c r="BG142" i="5"/>
  <c r="BG143" i="5" s="1"/>
  <c r="BG137" i="5"/>
  <c r="BG114" i="5"/>
  <c r="AF48" i="6" s="1"/>
  <c r="BF114" i="5"/>
  <c r="AE48" i="6" s="1"/>
  <c r="BF142" i="5"/>
  <c r="BF143" i="5" s="1"/>
  <c r="BF137" i="5"/>
  <c r="AV142" i="5"/>
  <c r="AV143" i="5" s="1"/>
  <c r="AV137" i="5"/>
  <c r="AV114" i="5"/>
  <c r="BI114" i="5"/>
  <c r="BI142" i="5"/>
  <c r="BI143" i="5" s="1"/>
  <c r="BI156" i="5" s="1"/>
  <c r="BI137" i="5"/>
  <c r="BC137" i="5"/>
  <c r="BC114" i="5"/>
  <c r="AB48" i="6" s="1"/>
  <c r="BC142" i="5"/>
  <c r="BC143" i="5" s="1"/>
  <c r="BC156" i="5" s="1"/>
  <c r="BK137" i="5"/>
  <c r="BK144" i="5" s="1"/>
  <c r="BK143" i="5"/>
  <c r="BK156" i="5" s="1"/>
  <c r="BK142" i="5"/>
  <c r="BK114" i="5"/>
  <c r="AZ137" i="5"/>
  <c r="AZ114" i="5"/>
  <c r="Y48" i="6" s="1"/>
  <c r="AZ142" i="5"/>
  <c r="AZ143" i="5" s="1"/>
  <c r="AZ156" i="5" s="1"/>
  <c r="AY142" i="5"/>
  <c r="AY143" i="5" s="1"/>
  <c r="AY137" i="5"/>
  <c r="AY114" i="5"/>
  <c r="X48" i="6" s="1"/>
  <c r="AX114" i="5"/>
  <c r="W48" i="6" s="1"/>
  <c r="AX142" i="5"/>
  <c r="AX143" i="5" s="1"/>
  <c r="AX137" i="5"/>
  <c r="BB137" i="5"/>
  <c r="BB114" i="5"/>
  <c r="AA48" i="6" s="1"/>
  <c r="BB142" i="5"/>
  <c r="BB143" i="5" s="1"/>
  <c r="AA120" i="6"/>
  <c r="AA40" i="6"/>
  <c r="AJ120" i="6"/>
  <c r="AJ40" i="6"/>
  <c r="AM120" i="6"/>
  <c r="AM40" i="6"/>
  <c r="AD120" i="6"/>
  <c r="AD40" i="6"/>
  <c r="AD39" i="6" s="1"/>
  <c r="AR120" i="6"/>
  <c r="AR40" i="6"/>
  <c r="AK120" i="6"/>
  <c r="AK40" i="6"/>
  <c r="AU120" i="6"/>
  <c r="AU40" i="6"/>
  <c r="AN120" i="6"/>
  <c r="AN40" i="6"/>
  <c r="AE120" i="6"/>
  <c r="AE40" i="6"/>
  <c r="AE39" i="6" s="1"/>
  <c r="AC120" i="6"/>
  <c r="AC40" i="6"/>
  <c r="AC39" i="6" s="1"/>
  <c r="AT120" i="6"/>
  <c r="AT40" i="6"/>
  <c r="AS120" i="6"/>
  <c r="AS40" i="6"/>
  <c r="AV120" i="6"/>
  <c r="AV40" i="6"/>
  <c r="AQ120" i="6"/>
  <c r="AQ40" i="6"/>
  <c r="AB120" i="6"/>
  <c r="AB40" i="6"/>
  <c r="AB39" i="6" s="1"/>
  <c r="AL120" i="6"/>
  <c r="AL40" i="6"/>
  <c r="AO120" i="6"/>
  <c r="AO40" i="6"/>
  <c r="AP120" i="6"/>
  <c r="AP40" i="6"/>
  <c r="AM69" i="6"/>
  <c r="AM70" i="6"/>
  <c r="AM121" i="6"/>
  <c r="AR69" i="6"/>
  <c r="AR70" i="6"/>
  <c r="AR121" i="6"/>
  <c r="AR39" i="6"/>
  <c r="AK69" i="6"/>
  <c r="AK70" i="6"/>
  <c r="AK121" i="6"/>
  <c r="AU70" i="6"/>
  <c r="AU69" i="6"/>
  <c r="AU121" i="6"/>
  <c r="AU39" i="6"/>
  <c r="AN70" i="6"/>
  <c r="AN69" i="6"/>
  <c r="AN121" i="6"/>
  <c r="AN39" i="6"/>
  <c r="AT70" i="6"/>
  <c r="AT69" i="6"/>
  <c r="AT121" i="6"/>
  <c r="AT39" i="6"/>
  <c r="AJ70" i="6"/>
  <c r="AJ69" i="6" s="1"/>
  <c r="AJ121" i="6" s="1"/>
  <c r="AS69" i="6"/>
  <c r="AS70" i="6"/>
  <c r="AS121" i="6"/>
  <c r="AS39" i="6"/>
  <c r="AV70" i="6"/>
  <c r="AV69" i="6"/>
  <c r="AV121" i="6"/>
  <c r="AV39" i="6"/>
  <c r="AQ69" i="6"/>
  <c r="AQ70" i="6"/>
  <c r="AQ121" i="6"/>
  <c r="AQ39" i="6"/>
  <c r="AO70" i="6"/>
  <c r="AO69" i="6"/>
  <c r="AO121" i="6"/>
  <c r="AO39" i="6"/>
  <c r="AL70" i="6"/>
  <c r="AL69" i="6"/>
  <c r="AL121" i="6"/>
  <c r="AP70" i="6"/>
  <c r="AP69" i="6"/>
  <c r="AP121" i="6"/>
  <c r="AP39" i="6"/>
  <c r="AW69" i="6"/>
  <c r="AW70" i="6"/>
  <c r="AW121" i="6"/>
  <c r="AW40" i="6"/>
  <c r="AW39" i="6"/>
  <c r="J39" i="5"/>
  <c r="I39" i="5"/>
  <c r="E35" i="5"/>
  <c r="H39" i="5"/>
  <c r="G39" i="5"/>
  <c r="M39" i="5"/>
  <c r="AG39" i="5"/>
  <c r="N39" i="5"/>
  <c r="O39" i="5"/>
  <c r="L39" i="5"/>
  <c r="K39" i="5"/>
  <c r="AJ39" i="6"/>
  <c r="AL39" i="6"/>
  <c r="AK39" i="6"/>
  <c r="AM39" i="6"/>
  <c r="AU137" i="5"/>
  <c r="AU142" i="5"/>
  <c r="AU143" i="5" s="1"/>
  <c r="AU156" i="5" s="1"/>
  <c r="AU114" i="5"/>
  <c r="T48" i="6" s="1"/>
  <c r="C181" i="6"/>
  <c r="E181" i="6"/>
  <c r="C176" i="6"/>
  <c r="C171" i="6"/>
  <c r="E171" i="6"/>
  <c r="C166" i="6"/>
  <c r="E166" i="6"/>
  <c r="C161" i="6"/>
  <c r="D161" i="6" s="1"/>
  <c r="AH40" i="6" l="1"/>
  <c r="AH39" i="6" s="1"/>
  <c r="AN157" i="6"/>
  <c r="AN183" i="6" s="1"/>
  <c r="AN185" i="6" s="1"/>
  <c r="AN48" i="6"/>
  <c r="AV157" i="6"/>
  <c r="AV183" i="6" s="1"/>
  <c r="AV185" i="6" s="1"/>
  <c r="AV48" i="6"/>
  <c r="AW157" i="6"/>
  <c r="AW183" i="6" s="1"/>
  <c r="AW185" i="6" s="1"/>
  <c r="AW48" i="6"/>
  <c r="AL157" i="6"/>
  <c r="AL183" i="6" s="1"/>
  <c r="AL185" i="6" s="1"/>
  <c r="AL48" i="6"/>
  <c r="AQ157" i="6"/>
  <c r="AQ183" i="6" s="1"/>
  <c r="AQ185" i="6" s="1"/>
  <c r="AQ48" i="6"/>
  <c r="AP157" i="6"/>
  <c r="AP183" i="6" s="1"/>
  <c r="AP185" i="6" s="1"/>
  <c r="AP48" i="6"/>
  <c r="AO157" i="6"/>
  <c r="AO183" i="6" s="1"/>
  <c r="AO185" i="6" s="1"/>
  <c r="AO48" i="6"/>
  <c r="AR157" i="6"/>
  <c r="AR183" i="6" s="1"/>
  <c r="AR185" i="6" s="1"/>
  <c r="AR48" i="6"/>
  <c r="AK157" i="6"/>
  <c r="AK183" i="6" s="1"/>
  <c r="AK185" i="6" s="1"/>
  <c r="AK48" i="6"/>
  <c r="AS157" i="6"/>
  <c r="AS183" i="6" s="1"/>
  <c r="AS185" i="6" s="1"/>
  <c r="AS48" i="6"/>
  <c r="AM157" i="6"/>
  <c r="AM183" i="6" s="1"/>
  <c r="AM185" i="6" s="1"/>
  <c r="AM48" i="6"/>
  <c r="AT157" i="6"/>
  <c r="AT183" i="6" s="1"/>
  <c r="AT185" i="6" s="1"/>
  <c r="AT48" i="6"/>
  <c r="AJ157" i="6"/>
  <c r="AJ183" i="6" s="1"/>
  <c r="AJ185" i="6" s="1"/>
  <c r="AJ48" i="6"/>
  <c r="AU157" i="6"/>
  <c r="AU183" i="6" s="1"/>
  <c r="AU185" i="6" s="1"/>
  <c r="AU48" i="6"/>
  <c r="AI157" i="6"/>
  <c r="AI183" i="6" s="1"/>
  <c r="AI185" i="6" s="1"/>
  <c r="AI48" i="6"/>
  <c r="AH157" i="6"/>
  <c r="AH183" i="6" s="1"/>
  <c r="AH185" i="6" s="1"/>
  <c r="AH48" i="6"/>
  <c r="AG157" i="6"/>
  <c r="AG183" i="6" s="1"/>
  <c r="AG185" i="6" s="1"/>
  <c r="AG48" i="6"/>
  <c r="AE58" i="6"/>
  <c r="AA58" i="6"/>
  <c r="W58" i="6"/>
  <c r="Z58" i="6"/>
  <c r="AB58" i="6"/>
  <c r="AD58" i="6"/>
  <c r="AH58" i="6"/>
  <c r="AI58" i="6"/>
  <c r="AC58" i="6"/>
  <c r="X58" i="6"/>
  <c r="AF58" i="6"/>
  <c r="AG40" i="6"/>
  <c r="AG39" i="6" s="1"/>
  <c r="Y58" i="6"/>
  <c r="AG58" i="6"/>
  <c r="U58" i="6"/>
  <c r="V58" i="6"/>
  <c r="AI40" i="6"/>
  <c r="AI39" i="6" s="1"/>
  <c r="BH106" i="5"/>
  <c r="BJ106" i="5"/>
  <c r="BJ144" i="5"/>
  <c r="AF69" i="6"/>
  <c r="AG69" i="6"/>
  <c r="AF40" i="6"/>
  <c r="AF39" i="6" s="1"/>
  <c r="BI106" i="5"/>
  <c r="BG106" i="5"/>
  <c r="AI69" i="6"/>
  <c r="AE69" i="6"/>
  <c r="AH69" i="6"/>
  <c r="BH144" i="5"/>
  <c r="BI144" i="5"/>
  <c r="AC69" i="6"/>
  <c r="AA69" i="6"/>
  <c r="AB69" i="6"/>
  <c r="AD69" i="6"/>
  <c r="Z50" i="6"/>
  <c r="Y50" i="6"/>
  <c r="V50" i="6"/>
  <c r="AC50" i="6"/>
  <c r="AD50" i="6"/>
  <c r="AB50" i="6"/>
  <c r="T50" i="6"/>
  <c r="U48" i="6"/>
  <c r="U157" i="6"/>
  <c r="U158" i="6" s="1"/>
  <c r="BG156" i="5"/>
  <c r="AF50" i="6" s="1"/>
  <c r="BG144" i="5"/>
  <c r="AF49" i="6" s="1"/>
  <c r="BF144" i="5"/>
  <c r="AE49" i="6" s="1"/>
  <c r="BF156" i="5"/>
  <c r="AE50" i="6" s="1"/>
  <c r="BE144" i="5"/>
  <c r="AD49" i="6" s="1"/>
  <c r="AF157" i="6"/>
  <c r="AF193" i="6" s="1"/>
  <c r="AF195" i="6" s="1"/>
  <c r="AB157" i="6"/>
  <c r="AB213" i="6" s="1"/>
  <c r="AB215" i="6" s="1"/>
  <c r="V157" i="6"/>
  <c r="V158" i="6" s="1"/>
  <c r="T37" i="6"/>
  <c r="BA144" i="5"/>
  <c r="Z49" i="6" s="1"/>
  <c r="BB144" i="5"/>
  <c r="AA49" i="6" s="1"/>
  <c r="BB156" i="5"/>
  <c r="AA50" i="6" s="1"/>
  <c r="BD144" i="5"/>
  <c r="AC49" i="6" s="1"/>
  <c r="BC144" i="5"/>
  <c r="AB49" i="6" s="1"/>
  <c r="AY156" i="5"/>
  <c r="X50" i="6" s="1"/>
  <c r="AY144" i="5"/>
  <c r="X49" i="6" s="1"/>
  <c r="AZ144" i="5"/>
  <c r="Y49" i="6" s="1"/>
  <c r="AX156" i="5"/>
  <c r="W50" i="6" s="1"/>
  <c r="AX144" i="5"/>
  <c r="W49" i="6" s="1"/>
  <c r="AV144" i="5"/>
  <c r="AV156" i="5"/>
  <c r="AW144" i="5"/>
  <c r="V49" i="6" s="1"/>
  <c r="G54" i="5"/>
  <c r="G62" i="5"/>
  <c r="G70" i="5"/>
  <c r="G78" i="5"/>
  <c r="G86" i="5"/>
  <c r="G53" i="5"/>
  <c r="G61" i="5"/>
  <c r="G69" i="5"/>
  <c r="G77" i="5"/>
  <c r="G85" i="5"/>
  <c r="G52" i="5"/>
  <c r="G60" i="5"/>
  <c r="G68" i="5"/>
  <c r="G76" i="5"/>
  <c r="G84" i="5"/>
  <c r="G51" i="5"/>
  <c r="G59" i="5"/>
  <c r="G67" i="5"/>
  <c r="G75" i="5"/>
  <c r="G83" i="5"/>
  <c r="G50" i="5"/>
  <c r="G58" i="5"/>
  <c r="G66" i="5"/>
  <c r="G74" i="5"/>
  <c r="G82" i="5"/>
  <c r="G57" i="5"/>
  <c r="G65" i="5"/>
  <c r="G73" i="5"/>
  <c r="G81" i="5"/>
  <c r="G56" i="5"/>
  <c r="G64" i="5"/>
  <c r="G72" i="5"/>
  <c r="G80" i="5"/>
  <c r="G88" i="5"/>
  <c r="G55" i="5"/>
  <c r="G63" i="5"/>
  <c r="G71" i="5"/>
  <c r="G79" i="5"/>
  <c r="G87" i="5"/>
  <c r="H55" i="5"/>
  <c r="H63" i="5"/>
  <c r="H71" i="5"/>
  <c r="H79" i="5"/>
  <c r="H87" i="5"/>
  <c r="H54" i="5"/>
  <c r="H62" i="5"/>
  <c r="H70" i="5"/>
  <c r="H78" i="5"/>
  <c r="H86" i="5"/>
  <c r="H53" i="5"/>
  <c r="H61" i="5"/>
  <c r="H69" i="5"/>
  <c r="H77" i="5"/>
  <c r="H85" i="5"/>
  <c r="H52" i="5"/>
  <c r="H60" i="5"/>
  <c r="H68" i="5"/>
  <c r="H76" i="5"/>
  <c r="H84" i="5"/>
  <c r="H51" i="5"/>
  <c r="H59" i="5"/>
  <c r="H67" i="5"/>
  <c r="H75" i="5"/>
  <c r="H83" i="5"/>
  <c r="H50" i="5"/>
  <c r="H58" i="5"/>
  <c r="H66" i="5"/>
  <c r="H74" i="5"/>
  <c r="H82" i="5"/>
  <c r="H57" i="5"/>
  <c r="H65" i="5"/>
  <c r="H73" i="5"/>
  <c r="H81" i="5"/>
  <c r="H56" i="5"/>
  <c r="H64" i="5"/>
  <c r="H72" i="5"/>
  <c r="H80" i="5"/>
  <c r="H88" i="5"/>
  <c r="F39" i="5"/>
  <c r="F53" i="5"/>
  <c r="F61" i="5"/>
  <c r="F69" i="5"/>
  <c r="F77" i="5"/>
  <c r="F85" i="5"/>
  <c r="F52" i="5"/>
  <c r="F60" i="5"/>
  <c r="F68" i="5"/>
  <c r="F76" i="5"/>
  <c r="F84" i="5"/>
  <c r="F51" i="5"/>
  <c r="F59" i="5"/>
  <c r="F67" i="5"/>
  <c r="F75" i="5"/>
  <c r="F83" i="5"/>
  <c r="F50" i="5"/>
  <c r="F58" i="5"/>
  <c r="F66" i="5"/>
  <c r="F74" i="5"/>
  <c r="F82" i="5"/>
  <c r="F57" i="5"/>
  <c r="F65" i="5"/>
  <c r="F73" i="5"/>
  <c r="F81" i="5"/>
  <c r="F56" i="5"/>
  <c r="F64" i="5"/>
  <c r="F72" i="5"/>
  <c r="F80" i="5"/>
  <c r="F88" i="5"/>
  <c r="F55" i="5"/>
  <c r="F63" i="5"/>
  <c r="F71" i="5"/>
  <c r="F79" i="5"/>
  <c r="F87" i="5"/>
  <c r="F54" i="5"/>
  <c r="F62" i="5"/>
  <c r="F70" i="5"/>
  <c r="F78" i="5"/>
  <c r="F86" i="5"/>
  <c r="E52" i="5"/>
  <c r="E60" i="5"/>
  <c r="E68" i="5"/>
  <c r="E76" i="5"/>
  <c r="E84" i="5"/>
  <c r="E51" i="5"/>
  <c r="E59" i="5"/>
  <c r="E67" i="5"/>
  <c r="E75" i="5"/>
  <c r="E83" i="5"/>
  <c r="E50" i="5"/>
  <c r="E58" i="5"/>
  <c r="E66" i="5"/>
  <c r="E74" i="5"/>
  <c r="E82" i="5"/>
  <c r="E57" i="5"/>
  <c r="E65" i="5"/>
  <c r="E73" i="5"/>
  <c r="E81" i="5"/>
  <c r="E56" i="5"/>
  <c r="E64" i="5"/>
  <c r="E72" i="5"/>
  <c r="E80" i="5"/>
  <c r="E88" i="5"/>
  <c r="E55" i="5"/>
  <c r="E63" i="5"/>
  <c r="E71" i="5"/>
  <c r="E79" i="5"/>
  <c r="E87" i="5"/>
  <c r="E54" i="5"/>
  <c r="E62" i="5"/>
  <c r="E70" i="5"/>
  <c r="E78" i="5"/>
  <c r="E86" i="5"/>
  <c r="E53" i="5"/>
  <c r="E61" i="5"/>
  <c r="E69" i="5"/>
  <c r="E77" i="5"/>
  <c r="E85" i="5"/>
  <c r="E39" i="5"/>
  <c r="I56" i="5"/>
  <c r="I64" i="5"/>
  <c r="I72" i="5"/>
  <c r="I80" i="5"/>
  <c r="I88" i="5"/>
  <c r="I55" i="5"/>
  <c r="I63" i="5"/>
  <c r="I71" i="5"/>
  <c r="I79" i="5"/>
  <c r="I87" i="5"/>
  <c r="I54" i="5"/>
  <c r="I62" i="5"/>
  <c r="I70" i="5"/>
  <c r="I78" i="5"/>
  <c r="I86" i="5"/>
  <c r="I53" i="5"/>
  <c r="I61" i="5"/>
  <c r="I69" i="5"/>
  <c r="I77" i="5"/>
  <c r="I85" i="5"/>
  <c r="I52" i="5"/>
  <c r="I60" i="5"/>
  <c r="I68" i="5"/>
  <c r="I76" i="5"/>
  <c r="I84" i="5"/>
  <c r="I51" i="5"/>
  <c r="I59" i="5"/>
  <c r="I67" i="5"/>
  <c r="I75" i="5"/>
  <c r="I83" i="5"/>
  <c r="I50" i="5"/>
  <c r="I58" i="5"/>
  <c r="I66" i="5"/>
  <c r="I74" i="5"/>
  <c r="I82" i="5"/>
  <c r="I57" i="5"/>
  <c r="I65" i="5"/>
  <c r="I73" i="5"/>
  <c r="I81" i="5"/>
  <c r="J57" i="5"/>
  <c r="J65" i="5"/>
  <c r="J73" i="5"/>
  <c r="J81" i="5"/>
  <c r="J56" i="5"/>
  <c r="J64" i="5"/>
  <c r="J72" i="5"/>
  <c r="J80" i="5"/>
  <c r="J88" i="5"/>
  <c r="J55" i="5"/>
  <c r="J63" i="5"/>
  <c r="J71" i="5"/>
  <c r="J79" i="5"/>
  <c r="J87" i="5"/>
  <c r="J54" i="5"/>
  <c r="J62" i="5"/>
  <c r="J70" i="5"/>
  <c r="J78" i="5"/>
  <c r="J86" i="5"/>
  <c r="J53" i="5"/>
  <c r="J61" i="5"/>
  <c r="J69" i="5"/>
  <c r="J77" i="5"/>
  <c r="J85" i="5"/>
  <c r="J52" i="5"/>
  <c r="J60" i="5"/>
  <c r="J68" i="5"/>
  <c r="J76" i="5"/>
  <c r="J84" i="5"/>
  <c r="J51" i="5"/>
  <c r="J59" i="5"/>
  <c r="J67" i="5"/>
  <c r="J75" i="5"/>
  <c r="J83" i="5"/>
  <c r="J50" i="5"/>
  <c r="J58" i="5"/>
  <c r="J66" i="5"/>
  <c r="J74" i="5"/>
  <c r="J82" i="5"/>
  <c r="H45" i="5"/>
  <c r="H49" i="5"/>
  <c r="H44" i="5"/>
  <c r="H48" i="5"/>
  <c r="H47" i="5"/>
  <c r="H43" i="5"/>
  <c r="H41" i="5"/>
  <c r="H40" i="5"/>
  <c r="H46" i="5"/>
  <c r="H42" i="5"/>
  <c r="E42" i="5"/>
  <c r="E46" i="5"/>
  <c r="E44" i="5"/>
  <c r="E41" i="5"/>
  <c r="E49" i="5"/>
  <c r="E45" i="5"/>
  <c r="E40" i="5"/>
  <c r="E48" i="5"/>
  <c r="E47" i="5"/>
  <c r="E43" i="5"/>
  <c r="J47" i="5"/>
  <c r="J46" i="5"/>
  <c r="J43" i="5"/>
  <c r="J42" i="5"/>
  <c r="J49" i="5"/>
  <c r="J45" i="5"/>
  <c r="J48" i="5"/>
  <c r="J44" i="5"/>
  <c r="J41" i="5"/>
  <c r="J40" i="5"/>
  <c r="F43" i="5"/>
  <c r="F42" i="5"/>
  <c r="F41" i="5"/>
  <c r="F49" i="5"/>
  <c r="F47" i="5"/>
  <c r="F46" i="5"/>
  <c r="F45" i="5"/>
  <c r="F44" i="5"/>
  <c r="F40" i="5"/>
  <c r="F48" i="5"/>
  <c r="G44" i="5"/>
  <c r="G43" i="5"/>
  <c r="G42" i="5"/>
  <c r="G41" i="5"/>
  <c r="G49" i="5"/>
  <c r="G40" i="5"/>
  <c r="G48" i="5"/>
  <c r="G47" i="5"/>
  <c r="G46" i="5"/>
  <c r="G45" i="5"/>
  <c r="I46" i="5"/>
  <c r="I42" i="5"/>
  <c r="I49" i="5"/>
  <c r="I45" i="5"/>
  <c r="I40" i="5"/>
  <c r="I44" i="5"/>
  <c r="I48" i="5"/>
  <c r="I43" i="5"/>
  <c r="I41" i="5"/>
  <c r="I47" i="5"/>
  <c r="G32" i="5"/>
  <c r="G29" i="5"/>
  <c r="G34" i="5"/>
  <c r="G31" i="5"/>
  <c r="G33" i="5"/>
  <c r="G30" i="5"/>
  <c r="G35" i="5"/>
  <c r="G36" i="5"/>
  <c r="G37" i="5"/>
  <c r="H32" i="5"/>
  <c r="H29" i="5"/>
  <c r="H34" i="5"/>
  <c r="H31" i="5"/>
  <c r="H33" i="5"/>
  <c r="H30" i="5"/>
  <c r="H37" i="5"/>
  <c r="H36" i="5"/>
  <c r="H35" i="5"/>
  <c r="F29" i="5"/>
  <c r="F34" i="5"/>
  <c r="F31" i="5"/>
  <c r="F33" i="5"/>
  <c r="F30" i="5"/>
  <c r="F32" i="5"/>
  <c r="F35" i="5"/>
  <c r="F37" i="5"/>
  <c r="F36" i="5"/>
  <c r="E34" i="5"/>
  <c r="E31" i="5"/>
  <c r="E33" i="5"/>
  <c r="E30" i="5"/>
  <c r="E32" i="5"/>
  <c r="E29" i="5"/>
  <c r="E37" i="5"/>
  <c r="E36" i="5"/>
  <c r="I30" i="5"/>
  <c r="I32" i="5"/>
  <c r="I29" i="5"/>
  <c r="I34" i="5"/>
  <c r="I31" i="5"/>
  <c r="I33" i="5"/>
  <c r="I35" i="5"/>
  <c r="I36" i="5"/>
  <c r="I37" i="5"/>
  <c r="J33" i="5"/>
  <c r="J30" i="5"/>
  <c r="J32" i="5"/>
  <c r="J29" i="5"/>
  <c r="J34" i="5"/>
  <c r="J31" i="5"/>
  <c r="J37" i="5"/>
  <c r="J36" i="5"/>
  <c r="J35" i="5"/>
  <c r="G28" i="5"/>
  <c r="H28" i="5"/>
  <c r="F28" i="5"/>
  <c r="E28" i="5"/>
  <c r="I28" i="5"/>
  <c r="J28" i="5"/>
  <c r="AA39" i="6"/>
  <c r="V37" i="6"/>
  <c r="AB37" i="6"/>
  <c r="AC37" i="6"/>
  <c r="AC157" i="6"/>
  <c r="Y37" i="6"/>
  <c r="Y157" i="6"/>
  <c r="Y158" i="6" s="1"/>
  <c r="U37" i="6"/>
  <c r="W37" i="6"/>
  <c r="W157" i="6"/>
  <c r="W158" i="6" s="1"/>
  <c r="AA37" i="6"/>
  <c r="AA157" i="6"/>
  <c r="AE37" i="6"/>
  <c r="AE157" i="6"/>
  <c r="X37" i="6"/>
  <c r="X157" i="6"/>
  <c r="X158" i="6" s="1"/>
  <c r="AD37" i="6"/>
  <c r="AD157" i="6"/>
  <c r="Z37" i="6"/>
  <c r="Z157" i="6"/>
  <c r="Z158" i="6" s="1"/>
  <c r="AH37" i="6"/>
  <c r="AW37" i="6"/>
  <c r="AV37" i="6"/>
  <c r="AL37" i="6"/>
  <c r="AM37" i="6"/>
  <c r="AU37" i="6"/>
  <c r="AR37" i="6"/>
  <c r="AF37" i="6"/>
  <c r="AS37" i="6"/>
  <c r="AN37" i="6"/>
  <c r="AT37" i="6"/>
  <c r="AK37" i="6"/>
  <c r="AG37" i="6"/>
  <c r="AQ37" i="6"/>
  <c r="AO37" i="6"/>
  <c r="AI37" i="6"/>
  <c r="AP37" i="6"/>
  <c r="AJ37" i="6"/>
  <c r="AU144" i="5"/>
  <c r="T49" i="6" s="1"/>
  <c r="D181" i="6"/>
  <c r="C165" i="6"/>
  <c r="D165" i="6"/>
  <c r="C180" i="6"/>
  <c r="D175" i="6"/>
  <c r="C175" i="6"/>
  <c r="E176" i="6"/>
  <c r="D176" i="6" s="1"/>
  <c r="D166" i="6"/>
  <c r="D171" i="6"/>
  <c r="D180" i="6"/>
  <c r="C170" i="6"/>
  <c r="D170" i="6"/>
  <c r="C160" i="6"/>
  <c r="D160" i="6"/>
  <c r="AP203" i="6" l="1"/>
  <c r="AP205" i="6" s="1"/>
  <c r="AN253" i="6"/>
  <c r="AN255" i="6" s="1"/>
  <c r="AU178" i="6"/>
  <c r="AU179" i="6" s="1"/>
  <c r="AK158" i="6"/>
  <c r="AK160" i="6" s="1"/>
  <c r="AK38" i="6" s="1"/>
  <c r="AQ208" i="6"/>
  <c r="AQ210" i="6" s="1"/>
  <c r="AJ158" i="6"/>
  <c r="AJ159" i="6" s="1"/>
  <c r="AP178" i="6"/>
  <c r="AP179" i="6" s="1"/>
  <c r="AP193" i="6"/>
  <c r="AP195" i="6" s="1"/>
  <c r="AN208" i="6"/>
  <c r="AN210" i="6" s="1"/>
  <c r="AU163" i="6"/>
  <c r="AU167" i="6" s="1"/>
  <c r="AG158" i="6"/>
  <c r="AG159" i="6" s="1"/>
  <c r="AS233" i="6"/>
  <c r="AS235" i="6" s="1"/>
  <c r="AK178" i="6"/>
  <c r="AK179" i="6" s="1"/>
  <c r="AG178" i="6"/>
  <c r="AG179" i="6" s="1"/>
  <c r="AQ178" i="6"/>
  <c r="AQ181" i="6" s="1"/>
  <c r="AK168" i="6"/>
  <c r="AK169" i="6" s="1"/>
  <c r="AN188" i="6"/>
  <c r="AN190" i="6" s="1"/>
  <c r="AN163" i="6"/>
  <c r="AN164" i="6" s="1"/>
  <c r="AJ163" i="6"/>
  <c r="AJ165" i="6" s="1"/>
  <c r="AG163" i="6"/>
  <c r="AG164" i="6" s="1"/>
  <c r="AK198" i="6"/>
  <c r="AK200" i="6" s="1"/>
  <c r="AQ173" i="6"/>
  <c r="AQ175" i="6" s="1"/>
  <c r="AK203" i="6"/>
  <c r="AK205" i="6" s="1"/>
  <c r="AJ173" i="6"/>
  <c r="AJ174" i="6" s="1"/>
  <c r="AQ158" i="6"/>
  <c r="AQ160" i="6" s="1"/>
  <c r="AJ188" i="6"/>
  <c r="AJ190" i="6" s="1"/>
  <c r="AJ213" i="6"/>
  <c r="AJ215" i="6" s="1"/>
  <c r="AQ184" i="6"/>
  <c r="AN173" i="6"/>
  <c r="AN174" i="6" s="1"/>
  <c r="AN248" i="6"/>
  <c r="AN250" i="6" s="1"/>
  <c r="AO168" i="6"/>
  <c r="AO169" i="6" s="1"/>
  <c r="AW158" i="6"/>
  <c r="AW159" i="6" s="1"/>
  <c r="AM168" i="6"/>
  <c r="AM169" i="6" s="1"/>
  <c r="AP168" i="6"/>
  <c r="AP169" i="6" s="1"/>
  <c r="AV198" i="6"/>
  <c r="AV200" i="6" s="1"/>
  <c r="AS168" i="6"/>
  <c r="AS172" i="6" s="1"/>
  <c r="AJ223" i="6"/>
  <c r="AJ225" i="6" s="1"/>
  <c r="AS158" i="6"/>
  <c r="AS161" i="6" s="1"/>
  <c r="AV228" i="6"/>
  <c r="AV230" i="6" s="1"/>
  <c r="AV163" i="6"/>
  <c r="AV166" i="6" s="1"/>
  <c r="AW178" i="6"/>
  <c r="AW182" i="6" s="1"/>
  <c r="AO178" i="6"/>
  <c r="AO179" i="6" s="1"/>
  <c r="AW233" i="6"/>
  <c r="AW235" i="6" s="1"/>
  <c r="AU208" i="6"/>
  <c r="AU210" i="6" s="1"/>
  <c r="AU238" i="6"/>
  <c r="AU240" i="6" s="1"/>
  <c r="AO193" i="6"/>
  <c r="AO195" i="6" s="1"/>
  <c r="AS173" i="6"/>
  <c r="AS175" i="6" s="1"/>
  <c r="AU173" i="6"/>
  <c r="AU175" i="6" s="1"/>
  <c r="AP188" i="6"/>
  <c r="AP190" i="6" s="1"/>
  <c r="AV203" i="6"/>
  <c r="AV205" i="6" s="1"/>
  <c r="AS203" i="6"/>
  <c r="AS205" i="6" s="1"/>
  <c r="AS238" i="6"/>
  <c r="AS240" i="6" s="1"/>
  <c r="AP253" i="6"/>
  <c r="AP255" i="6" s="1"/>
  <c r="AS243" i="6"/>
  <c r="AS245" i="6" s="1"/>
  <c r="AV173" i="6"/>
  <c r="AV177" i="6" s="1"/>
  <c r="AS178" i="6"/>
  <c r="AS181" i="6" s="1"/>
  <c r="AV168" i="6"/>
  <c r="AV171" i="6" s="1"/>
  <c r="AP198" i="6"/>
  <c r="AP200" i="6" s="1"/>
  <c r="AV208" i="6"/>
  <c r="AV210" i="6" s="1"/>
  <c r="AS208" i="6"/>
  <c r="AS210" i="6" s="1"/>
  <c r="AS253" i="6"/>
  <c r="AS255" i="6" s="1"/>
  <c r="AP248" i="6"/>
  <c r="AP250" i="6" s="1"/>
  <c r="AP186" i="6"/>
  <c r="AS163" i="6"/>
  <c r="AS165" i="6" s="1"/>
  <c r="AW168" i="6"/>
  <c r="AW170" i="6" s="1"/>
  <c r="AP173" i="6"/>
  <c r="AP174" i="6" s="1"/>
  <c r="AP208" i="6"/>
  <c r="AP210" i="6" s="1"/>
  <c r="AO198" i="6"/>
  <c r="AO200" i="6" s="1"/>
  <c r="AV253" i="6"/>
  <c r="AV255" i="6" s="1"/>
  <c r="AV186" i="6"/>
  <c r="AV178" i="6"/>
  <c r="AV179" i="6" s="1"/>
  <c r="AW163" i="6"/>
  <c r="AW166" i="6" s="1"/>
  <c r="AO173" i="6"/>
  <c r="AO174" i="6" s="1"/>
  <c r="AP163" i="6"/>
  <c r="AP165" i="6" s="1"/>
  <c r="AU168" i="6"/>
  <c r="AU172" i="6" s="1"/>
  <c r="AM173" i="6"/>
  <c r="AM174" i="6" s="1"/>
  <c r="AV193" i="6"/>
  <c r="AV195" i="6" s="1"/>
  <c r="AW203" i="6"/>
  <c r="AW205" i="6" s="1"/>
  <c r="AV158" i="6"/>
  <c r="AV162" i="6" s="1"/>
  <c r="AO158" i="6"/>
  <c r="AO159" i="6" s="1"/>
  <c r="AP158" i="6"/>
  <c r="AP159" i="6" s="1"/>
  <c r="AU158" i="6"/>
  <c r="AU159" i="6" s="1"/>
  <c r="AV188" i="6"/>
  <c r="AV190" i="6" s="1"/>
  <c r="AO223" i="6"/>
  <c r="AO225" i="6" s="1"/>
  <c r="AU228" i="6"/>
  <c r="AU230" i="6" s="1"/>
  <c r="AG223" i="6"/>
  <c r="AG225" i="6" s="1"/>
  <c r="AK243" i="6"/>
  <c r="AK245" i="6" s="1"/>
  <c r="AU243" i="6"/>
  <c r="AU245" i="6" s="1"/>
  <c r="AK163" i="6"/>
  <c r="AK164" i="6" s="1"/>
  <c r="AN158" i="6"/>
  <c r="AN159" i="6" s="1"/>
  <c r="AG168" i="6"/>
  <c r="AG169" i="6" s="1"/>
  <c r="AN193" i="6"/>
  <c r="AN195" i="6" s="1"/>
  <c r="AK208" i="6"/>
  <c r="AK210" i="6" s="1"/>
  <c r="AQ193" i="6"/>
  <c r="AQ195" i="6" s="1"/>
  <c r="AN223" i="6"/>
  <c r="AN225" i="6" s="1"/>
  <c r="AJ248" i="6"/>
  <c r="AJ250" i="6" s="1"/>
  <c r="AG248" i="6"/>
  <c r="AG250" i="6" s="1"/>
  <c r="AQ168" i="6"/>
  <c r="AQ172" i="6" s="1"/>
  <c r="AK233" i="6"/>
  <c r="AK235" i="6" s="1"/>
  <c r="AJ178" i="6"/>
  <c r="AJ179" i="6" s="1"/>
  <c r="AN168" i="6"/>
  <c r="AN169" i="6" s="1"/>
  <c r="AN198" i="6"/>
  <c r="AN200" i="6" s="1"/>
  <c r="AJ168" i="6"/>
  <c r="AJ170" i="6" s="1"/>
  <c r="AQ163" i="6"/>
  <c r="AQ164" i="6" s="1"/>
  <c r="AN203" i="6"/>
  <c r="AN205" i="6" s="1"/>
  <c r="AK228" i="6"/>
  <c r="AK230" i="6" s="1"/>
  <c r="AK173" i="6"/>
  <c r="AK174" i="6" s="1"/>
  <c r="AN178" i="6"/>
  <c r="AN179" i="6" s="1"/>
  <c r="AG173" i="6"/>
  <c r="AG175" i="6" s="1"/>
  <c r="AK188" i="6"/>
  <c r="AK190" i="6" s="1"/>
  <c r="AQ188" i="6"/>
  <c r="AQ190" i="6" s="1"/>
  <c r="AN218" i="6"/>
  <c r="AN220" i="6" s="1"/>
  <c r="AJ218" i="6"/>
  <c r="AJ220" i="6" s="1"/>
  <c r="AQ253" i="6"/>
  <c r="AQ255" i="6" s="1"/>
  <c r="AH193" i="6"/>
  <c r="AH195" i="6" s="1"/>
  <c r="AT158" i="6"/>
  <c r="AT162" i="6" s="1"/>
  <c r="AI198" i="6"/>
  <c r="AI200" i="6" s="1"/>
  <c r="AL198" i="6"/>
  <c r="AL200" i="6" s="1"/>
  <c r="AL228" i="6"/>
  <c r="AL230" i="6" s="1"/>
  <c r="AI163" i="6"/>
  <c r="AI165" i="6" s="1"/>
  <c r="AM193" i="6"/>
  <c r="AM195" i="6" s="1"/>
  <c r="AM208" i="6"/>
  <c r="AM210" i="6" s="1"/>
  <c r="AK218" i="6"/>
  <c r="AK220" i="6" s="1"/>
  <c r="AT233" i="6"/>
  <c r="AT235" i="6" s="1"/>
  <c r="AG228" i="6"/>
  <c r="AG230" i="6" s="1"/>
  <c r="AN184" i="6"/>
  <c r="AR173" i="6"/>
  <c r="AR176" i="6" s="1"/>
  <c r="AJ208" i="6"/>
  <c r="AJ210" i="6" s="1"/>
  <c r="AG193" i="6"/>
  <c r="AG195" i="6" s="1"/>
  <c r="AQ198" i="6"/>
  <c r="AQ200" i="6" s="1"/>
  <c r="AK253" i="6"/>
  <c r="AK255" i="6" s="1"/>
  <c r="AT238" i="6"/>
  <c r="AT240" i="6" s="1"/>
  <c r="AQ223" i="6"/>
  <c r="AQ225" i="6" s="1"/>
  <c r="AG238" i="6"/>
  <c r="AG240" i="6" s="1"/>
  <c r="AQ243" i="6"/>
  <c r="AQ244" i="6" s="1"/>
  <c r="AN186" i="6"/>
  <c r="AR168" i="6"/>
  <c r="AR169" i="6" s="1"/>
  <c r="AL158" i="6"/>
  <c r="AL160" i="6" s="1"/>
  <c r="AJ198" i="6"/>
  <c r="AJ200" i="6" s="1"/>
  <c r="AG198" i="6"/>
  <c r="AG200" i="6" s="1"/>
  <c r="AQ218" i="6"/>
  <c r="AQ220" i="6" s="1"/>
  <c r="AG253" i="6"/>
  <c r="AG255" i="6" s="1"/>
  <c r="AN187" i="6"/>
  <c r="AH178" i="6"/>
  <c r="AH179" i="6" s="1"/>
  <c r="AL178" i="6"/>
  <c r="AL179" i="6" s="1"/>
  <c r="AJ193" i="6"/>
  <c r="AJ195" i="6" s="1"/>
  <c r="AG188" i="6"/>
  <c r="AG190" i="6" s="1"/>
  <c r="AJ228" i="6"/>
  <c r="AJ230" i="6" s="1"/>
  <c r="AQ238" i="6"/>
  <c r="AQ240" i="6" s="1"/>
  <c r="AG213" i="6"/>
  <c r="AG215" i="6" s="1"/>
  <c r="AH158" i="6"/>
  <c r="AH159" i="6" s="1"/>
  <c r="AG208" i="6"/>
  <c r="AG210" i="6" s="1"/>
  <c r="AJ238" i="6"/>
  <c r="AJ240" i="6" s="1"/>
  <c r="AQ228" i="6"/>
  <c r="AQ230" i="6" s="1"/>
  <c r="AT184" i="6"/>
  <c r="AM213" i="6"/>
  <c r="AM215" i="6" s="1"/>
  <c r="AM186" i="6"/>
  <c r="AM253" i="6"/>
  <c r="AM255" i="6" s="1"/>
  <c r="AM184" i="6"/>
  <c r="AW208" i="6"/>
  <c r="AW210" i="6" s="1"/>
  <c r="AL186" i="6"/>
  <c r="AR178" i="6"/>
  <c r="AR179" i="6" s="1"/>
  <c r="AT178" i="6"/>
  <c r="AT179" i="6" s="1"/>
  <c r="AL193" i="6"/>
  <c r="AL195" i="6" s="1"/>
  <c r="AH188" i="6"/>
  <c r="AH190" i="6" s="1"/>
  <c r="AW248" i="6"/>
  <c r="AW250" i="6" s="1"/>
  <c r="AR233" i="6"/>
  <c r="AR235" i="6" s="1"/>
  <c r="AH223" i="6"/>
  <c r="AH225" i="6" s="1"/>
  <c r="AH173" i="6"/>
  <c r="AH174" i="6" s="1"/>
  <c r="AO228" i="6"/>
  <c r="AO230" i="6" s="1"/>
  <c r="AI238" i="6"/>
  <c r="AI240" i="6" s="1"/>
  <c r="AW213" i="6"/>
  <c r="AW215" i="6" s="1"/>
  <c r="AO186" i="6"/>
  <c r="AH168" i="6"/>
  <c r="AH169" i="6" s="1"/>
  <c r="AT198" i="6"/>
  <c r="AT200" i="6" s="1"/>
  <c r="AR198" i="6"/>
  <c r="AR200" i="6" s="1"/>
  <c r="AI218" i="6"/>
  <c r="AI220" i="6" s="1"/>
  <c r="AM238" i="6"/>
  <c r="AM240" i="6" s="1"/>
  <c r="AR243" i="6"/>
  <c r="AR244" i="6" s="1"/>
  <c r="AO213" i="6"/>
  <c r="AO215" i="6" s="1"/>
  <c r="AH163" i="6"/>
  <c r="AH164" i="6" s="1"/>
  <c r="AL173" i="6"/>
  <c r="AL175" i="6" s="1"/>
  <c r="AI173" i="6"/>
  <c r="AI174" i="6" s="1"/>
  <c r="AI188" i="6"/>
  <c r="AI190" i="6" s="1"/>
  <c r="AR203" i="6"/>
  <c r="AR205" i="6" s="1"/>
  <c r="AI233" i="6"/>
  <c r="AI235" i="6" s="1"/>
  <c r="AM223" i="6"/>
  <c r="AM225" i="6" s="1"/>
  <c r="AI243" i="6"/>
  <c r="AI245" i="6" s="1"/>
  <c r="AW184" i="6"/>
  <c r="AW173" i="6"/>
  <c r="AW175" i="6" s="1"/>
  <c r="AO163" i="6"/>
  <c r="AO164" i="6" s="1"/>
  <c r="AM163" i="6"/>
  <c r="AM164" i="6" s="1"/>
  <c r="AI178" i="6"/>
  <c r="AI179" i="6" s="1"/>
  <c r="AM188" i="6"/>
  <c r="AM190" i="6" s="1"/>
  <c r="AW188" i="6"/>
  <c r="AW190" i="6" s="1"/>
  <c r="AO233" i="6"/>
  <c r="AO235" i="6" s="1"/>
  <c r="AW218" i="6"/>
  <c r="AW220" i="6" s="1"/>
  <c r="AU233" i="6"/>
  <c r="AU235" i="6" s="1"/>
  <c r="AI248" i="6"/>
  <c r="AI250" i="6" s="1"/>
  <c r="AM228" i="6"/>
  <c r="AM230" i="6" s="1"/>
  <c r="AM243" i="6"/>
  <c r="AM245" i="6" s="1"/>
  <c r="AO243" i="6"/>
  <c r="AO246" i="6" s="1"/>
  <c r="AU186" i="6"/>
  <c r="AS187" i="6"/>
  <c r="AM178" i="6"/>
  <c r="AM179" i="6" s="1"/>
  <c r="AI168" i="6"/>
  <c r="AI169" i="6" s="1"/>
  <c r="AM203" i="6"/>
  <c r="AM205" i="6" s="1"/>
  <c r="AW198" i="6"/>
  <c r="AW200" i="6" s="1"/>
  <c r="AO248" i="6"/>
  <c r="AO250" i="6" s="1"/>
  <c r="AW223" i="6"/>
  <c r="AW225" i="6" s="1"/>
  <c r="AU248" i="6"/>
  <c r="AU250" i="6" s="1"/>
  <c r="AI253" i="6"/>
  <c r="AI255" i="6" s="1"/>
  <c r="AV218" i="6"/>
  <c r="AV220" i="6" s="1"/>
  <c r="AM248" i="6"/>
  <c r="AM250" i="6" s="1"/>
  <c r="AS213" i="6"/>
  <c r="AS215" i="6" s="1"/>
  <c r="AU184" i="6"/>
  <c r="AM158" i="6"/>
  <c r="AM159" i="6" s="1"/>
  <c r="AI158" i="6"/>
  <c r="AI159" i="6" s="1"/>
  <c r="AI193" i="6"/>
  <c r="AI195" i="6" s="1"/>
  <c r="AU193" i="6"/>
  <c r="AU195" i="6" s="1"/>
  <c r="AM198" i="6"/>
  <c r="AM200" i="6" s="1"/>
  <c r="AO203" i="6"/>
  <c r="AO205" i="6" s="1"/>
  <c r="AO253" i="6"/>
  <c r="AO255" i="6" s="1"/>
  <c r="AW238" i="6"/>
  <c r="AW240" i="6" s="1"/>
  <c r="AU253" i="6"/>
  <c r="AU255" i="6" s="1"/>
  <c r="AP223" i="6"/>
  <c r="AP225" i="6" s="1"/>
  <c r="AV223" i="6"/>
  <c r="AV225" i="6" s="1"/>
  <c r="AM233" i="6"/>
  <c r="AM235" i="6" s="1"/>
  <c r="AI213" i="6"/>
  <c r="AI215" i="6" s="1"/>
  <c r="AM187" i="6"/>
  <c r="AW187" i="6"/>
  <c r="AI203" i="6"/>
  <c r="AI205" i="6" s="1"/>
  <c r="AS188" i="6"/>
  <c r="AS190" i="6" s="1"/>
  <c r="AO188" i="6"/>
  <c r="AO190" i="6" s="1"/>
  <c r="AO218" i="6"/>
  <c r="AO220" i="6" s="1"/>
  <c r="AS218" i="6"/>
  <c r="AS220" i="6" s="1"/>
  <c r="AW228" i="6"/>
  <c r="AW230" i="6" s="1"/>
  <c r="AI223" i="6"/>
  <c r="AI225" i="6" s="1"/>
  <c r="AP233" i="6"/>
  <c r="AP235" i="6" s="1"/>
  <c r="AV248" i="6"/>
  <c r="AV250" i="6" s="1"/>
  <c r="AP243" i="6"/>
  <c r="AP244" i="6" s="1"/>
  <c r="AW243" i="6"/>
  <c r="AW245" i="6" s="1"/>
  <c r="AI184" i="6"/>
  <c r="AO187" i="6"/>
  <c r="AW186" i="6"/>
  <c r="AI208" i="6"/>
  <c r="AI210" i="6" s="1"/>
  <c r="AO208" i="6"/>
  <c r="AO210" i="6" s="1"/>
  <c r="AW193" i="6"/>
  <c r="AW195" i="6" s="1"/>
  <c r="AO238" i="6"/>
  <c r="AO240" i="6" s="1"/>
  <c r="AW253" i="6"/>
  <c r="AW255" i="6" s="1"/>
  <c r="AI228" i="6"/>
  <c r="AI230" i="6" s="1"/>
  <c r="AM218" i="6"/>
  <c r="AM220" i="6" s="1"/>
  <c r="AV213" i="6"/>
  <c r="AV215" i="6" s="1"/>
  <c r="AP184" i="6"/>
  <c r="AO184" i="6"/>
  <c r="AR163" i="6"/>
  <c r="AR166" i="6" s="1"/>
  <c r="AT173" i="6"/>
  <c r="AT177" i="6" s="1"/>
  <c r="AR208" i="6"/>
  <c r="AR210" i="6" s="1"/>
  <c r="AL188" i="6"/>
  <c r="AL190" i="6" s="1"/>
  <c r="AR253" i="6"/>
  <c r="AR255" i="6" s="1"/>
  <c r="AH218" i="6"/>
  <c r="AH220" i="6" s="1"/>
  <c r="AL213" i="6"/>
  <c r="AL215" i="6" s="1"/>
  <c r="AR186" i="6"/>
  <c r="AL187" i="6"/>
  <c r="AR158" i="6"/>
  <c r="AR161" i="6" s="1"/>
  <c r="AT168" i="6"/>
  <c r="AT169" i="6" s="1"/>
  <c r="AL168" i="6"/>
  <c r="AL169" i="6" s="1"/>
  <c r="AT208" i="6"/>
  <c r="AT210" i="6" s="1"/>
  <c r="AU203" i="6"/>
  <c r="AU205" i="6" s="1"/>
  <c r="AR193" i="6"/>
  <c r="AR195" i="6" s="1"/>
  <c r="AS198" i="6"/>
  <c r="AS200" i="6" s="1"/>
  <c r="AL203" i="6"/>
  <c r="AL205" i="6" s="1"/>
  <c r="AH203" i="6"/>
  <c r="AH205" i="6" s="1"/>
  <c r="AS228" i="6"/>
  <c r="AS230" i="6" s="1"/>
  <c r="AN233" i="6"/>
  <c r="AN235" i="6" s="1"/>
  <c r="AK223" i="6"/>
  <c r="AK225" i="6" s="1"/>
  <c r="AJ233" i="6"/>
  <c r="AJ235" i="6" s="1"/>
  <c r="AT248" i="6"/>
  <c r="AT250" i="6" s="1"/>
  <c r="AR248" i="6"/>
  <c r="AR250" i="6" s="1"/>
  <c r="AP218" i="6"/>
  <c r="AP220" i="6" s="1"/>
  <c r="AH228" i="6"/>
  <c r="AH230" i="6" s="1"/>
  <c r="AL218" i="6"/>
  <c r="AL220" i="6" s="1"/>
  <c r="AV233" i="6"/>
  <c r="AV235" i="6" s="1"/>
  <c r="AQ248" i="6"/>
  <c r="AQ250" i="6" s="1"/>
  <c r="AJ243" i="6"/>
  <c r="AJ245" i="6" s="1"/>
  <c r="AL243" i="6"/>
  <c r="AL246" i="6" s="1"/>
  <c r="AN213" i="6"/>
  <c r="AN215" i="6" s="1"/>
  <c r="AR187" i="6"/>
  <c r="AQ186" i="6"/>
  <c r="AL184" i="6"/>
  <c r="AH198" i="6"/>
  <c r="AH200" i="6" s="1"/>
  <c r="AT218" i="6"/>
  <c r="AT220" i="6" s="1"/>
  <c r="AL223" i="6"/>
  <c r="AL225" i="6" s="1"/>
  <c r="AT163" i="6"/>
  <c r="AT164" i="6" s="1"/>
  <c r="AL163" i="6"/>
  <c r="AL164" i="6" s="1"/>
  <c r="AT188" i="6"/>
  <c r="AT190" i="6" s="1"/>
  <c r="AU188" i="6"/>
  <c r="AU190" i="6" s="1"/>
  <c r="AS193" i="6"/>
  <c r="AS195" i="6" s="1"/>
  <c r="AL208" i="6"/>
  <c r="AL210" i="6" s="1"/>
  <c r="AS223" i="6"/>
  <c r="AS225" i="6" s="1"/>
  <c r="AN228" i="6"/>
  <c r="AN230" i="6" s="1"/>
  <c r="AK248" i="6"/>
  <c r="AK250" i="6" s="1"/>
  <c r="AJ253" i="6"/>
  <c r="AJ255" i="6" s="1"/>
  <c r="AT253" i="6"/>
  <c r="AT255" i="6" s="1"/>
  <c r="AU218" i="6"/>
  <c r="AU220" i="6" s="1"/>
  <c r="AP228" i="6"/>
  <c r="AP230" i="6" s="1"/>
  <c r="AH238" i="6"/>
  <c r="AH240" i="6" s="1"/>
  <c r="AL238" i="6"/>
  <c r="AL240" i="6" s="1"/>
  <c r="AV238" i="6"/>
  <c r="AV240" i="6" s="1"/>
  <c r="AG218" i="6"/>
  <c r="AG220" i="6" s="1"/>
  <c r="AP213" i="6"/>
  <c r="AP215" i="6" s="1"/>
  <c r="AU213" i="6"/>
  <c r="AU215" i="6" s="1"/>
  <c r="AH243" i="6"/>
  <c r="AH244" i="6" s="1"/>
  <c r="AN243" i="6"/>
  <c r="AN245" i="6" s="1"/>
  <c r="AR184" i="6"/>
  <c r="AQ187" i="6"/>
  <c r="AV184" i="6"/>
  <c r="AR228" i="6"/>
  <c r="AR230" i="6" s="1"/>
  <c r="AH253" i="6"/>
  <c r="AH255" i="6" s="1"/>
  <c r="AL248" i="6"/>
  <c r="AL250" i="6" s="1"/>
  <c r="AK193" i="6"/>
  <c r="AK195" i="6" s="1"/>
  <c r="AT203" i="6"/>
  <c r="AT205" i="6" s="1"/>
  <c r="AJ203" i="6"/>
  <c r="AJ205" i="6" s="1"/>
  <c r="AU198" i="6"/>
  <c r="AU200" i="6" s="1"/>
  <c r="AG203" i="6"/>
  <c r="AG205" i="6" s="1"/>
  <c r="AQ203" i="6"/>
  <c r="AQ205" i="6" s="1"/>
  <c r="AS248" i="6"/>
  <c r="AS250" i="6" s="1"/>
  <c r="AN238" i="6"/>
  <c r="AN240" i="6" s="1"/>
  <c r="AK238" i="6"/>
  <c r="AK240" i="6" s="1"/>
  <c r="AT228" i="6"/>
  <c r="AT230" i="6" s="1"/>
  <c r="AR223" i="6"/>
  <c r="AR225" i="6" s="1"/>
  <c r="AU223" i="6"/>
  <c r="AU225" i="6" s="1"/>
  <c r="AP238" i="6"/>
  <c r="AP240" i="6" s="1"/>
  <c r="AH233" i="6"/>
  <c r="AH235" i="6" s="1"/>
  <c r="AL253" i="6"/>
  <c r="AL255" i="6" s="1"/>
  <c r="AQ233" i="6"/>
  <c r="AQ235" i="6" s="1"/>
  <c r="AG233" i="6"/>
  <c r="AG235" i="6" s="1"/>
  <c r="AT213" i="6"/>
  <c r="AT215" i="6" s="1"/>
  <c r="AK213" i="6"/>
  <c r="AK215" i="6" s="1"/>
  <c r="AQ213" i="6"/>
  <c r="AQ215" i="6" s="1"/>
  <c r="AV243" i="6"/>
  <c r="AV245" i="6" s="1"/>
  <c r="AG243" i="6"/>
  <c r="AG244" i="6" s="1"/>
  <c r="AP187" i="6"/>
  <c r="AV187" i="6"/>
  <c r="AT193" i="6"/>
  <c r="AT195" i="6" s="1"/>
  <c r="AR188" i="6"/>
  <c r="AR190" i="6" s="1"/>
  <c r="AH208" i="6"/>
  <c r="AH210" i="6" s="1"/>
  <c r="AT223" i="6"/>
  <c r="AT225" i="6" s="1"/>
  <c r="AR218" i="6"/>
  <c r="AR220" i="6" s="1"/>
  <c r="AH248" i="6"/>
  <c r="AH250" i="6" s="1"/>
  <c r="AT243" i="6"/>
  <c r="AT246" i="6" s="1"/>
  <c r="AT186" i="6"/>
  <c r="AR238" i="6"/>
  <c r="AR240" i="6" s="1"/>
  <c r="AL233" i="6"/>
  <c r="AL235" i="6" s="1"/>
  <c r="AR213" i="6"/>
  <c r="AR215" i="6" s="1"/>
  <c r="AT187" i="6"/>
  <c r="AL49" i="6"/>
  <c r="AL50" i="6"/>
  <c r="AM49" i="6"/>
  <c r="AM50" i="6"/>
  <c r="AO49" i="6"/>
  <c r="AO50" i="6"/>
  <c r="AW49" i="6"/>
  <c r="AW50" i="6"/>
  <c r="AR50" i="6"/>
  <c r="AR49" i="6"/>
  <c r="AT49" i="6"/>
  <c r="AT50" i="6"/>
  <c r="AS186" i="6"/>
  <c r="AJ184" i="6"/>
  <c r="AU49" i="6"/>
  <c r="AU50" i="6"/>
  <c r="AS50" i="6"/>
  <c r="AS49" i="6"/>
  <c r="AP50" i="6"/>
  <c r="AP49" i="6"/>
  <c r="AV49" i="6"/>
  <c r="AV50" i="6"/>
  <c r="AK184" i="6"/>
  <c r="AU187" i="6"/>
  <c r="AS184" i="6"/>
  <c r="AJ50" i="6"/>
  <c r="AJ49" i="6"/>
  <c r="AK49" i="6"/>
  <c r="AK50" i="6"/>
  <c r="AQ49" i="6"/>
  <c r="AQ50" i="6"/>
  <c r="AN49" i="6"/>
  <c r="AN50" i="6"/>
  <c r="AG184" i="6"/>
  <c r="AH213" i="6"/>
  <c r="AH215" i="6" s="1"/>
  <c r="AG50" i="6"/>
  <c r="AG49" i="6"/>
  <c r="AH49" i="6"/>
  <c r="AH50" i="6"/>
  <c r="AI50" i="6"/>
  <c r="AI49" i="6"/>
  <c r="AH184" i="6"/>
  <c r="AE121" i="6"/>
  <c r="AF121" i="6"/>
  <c r="AI121" i="6"/>
  <c r="AG121" i="6"/>
  <c r="AH121" i="6"/>
  <c r="AB121" i="6"/>
  <c r="AC121" i="6"/>
  <c r="AD121" i="6"/>
  <c r="AA121" i="6"/>
  <c r="AW38" i="6"/>
  <c r="AW42" i="6"/>
  <c r="AP38" i="6"/>
  <c r="AP42" i="6"/>
  <c r="AO38" i="6"/>
  <c r="AO42" i="6"/>
  <c r="AR38" i="6"/>
  <c r="AR42" i="6"/>
  <c r="AV38" i="6"/>
  <c r="AV42" i="6"/>
  <c r="AS38" i="6"/>
  <c r="AS42" i="6"/>
  <c r="AQ38" i="6"/>
  <c r="AQ42" i="6"/>
  <c r="AU38" i="6"/>
  <c r="AU42" i="6"/>
  <c r="AT38" i="6"/>
  <c r="AT42" i="6"/>
  <c r="AM38" i="6"/>
  <c r="AM42" i="6"/>
  <c r="AL38" i="6"/>
  <c r="AL42" i="6"/>
  <c r="AN38" i="6"/>
  <c r="AN42" i="6"/>
  <c r="T139" i="6"/>
  <c r="U50" i="6"/>
  <c r="U49" i="6"/>
  <c r="V193" i="6"/>
  <c r="V195" i="6" s="1"/>
  <c r="Y188" i="6"/>
  <c r="Y190" i="6" s="1"/>
  <c r="AB158" i="6"/>
  <c r="AB159" i="6" s="1"/>
  <c r="AB208" i="6"/>
  <c r="AB209" i="6" s="1"/>
  <c r="AB248" i="6"/>
  <c r="AB249" i="6" s="1"/>
  <c r="AF163" i="6"/>
  <c r="AF213" i="6"/>
  <c r="AF215" i="6" s="1"/>
  <c r="AB228" i="6"/>
  <c r="AB229" i="6" s="1"/>
  <c r="AB243" i="6"/>
  <c r="AB244" i="6" s="1"/>
  <c r="AB223" i="6"/>
  <c r="AB224" i="6" s="1"/>
  <c r="AF173" i="6"/>
  <c r="AF174" i="6" s="1"/>
  <c r="AF178" i="6"/>
  <c r="AF179" i="6" s="1"/>
  <c r="AF223" i="6"/>
  <c r="AF224" i="6" s="1"/>
  <c r="AF198" i="6"/>
  <c r="AF199" i="6" s="1"/>
  <c r="AF228" i="6"/>
  <c r="AF229" i="6" s="1"/>
  <c r="AF243" i="6"/>
  <c r="AF245" i="6" s="1"/>
  <c r="AF158" i="6"/>
  <c r="AF159" i="6" s="1"/>
  <c r="AF168" i="6"/>
  <c r="AF170" i="6" s="1"/>
  <c r="AF233" i="6"/>
  <c r="AF235" i="6" s="1"/>
  <c r="AF188" i="6"/>
  <c r="AF190" i="6" s="1"/>
  <c r="AF218" i="6"/>
  <c r="AF220" i="6" s="1"/>
  <c r="AF203" i="6"/>
  <c r="AF204" i="6" s="1"/>
  <c r="AF248" i="6"/>
  <c r="AF249" i="6" s="1"/>
  <c r="AF183" i="6"/>
  <c r="AF185" i="6" s="1"/>
  <c r="T145" i="6"/>
  <c r="AB193" i="6"/>
  <c r="AB194" i="6" s="1"/>
  <c r="AB183" i="6"/>
  <c r="AB184" i="6" s="1"/>
  <c r="V173" i="6"/>
  <c r="V174" i="6" s="1"/>
  <c r="V228" i="6"/>
  <c r="V230" i="6" s="1"/>
  <c r="AB178" i="6"/>
  <c r="AB179" i="6" s="1"/>
  <c r="AB168" i="6"/>
  <c r="AB169" i="6" s="1"/>
  <c r="AB173" i="6"/>
  <c r="AB174" i="6" s="1"/>
  <c r="AB188" i="6"/>
  <c r="AB190" i="6" s="1"/>
  <c r="AF238" i="6"/>
  <c r="AF240" i="6" s="1"/>
  <c r="AB238" i="6"/>
  <c r="AB239" i="6" s="1"/>
  <c r="V233" i="6"/>
  <c r="V234" i="6" s="1"/>
  <c r="V213" i="6"/>
  <c r="V214" i="6" s="1"/>
  <c r="V168" i="6"/>
  <c r="V169" i="6" s="1"/>
  <c r="AB233" i="6"/>
  <c r="AB234" i="6" s="1"/>
  <c r="AB203" i="6"/>
  <c r="AB204" i="6" s="1"/>
  <c r="AB218" i="6"/>
  <c r="AB219" i="6" s="1"/>
  <c r="AB163" i="6"/>
  <c r="AB164" i="6" s="1"/>
  <c r="AF208" i="6"/>
  <c r="AF210" i="6" s="1"/>
  <c r="AB198" i="6"/>
  <c r="AB199" i="6" s="1"/>
  <c r="AF253" i="6"/>
  <c r="AF254" i="6" s="1"/>
  <c r="AB253" i="6"/>
  <c r="AB254" i="6" s="1"/>
  <c r="T129" i="6"/>
  <c r="T136" i="6"/>
  <c r="T148" i="6"/>
  <c r="V159" i="6"/>
  <c r="V178" i="6"/>
  <c r="V179" i="6" s="1"/>
  <c r="T134" i="6"/>
  <c r="V163" i="6"/>
  <c r="V164" i="6" s="1"/>
  <c r="V253" i="6"/>
  <c r="V254" i="6" s="1"/>
  <c r="V243" i="6"/>
  <c r="V245" i="6" s="1"/>
  <c r="T137" i="6"/>
  <c r="V188" i="6"/>
  <c r="V189" i="6" s="1"/>
  <c r="T146" i="6"/>
  <c r="T141" i="6"/>
  <c r="T131" i="6"/>
  <c r="T135" i="6"/>
  <c r="T147" i="6"/>
  <c r="T144" i="6"/>
  <c r="T140" i="6"/>
  <c r="T149" i="6"/>
  <c r="T143" i="6"/>
  <c r="T132" i="6"/>
  <c r="T142" i="6"/>
  <c r="V203" i="6"/>
  <c r="V205" i="6" s="1"/>
  <c r="V223" i="6"/>
  <c r="V225" i="6" s="1"/>
  <c r="T133" i="6"/>
  <c r="T130" i="6"/>
  <c r="T138" i="6"/>
  <c r="V183" i="6"/>
  <c r="V184" i="6" s="1"/>
  <c r="V218" i="6"/>
  <c r="V220" i="6" s="1"/>
  <c r="V208" i="6"/>
  <c r="V209" i="6" s="1"/>
  <c r="V238" i="6"/>
  <c r="V239" i="6" s="1"/>
  <c r="V198" i="6"/>
  <c r="V200" i="6" s="1"/>
  <c r="V248" i="6"/>
  <c r="V250" i="6" s="1"/>
  <c r="AR170" i="6"/>
  <c r="AW169" i="6"/>
  <c r="AQ159" i="6"/>
  <c r="W120" i="6"/>
  <c r="W40" i="6"/>
  <c r="W39" i="6" s="1"/>
  <c r="V40" i="6"/>
  <c r="V39" i="6" s="1"/>
  <c r="U120" i="6"/>
  <c r="U40" i="6"/>
  <c r="U39" i="6" s="1"/>
  <c r="Z120" i="6"/>
  <c r="Z40" i="6"/>
  <c r="Z39" i="6" s="1"/>
  <c r="X120" i="6"/>
  <c r="X40" i="6"/>
  <c r="X39" i="6" s="1"/>
  <c r="Y120" i="6"/>
  <c r="Y40" i="6"/>
  <c r="Y39" i="6" s="1"/>
  <c r="U69" i="6"/>
  <c r="AE243" i="6"/>
  <c r="AE213" i="6"/>
  <c r="AE215" i="6" s="1"/>
  <c r="AD243" i="6"/>
  <c r="AD213" i="6"/>
  <c r="AD215" i="6" s="1"/>
  <c r="AA243" i="6"/>
  <c r="AA213" i="6"/>
  <c r="AA215" i="6" s="1"/>
  <c r="Y243" i="6"/>
  <c r="Y213" i="6"/>
  <c r="Y215" i="6" s="1"/>
  <c r="Z243" i="6"/>
  <c r="Z213" i="6"/>
  <c r="Z215" i="6" s="1"/>
  <c r="U243" i="6"/>
  <c r="U213" i="6"/>
  <c r="AB214" i="6"/>
  <c r="X243" i="6"/>
  <c r="X213" i="6"/>
  <c r="X215" i="6" s="1"/>
  <c r="W243" i="6"/>
  <c r="W213" i="6"/>
  <c r="AC243" i="6"/>
  <c r="AC213" i="6"/>
  <c r="AC215" i="6" s="1"/>
  <c r="W183" i="6"/>
  <c r="W193" i="6"/>
  <c r="AC183" i="6"/>
  <c r="AC193" i="6"/>
  <c r="AD183" i="6"/>
  <c r="AD193" i="6"/>
  <c r="AE183" i="6"/>
  <c r="AE193" i="6"/>
  <c r="AA183" i="6"/>
  <c r="AA193" i="6"/>
  <c r="Y183" i="6"/>
  <c r="Y193" i="6"/>
  <c r="Z183" i="6"/>
  <c r="Z193" i="6"/>
  <c r="U183" i="6"/>
  <c r="U193" i="6"/>
  <c r="U195" i="6" s="1"/>
  <c r="X183" i="6"/>
  <c r="X193" i="6"/>
  <c r="AD253" i="6"/>
  <c r="AD248" i="6"/>
  <c r="AD233" i="6"/>
  <c r="AD235" i="6" s="1"/>
  <c r="AD218" i="6"/>
  <c r="AD238" i="6"/>
  <c r="AD240" i="6" s="1"/>
  <c r="AD228" i="6"/>
  <c r="AD223" i="6"/>
  <c r="AA253" i="6"/>
  <c r="AA248" i="6"/>
  <c r="AA238" i="6"/>
  <c r="AA218" i="6"/>
  <c r="AA233" i="6"/>
  <c r="AA228" i="6"/>
  <c r="AA223" i="6"/>
  <c r="Z248" i="6"/>
  <c r="Z233" i="6"/>
  <c r="Z253" i="6"/>
  <c r="Z238" i="6"/>
  <c r="Z218" i="6"/>
  <c r="Z228" i="6"/>
  <c r="Z223" i="6"/>
  <c r="Y253" i="6"/>
  <c r="Y233" i="6"/>
  <c r="Y228" i="6"/>
  <c r="Y223" i="6"/>
  <c r="Y238" i="6"/>
  <c r="Y218" i="6"/>
  <c r="Y248" i="6"/>
  <c r="U253" i="6"/>
  <c r="U238" i="6"/>
  <c r="U248" i="6"/>
  <c r="U250" i="6" s="1"/>
  <c r="U233" i="6"/>
  <c r="U218" i="6"/>
  <c r="U220" i="6" s="1"/>
  <c r="U228" i="6"/>
  <c r="U230" i="6" s="1"/>
  <c r="U223" i="6"/>
  <c r="U225" i="6" s="1"/>
  <c r="X238" i="6"/>
  <c r="X253" i="6"/>
  <c r="X248" i="6"/>
  <c r="X228" i="6"/>
  <c r="X223" i="6"/>
  <c r="X233" i="6"/>
  <c r="X218" i="6"/>
  <c r="AG249" i="6"/>
  <c r="AN256" i="6"/>
  <c r="AE253" i="6"/>
  <c r="AE248" i="6"/>
  <c r="AE238" i="6"/>
  <c r="AE240" i="6" s="1"/>
  <c r="AE233" i="6"/>
  <c r="AE235" i="6" s="1"/>
  <c r="AE228" i="6"/>
  <c r="AE223" i="6"/>
  <c r="AE218" i="6"/>
  <c r="W253" i="6"/>
  <c r="W233" i="6"/>
  <c r="W248" i="6"/>
  <c r="W250" i="6" s="1"/>
  <c r="W228" i="6"/>
  <c r="W230" i="6" s="1"/>
  <c r="W223" i="6"/>
  <c r="W225" i="6" s="1"/>
  <c r="W238" i="6"/>
  <c r="W218" i="6"/>
  <c r="AC253" i="6"/>
  <c r="AC238" i="6"/>
  <c r="AC218" i="6"/>
  <c r="AC233" i="6"/>
  <c r="AC228" i="6"/>
  <c r="AC223" i="6"/>
  <c r="AC248" i="6"/>
  <c r="AP207" i="6"/>
  <c r="AP204" i="6"/>
  <c r="AN209" i="6"/>
  <c r="AN212" i="6"/>
  <c r="AF194" i="6"/>
  <c r="AN207" i="6"/>
  <c r="W198" i="6"/>
  <c r="W200" i="6" s="1"/>
  <c r="W208" i="6"/>
  <c r="W188" i="6"/>
  <c r="W203" i="6"/>
  <c r="W205" i="6" s="1"/>
  <c r="AC208" i="6"/>
  <c r="AC188" i="6"/>
  <c r="AC190" i="6" s="1"/>
  <c r="AC198" i="6"/>
  <c r="AC203" i="6"/>
  <c r="AD208" i="6"/>
  <c r="AD210" i="6" s="1"/>
  <c r="AD203" i="6"/>
  <c r="AD198" i="6"/>
  <c r="AD188" i="6"/>
  <c r="AD190" i="6" s="1"/>
  <c r="AA198" i="6"/>
  <c r="AA208" i="6"/>
  <c r="AA188" i="6"/>
  <c r="AA190" i="6" s="1"/>
  <c r="AA203" i="6"/>
  <c r="Y203" i="6"/>
  <c r="Y208" i="6"/>
  <c r="Y198" i="6"/>
  <c r="AE198" i="6"/>
  <c r="AE203" i="6"/>
  <c r="AE188" i="6"/>
  <c r="AE190" i="6" s="1"/>
  <c r="AE208" i="6"/>
  <c r="AE210" i="6" s="1"/>
  <c r="Z203" i="6"/>
  <c r="Z208" i="6"/>
  <c r="Z198" i="6"/>
  <c r="Z188" i="6"/>
  <c r="Z190" i="6" s="1"/>
  <c r="U208" i="6"/>
  <c r="U203" i="6"/>
  <c r="U205" i="6" s="1"/>
  <c r="U198" i="6"/>
  <c r="U200" i="6" s="1"/>
  <c r="U188" i="6"/>
  <c r="X208" i="6"/>
  <c r="X203" i="6"/>
  <c r="X188" i="6"/>
  <c r="X198" i="6"/>
  <c r="AN189" i="6"/>
  <c r="AN192" i="6"/>
  <c r="AD131" i="6"/>
  <c r="AD139" i="6"/>
  <c r="AD147" i="6"/>
  <c r="AD137" i="6"/>
  <c r="AD130" i="6"/>
  <c r="AD138" i="6"/>
  <c r="AD146" i="6"/>
  <c r="AD129" i="6"/>
  <c r="AD134" i="6"/>
  <c r="AD142" i="6"/>
  <c r="AD133" i="6"/>
  <c r="AD141" i="6"/>
  <c r="AD149" i="6"/>
  <c r="AD135" i="6"/>
  <c r="AD136" i="6"/>
  <c r="AD144" i="6"/>
  <c r="AD148" i="6"/>
  <c r="AD140" i="6"/>
  <c r="AD145" i="6"/>
  <c r="AD132" i="6"/>
  <c r="AD143" i="6"/>
  <c r="AQ136" i="6"/>
  <c r="AQ144" i="6"/>
  <c r="AQ134" i="6"/>
  <c r="AQ142" i="6"/>
  <c r="AQ135" i="6"/>
  <c r="AQ143" i="6"/>
  <c r="AQ131" i="6"/>
  <c r="AQ139" i="6"/>
  <c r="AQ147" i="6"/>
  <c r="AQ130" i="6"/>
  <c r="AQ138" i="6"/>
  <c r="AQ146" i="6"/>
  <c r="AQ129" i="6"/>
  <c r="AQ145" i="6"/>
  <c r="AQ140" i="6"/>
  <c r="AQ141" i="6"/>
  <c r="AQ149" i="6"/>
  <c r="AQ132" i="6"/>
  <c r="AQ133" i="6"/>
  <c r="AQ150" i="6"/>
  <c r="AQ148" i="6"/>
  <c r="AQ137" i="6"/>
  <c r="AU132" i="6"/>
  <c r="AU140" i="6"/>
  <c r="AU148" i="6"/>
  <c r="AU130" i="6"/>
  <c r="AU138" i="6"/>
  <c r="AU131" i="6"/>
  <c r="AU139" i="6"/>
  <c r="AU147" i="6"/>
  <c r="AU135" i="6"/>
  <c r="AU143" i="6"/>
  <c r="AU134" i="6"/>
  <c r="AU142" i="6"/>
  <c r="AU150" i="6"/>
  <c r="AU136" i="6"/>
  <c r="AU137" i="6"/>
  <c r="AU146" i="6"/>
  <c r="AU129" i="6"/>
  <c r="AU141" i="6"/>
  <c r="AU149" i="6"/>
  <c r="AU144" i="6"/>
  <c r="AU145" i="6"/>
  <c r="AU133" i="6"/>
  <c r="AE132" i="6"/>
  <c r="AE140" i="6"/>
  <c r="AE148" i="6"/>
  <c r="AE130" i="6"/>
  <c r="AE131" i="6"/>
  <c r="AE139" i="6"/>
  <c r="AE147" i="6"/>
  <c r="AE138" i="6"/>
  <c r="AE135" i="6"/>
  <c r="AE143" i="6"/>
  <c r="AE134" i="6"/>
  <c r="AE142" i="6"/>
  <c r="AE133" i="6"/>
  <c r="AE146" i="6"/>
  <c r="AE149" i="6"/>
  <c r="AE136" i="6"/>
  <c r="AE137" i="6"/>
  <c r="AE144" i="6"/>
  <c r="AE141" i="6"/>
  <c r="AE145" i="6"/>
  <c r="AE129" i="6"/>
  <c r="AA136" i="6"/>
  <c r="AA144" i="6"/>
  <c r="AA134" i="6"/>
  <c r="AA142" i="6"/>
  <c r="AA135" i="6"/>
  <c r="AA143" i="6"/>
  <c r="AA131" i="6"/>
  <c r="AA139" i="6"/>
  <c r="AA147" i="6"/>
  <c r="AA130" i="6"/>
  <c r="AA138" i="6"/>
  <c r="AA146" i="6"/>
  <c r="AA129" i="6"/>
  <c r="AA149" i="6"/>
  <c r="AA141" i="6"/>
  <c r="AA137" i="6"/>
  <c r="AA145" i="6"/>
  <c r="AA140" i="6"/>
  <c r="AA148" i="6"/>
  <c r="AA132" i="6"/>
  <c r="AA133" i="6"/>
  <c r="AG134" i="6"/>
  <c r="AG142" i="6"/>
  <c r="AG132" i="6"/>
  <c r="AG133" i="6"/>
  <c r="AG141" i="6"/>
  <c r="AG149" i="6"/>
  <c r="AG140" i="6"/>
  <c r="AG129" i="6"/>
  <c r="AG137" i="6"/>
  <c r="AG145" i="6"/>
  <c r="AG136" i="6"/>
  <c r="AG144" i="6"/>
  <c r="AG148" i="6"/>
  <c r="AG143" i="6"/>
  <c r="AG130" i="6"/>
  <c r="AG135" i="6"/>
  <c r="AG146" i="6"/>
  <c r="AG138" i="6"/>
  <c r="AG139" i="6"/>
  <c r="AG147" i="6"/>
  <c r="AG131" i="6"/>
  <c r="AM132" i="6"/>
  <c r="AM140" i="6"/>
  <c r="AM148" i="6"/>
  <c r="AM138" i="6"/>
  <c r="AM131" i="6"/>
  <c r="AM139" i="6"/>
  <c r="AM147" i="6"/>
  <c r="AM130" i="6"/>
  <c r="AM135" i="6"/>
  <c r="AM143" i="6"/>
  <c r="AM134" i="6"/>
  <c r="AM142" i="6"/>
  <c r="AM150" i="6"/>
  <c r="AM141" i="6"/>
  <c r="AM133" i="6"/>
  <c r="AM129" i="6"/>
  <c r="AM145" i="6"/>
  <c r="AM146" i="6"/>
  <c r="AM149" i="6"/>
  <c r="AM136" i="6"/>
  <c r="AM137" i="6"/>
  <c r="AM144" i="6"/>
  <c r="AB129" i="6"/>
  <c r="AB137" i="6"/>
  <c r="AB145" i="6"/>
  <c r="AB136" i="6"/>
  <c r="AB144" i="6"/>
  <c r="AB135" i="6"/>
  <c r="AB143" i="6"/>
  <c r="AB132" i="6"/>
  <c r="AB140" i="6"/>
  <c r="AB148" i="6"/>
  <c r="AB131" i="6"/>
  <c r="AB139" i="6"/>
  <c r="AB147" i="6"/>
  <c r="AB133" i="6"/>
  <c r="AB146" i="6"/>
  <c r="AB138" i="6"/>
  <c r="AB149" i="6"/>
  <c r="AB141" i="6"/>
  <c r="AB142" i="6"/>
  <c r="AB130" i="6"/>
  <c r="AB134" i="6"/>
  <c r="AK130" i="6"/>
  <c r="AK150" i="6" s="1"/>
  <c r="AK138" i="6"/>
  <c r="AK146" i="6"/>
  <c r="AK129" i="6"/>
  <c r="AK137" i="6"/>
  <c r="AK145" i="6"/>
  <c r="AK136" i="6"/>
  <c r="AK133" i="6"/>
  <c r="AK141" i="6"/>
  <c r="AK149" i="6"/>
  <c r="AK132" i="6"/>
  <c r="AK140" i="6"/>
  <c r="AK148" i="6"/>
  <c r="AK142" i="6"/>
  <c r="AK134" i="6"/>
  <c r="AK135" i="6"/>
  <c r="AK131" i="6"/>
  <c r="AK143" i="6"/>
  <c r="AK147" i="6"/>
  <c r="AK144" i="6"/>
  <c r="AK139" i="6"/>
  <c r="AT131" i="6"/>
  <c r="AT139" i="6"/>
  <c r="AT147" i="6"/>
  <c r="AT137" i="6"/>
  <c r="AT130" i="6"/>
  <c r="AT138" i="6"/>
  <c r="AT146" i="6"/>
  <c r="AT129" i="6"/>
  <c r="AT134" i="6"/>
  <c r="AT142" i="6"/>
  <c r="AT150" i="6"/>
  <c r="AT133" i="6"/>
  <c r="AT141" i="6"/>
  <c r="AT149" i="6"/>
  <c r="AT148" i="6"/>
  <c r="AT144" i="6"/>
  <c r="AT140" i="6"/>
  <c r="AT135" i="6"/>
  <c r="AT145" i="6"/>
  <c r="AT143" i="6"/>
  <c r="AT136" i="6"/>
  <c r="AT132" i="6"/>
  <c r="V69" i="6"/>
  <c r="AJ129" i="6"/>
  <c r="AJ137" i="6"/>
  <c r="AJ145" i="6"/>
  <c r="AJ135" i="6"/>
  <c r="AJ136" i="6"/>
  <c r="AJ144" i="6"/>
  <c r="AJ132" i="6"/>
  <c r="AJ140" i="6"/>
  <c r="AJ148" i="6"/>
  <c r="AJ131" i="6"/>
  <c r="AJ139" i="6"/>
  <c r="AJ147" i="6"/>
  <c r="AJ130" i="6"/>
  <c r="AJ150" i="6" s="1"/>
  <c r="AJ143" i="6"/>
  <c r="AJ149" i="6"/>
  <c r="AJ133" i="6"/>
  <c r="AJ134" i="6"/>
  <c r="AJ146" i="6"/>
  <c r="AJ141" i="6"/>
  <c r="AJ138" i="6"/>
  <c r="AJ142" i="6"/>
  <c r="AN133" i="6"/>
  <c r="AN141" i="6"/>
  <c r="AN149" i="6"/>
  <c r="AN131" i="6"/>
  <c r="AN139" i="6"/>
  <c r="AN132" i="6"/>
  <c r="AN140" i="6"/>
  <c r="AN148" i="6"/>
  <c r="AN136" i="6"/>
  <c r="AN144" i="6"/>
  <c r="AN135" i="6"/>
  <c r="AN143" i="6"/>
  <c r="AN147" i="6"/>
  <c r="AN130" i="6"/>
  <c r="AN142" i="6"/>
  <c r="AN129" i="6"/>
  <c r="AN145" i="6"/>
  <c r="AN150" i="6"/>
  <c r="AN134" i="6"/>
  <c r="AN137" i="6"/>
  <c r="AN146" i="6"/>
  <c r="AN138" i="6"/>
  <c r="AW134" i="6"/>
  <c r="AW142" i="6"/>
  <c r="AW150" i="6"/>
  <c r="AW133" i="6"/>
  <c r="AW141" i="6"/>
  <c r="AW149" i="6"/>
  <c r="AW132" i="6"/>
  <c r="AW140" i="6"/>
  <c r="AW129" i="6"/>
  <c r="AW137" i="6"/>
  <c r="AW145" i="6"/>
  <c r="AW136" i="6"/>
  <c r="AW144" i="6"/>
  <c r="AW135" i="6"/>
  <c r="AW148" i="6"/>
  <c r="AW143" i="6"/>
  <c r="AW138" i="6"/>
  <c r="AW139" i="6"/>
  <c r="AW146" i="6"/>
  <c r="AW130" i="6"/>
  <c r="AW131" i="6"/>
  <c r="AW147" i="6"/>
  <c r="AR129" i="6"/>
  <c r="AR137" i="6"/>
  <c r="AR145" i="6"/>
  <c r="AR136" i="6"/>
  <c r="AR144" i="6"/>
  <c r="AR135" i="6"/>
  <c r="AR132" i="6"/>
  <c r="AR140" i="6"/>
  <c r="AR148" i="6"/>
  <c r="AR131" i="6"/>
  <c r="AR139" i="6"/>
  <c r="AR147" i="6"/>
  <c r="AR138" i="6"/>
  <c r="AR130" i="6"/>
  <c r="AR141" i="6"/>
  <c r="AR142" i="6"/>
  <c r="AR149" i="6"/>
  <c r="AR143" i="6"/>
  <c r="AR133" i="6"/>
  <c r="AR134" i="6"/>
  <c r="AR150" i="6"/>
  <c r="AR146" i="6"/>
  <c r="AL131" i="6"/>
  <c r="AL139" i="6"/>
  <c r="AL147" i="6"/>
  <c r="AL129" i="6"/>
  <c r="AL130" i="6"/>
  <c r="AL138" i="6"/>
  <c r="AL146" i="6"/>
  <c r="AL137" i="6"/>
  <c r="AL134" i="6"/>
  <c r="AL142" i="6"/>
  <c r="AL150" i="6"/>
  <c r="AL133" i="6"/>
  <c r="AL141" i="6"/>
  <c r="AL149" i="6"/>
  <c r="AL145" i="6"/>
  <c r="AL148" i="6"/>
  <c r="AL132" i="6"/>
  <c r="AL143" i="6"/>
  <c r="AL140" i="6"/>
  <c r="AL135" i="6"/>
  <c r="AL136" i="6"/>
  <c r="AL144" i="6"/>
  <c r="AV133" i="6"/>
  <c r="AV141" i="6"/>
  <c r="AV149" i="6"/>
  <c r="AV139" i="6"/>
  <c r="AV132" i="6"/>
  <c r="AV140" i="6"/>
  <c r="AV148" i="6"/>
  <c r="AV131" i="6"/>
  <c r="AV136" i="6"/>
  <c r="AV144" i="6"/>
  <c r="AV135" i="6"/>
  <c r="AV143" i="6"/>
  <c r="AV137" i="6"/>
  <c r="AV138" i="6"/>
  <c r="AV146" i="6"/>
  <c r="AV145" i="6"/>
  <c r="AV134" i="6"/>
  <c r="AV129" i="6"/>
  <c r="AV130" i="6"/>
  <c r="AV142" i="6"/>
  <c r="AV147" i="6"/>
  <c r="AV150" i="6"/>
  <c r="AP135" i="6"/>
  <c r="AP143" i="6"/>
  <c r="AP134" i="6"/>
  <c r="AP142" i="6"/>
  <c r="AP150" i="6"/>
  <c r="AP133" i="6"/>
  <c r="AP141" i="6"/>
  <c r="AP130" i="6"/>
  <c r="AP138" i="6"/>
  <c r="AP146" i="6"/>
  <c r="AP129" i="6"/>
  <c r="AP137" i="6"/>
  <c r="AP145" i="6"/>
  <c r="AP139" i="6"/>
  <c r="AP140" i="6"/>
  <c r="AP149" i="6"/>
  <c r="AP132" i="6"/>
  <c r="AP131" i="6"/>
  <c r="AP147" i="6"/>
  <c r="AP144" i="6"/>
  <c r="AP148" i="6"/>
  <c r="AP136" i="6"/>
  <c r="AS130" i="6"/>
  <c r="AS138" i="6"/>
  <c r="AS146" i="6"/>
  <c r="AS129" i="6"/>
  <c r="AS137" i="6"/>
  <c r="AS145" i="6"/>
  <c r="AS136" i="6"/>
  <c r="AS133" i="6"/>
  <c r="AS141" i="6"/>
  <c r="AS149" i="6"/>
  <c r="AS132" i="6"/>
  <c r="AS140" i="6"/>
  <c r="AS148" i="6"/>
  <c r="AS144" i="6"/>
  <c r="AS139" i="6"/>
  <c r="AS142" i="6"/>
  <c r="AS147" i="6"/>
  <c r="AS131" i="6"/>
  <c r="AS134" i="6"/>
  <c r="AS150" i="6"/>
  <c r="AS143" i="6"/>
  <c r="AS135" i="6"/>
  <c r="AH135" i="6"/>
  <c r="AH143" i="6"/>
  <c r="AH133" i="6"/>
  <c r="AH141" i="6"/>
  <c r="AH134" i="6"/>
  <c r="AH142" i="6"/>
  <c r="AH130" i="6"/>
  <c r="AH138" i="6"/>
  <c r="AH146" i="6"/>
  <c r="AH129" i="6"/>
  <c r="AH137" i="6"/>
  <c r="AH145" i="6"/>
  <c r="AH131" i="6"/>
  <c r="AH132" i="6"/>
  <c r="AH148" i="6"/>
  <c r="AH136" i="6"/>
  <c r="AH144" i="6"/>
  <c r="AH147" i="6"/>
  <c r="AH149" i="6"/>
  <c r="AH139" i="6"/>
  <c r="AH140" i="6"/>
  <c r="AO134" i="6"/>
  <c r="AO142" i="6"/>
  <c r="AO150" i="6"/>
  <c r="AO132" i="6"/>
  <c r="AO140" i="6"/>
  <c r="AO133" i="6"/>
  <c r="AO141" i="6"/>
  <c r="AO149" i="6"/>
  <c r="AO129" i="6"/>
  <c r="AO137" i="6"/>
  <c r="AO145" i="6"/>
  <c r="AO136" i="6"/>
  <c r="AO144" i="6"/>
  <c r="AO143" i="6"/>
  <c r="AO146" i="6"/>
  <c r="AO138" i="6"/>
  <c r="AO147" i="6"/>
  <c r="AO139" i="6"/>
  <c r="AO130" i="6"/>
  <c r="AO131" i="6"/>
  <c r="AO148" i="6"/>
  <c r="AO135" i="6"/>
  <c r="AI136" i="6"/>
  <c r="AI144" i="6"/>
  <c r="AI135" i="6"/>
  <c r="AI143" i="6"/>
  <c r="AI134" i="6"/>
  <c r="AI142" i="6"/>
  <c r="AI131" i="6"/>
  <c r="AI139" i="6"/>
  <c r="AI147" i="6"/>
  <c r="AI130" i="6"/>
  <c r="AI138" i="6"/>
  <c r="AI146" i="6"/>
  <c r="AI129" i="6"/>
  <c r="AI132" i="6"/>
  <c r="AI133" i="6"/>
  <c r="AI148" i="6"/>
  <c r="AI137" i="6"/>
  <c r="AI141" i="6"/>
  <c r="AI145" i="6"/>
  <c r="AI149" i="6"/>
  <c r="AI140" i="6"/>
  <c r="AF133" i="6"/>
  <c r="AF141" i="6"/>
  <c r="AF149" i="6"/>
  <c r="AF132" i="6"/>
  <c r="AF140" i="6"/>
  <c r="AF148" i="6"/>
  <c r="AF131" i="6"/>
  <c r="AF139" i="6"/>
  <c r="AF136" i="6"/>
  <c r="AF144" i="6"/>
  <c r="AF135" i="6"/>
  <c r="AF143" i="6"/>
  <c r="AF137" i="6"/>
  <c r="AF134" i="6"/>
  <c r="AF146" i="6"/>
  <c r="AF138" i="6"/>
  <c r="AF129" i="6"/>
  <c r="AF147" i="6"/>
  <c r="AF130" i="6"/>
  <c r="AF145" i="6"/>
  <c r="AF142" i="6"/>
  <c r="AC130" i="6"/>
  <c r="AC138" i="6"/>
  <c r="AC146" i="6"/>
  <c r="AC136" i="6"/>
  <c r="AC129" i="6"/>
  <c r="AC137" i="6"/>
  <c r="AC145" i="6"/>
  <c r="AC133" i="6"/>
  <c r="AC141" i="6"/>
  <c r="AC149" i="6"/>
  <c r="AC132" i="6"/>
  <c r="AC140" i="6"/>
  <c r="AC148" i="6"/>
  <c r="AC134" i="6"/>
  <c r="AC135" i="6"/>
  <c r="AC144" i="6"/>
  <c r="AC139" i="6"/>
  <c r="AC147" i="6"/>
  <c r="AC142" i="6"/>
  <c r="AC143" i="6"/>
  <c r="AC131" i="6"/>
  <c r="W69" i="6"/>
  <c r="X69" i="6"/>
  <c r="Y69" i="6"/>
  <c r="Z69" i="6"/>
  <c r="X133" i="6"/>
  <c r="X137" i="6"/>
  <c r="X141" i="6"/>
  <c r="X145" i="6"/>
  <c r="X132" i="6"/>
  <c r="X136" i="6"/>
  <c r="X140" i="6"/>
  <c r="X144" i="6"/>
  <c r="X131" i="6"/>
  <c r="X135" i="6"/>
  <c r="X139" i="6"/>
  <c r="X143" i="6"/>
  <c r="X130" i="6"/>
  <c r="X134" i="6"/>
  <c r="X138" i="6"/>
  <c r="X142" i="6"/>
  <c r="W132" i="6"/>
  <c r="W136" i="6"/>
  <c r="W140" i="6"/>
  <c r="W144" i="6"/>
  <c r="W131" i="6"/>
  <c r="W135" i="6"/>
  <c r="W139" i="6"/>
  <c r="W143" i="6"/>
  <c r="W130" i="6"/>
  <c r="W134" i="6"/>
  <c r="W138" i="6"/>
  <c r="W142" i="6"/>
  <c r="W133" i="6"/>
  <c r="W141" i="6"/>
  <c r="W145" i="6"/>
  <c r="W137" i="6"/>
  <c r="Y133" i="6"/>
  <c r="Y137" i="6"/>
  <c r="Y141" i="6"/>
  <c r="Y145" i="6"/>
  <c r="Y132" i="6"/>
  <c r="Y136" i="6"/>
  <c r="Y140" i="6"/>
  <c r="Y144" i="6"/>
  <c r="Y131" i="6"/>
  <c r="Y135" i="6"/>
  <c r="Y139" i="6"/>
  <c r="Y143" i="6"/>
  <c r="Y130" i="6"/>
  <c r="Y142" i="6"/>
  <c r="Y138" i="6"/>
  <c r="Y134" i="6"/>
  <c r="Z130" i="6"/>
  <c r="Z134" i="6"/>
  <c r="Z138" i="6"/>
  <c r="Z142" i="6"/>
  <c r="Z133" i="6"/>
  <c r="Z137" i="6"/>
  <c r="Z141" i="6"/>
  <c r="Z145" i="6"/>
  <c r="Z132" i="6"/>
  <c r="Z136" i="6"/>
  <c r="Z140" i="6"/>
  <c r="Z144" i="6"/>
  <c r="Z131" i="6"/>
  <c r="Z135" i="6"/>
  <c r="Z139" i="6"/>
  <c r="Z143" i="6"/>
  <c r="U131" i="6"/>
  <c r="U135" i="6"/>
  <c r="U139" i="6"/>
  <c r="U143" i="6"/>
  <c r="U130" i="6"/>
  <c r="U134" i="6"/>
  <c r="U138" i="6"/>
  <c r="U142" i="6"/>
  <c r="U133" i="6"/>
  <c r="U137" i="6"/>
  <c r="U141" i="6"/>
  <c r="U145" i="6"/>
  <c r="U132" i="6"/>
  <c r="U136" i="6"/>
  <c r="U144" i="6"/>
  <c r="U140" i="6"/>
  <c r="V132" i="6"/>
  <c r="V136" i="6"/>
  <c r="V140" i="6"/>
  <c r="V144" i="6"/>
  <c r="V131" i="6"/>
  <c r="V135" i="6"/>
  <c r="V139" i="6"/>
  <c r="V143" i="6"/>
  <c r="V130" i="6"/>
  <c r="V134" i="6"/>
  <c r="V138" i="6"/>
  <c r="V142" i="6"/>
  <c r="V133" i="6"/>
  <c r="V137" i="6"/>
  <c r="V141" i="6"/>
  <c r="V145" i="6"/>
  <c r="S27" i="6"/>
  <c r="V149" i="6"/>
  <c r="V148" i="6"/>
  <c r="V129" i="6"/>
  <c r="V146" i="6"/>
  <c r="V147" i="6"/>
  <c r="W147" i="6"/>
  <c r="W146" i="6"/>
  <c r="W149" i="6"/>
  <c r="W148" i="6"/>
  <c r="Z149" i="6"/>
  <c r="Z148" i="6"/>
  <c r="Z147" i="6"/>
  <c r="Z146" i="6"/>
  <c r="U146" i="6"/>
  <c r="U149" i="6"/>
  <c r="U148" i="6"/>
  <c r="U147" i="6"/>
  <c r="X148" i="6"/>
  <c r="X147" i="6"/>
  <c r="X149" i="6"/>
  <c r="X146" i="6"/>
  <c r="Y147" i="6"/>
  <c r="Y146" i="6"/>
  <c r="Y148" i="6"/>
  <c r="Y149" i="6"/>
  <c r="W129" i="6"/>
  <c r="Y129" i="6"/>
  <c r="Z129" i="6"/>
  <c r="U129" i="6"/>
  <c r="X129" i="6"/>
  <c r="W173" i="6"/>
  <c r="W178" i="6"/>
  <c r="W163" i="6"/>
  <c r="W168" i="6"/>
  <c r="AC158" i="6"/>
  <c r="AC163" i="6"/>
  <c r="AC173" i="6"/>
  <c r="AC178" i="6"/>
  <c r="AC168" i="6"/>
  <c r="Y163" i="6"/>
  <c r="Y173" i="6"/>
  <c r="Y178" i="6"/>
  <c r="Y168" i="6"/>
  <c r="Z163" i="6"/>
  <c r="Z168" i="6"/>
  <c r="Z173" i="6"/>
  <c r="Z178" i="6"/>
  <c r="U159" i="6"/>
  <c r="U163" i="6"/>
  <c r="U178" i="6"/>
  <c r="U168" i="6"/>
  <c r="U173" i="6"/>
  <c r="AE173" i="6"/>
  <c r="AE178" i="6"/>
  <c r="AE168" i="6"/>
  <c r="AE163" i="6"/>
  <c r="AE158" i="6"/>
  <c r="X168" i="6"/>
  <c r="X163" i="6"/>
  <c r="X178" i="6"/>
  <c r="X173" i="6"/>
  <c r="AU181" i="6"/>
  <c r="AU182" i="6"/>
  <c r="AW171" i="6"/>
  <c r="AD178" i="6"/>
  <c r="AD158" i="6"/>
  <c r="AD168" i="6"/>
  <c r="AD163" i="6"/>
  <c r="AD173" i="6"/>
  <c r="AA158" i="6"/>
  <c r="AA163" i="6"/>
  <c r="AA168" i="6"/>
  <c r="AA173" i="6"/>
  <c r="AA178" i="6"/>
  <c r="AW41" i="6"/>
  <c r="AW43" i="6" s="1"/>
  <c r="AU41" i="6"/>
  <c r="AU43" i="6" s="1"/>
  <c r="AS41" i="6"/>
  <c r="AR41" i="6"/>
  <c r="AR43" i="6" s="1"/>
  <c r="AQ41" i="6"/>
  <c r="AQ43" i="6" s="1"/>
  <c r="AV41" i="6"/>
  <c r="AT41" i="6"/>
  <c r="AS43" i="6"/>
  <c r="AT43" i="6"/>
  <c r="AV43" i="6"/>
  <c r="AQ162" i="6" l="1"/>
  <c r="AN211" i="6"/>
  <c r="AQ161" i="6"/>
  <c r="AP206" i="6"/>
  <c r="AN254" i="6"/>
  <c r="AN257" i="6"/>
  <c r="AM170" i="6"/>
  <c r="AN191" i="6"/>
  <c r="AM197" i="6"/>
  <c r="AJ219" i="6"/>
  <c r="AK159" i="6"/>
  <c r="AU180" i="6"/>
  <c r="AQ212" i="6"/>
  <c r="AQ211" i="6"/>
  <c r="AQ209" i="6"/>
  <c r="AG180" i="6"/>
  <c r="AK180" i="6"/>
  <c r="AJ160" i="6"/>
  <c r="AJ38" i="6" s="1"/>
  <c r="AQ180" i="6"/>
  <c r="AQ179" i="6"/>
  <c r="AS237" i="6"/>
  <c r="AQ182" i="6"/>
  <c r="AK204" i="6"/>
  <c r="AP180" i="6"/>
  <c r="AK170" i="6"/>
  <c r="AP196" i="6"/>
  <c r="AP194" i="6"/>
  <c r="AP197" i="6"/>
  <c r="AJ164" i="6"/>
  <c r="AU165" i="6"/>
  <c r="AG160" i="6"/>
  <c r="AV209" i="6"/>
  <c r="AV202" i="6"/>
  <c r="AJ214" i="6"/>
  <c r="AU164" i="6"/>
  <c r="AV201" i="6"/>
  <c r="AI194" i="6"/>
  <c r="AH194" i="6"/>
  <c r="AV199" i="6"/>
  <c r="AL159" i="6"/>
  <c r="AV212" i="6"/>
  <c r="AU166" i="6"/>
  <c r="AK254" i="6"/>
  <c r="AS234" i="6"/>
  <c r="AS236" i="6"/>
  <c r="AU196" i="6"/>
  <c r="AN175" i="6"/>
  <c r="AN160" i="6"/>
  <c r="AN165" i="6"/>
  <c r="AS171" i="6"/>
  <c r="AU194" i="6"/>
  <c r="AL197" i="6"/>
  <c r="AP164" i="6"/>
  <c r="AQ174" i="6"/>
  <c r="AQ176" i="6"/>
  <c r="AK199" i="6"/>
  <c r="AO227" i="6"/>
  <c r="AJ229" i="6"/>
  <c r="AO226" i="6"/>
  <c r="AR254" i="6"/>
  <c r="AS257" i="6"/>
  <c r="AS239" i="6"/>
  <c r="AS169" i="6"/>
  <c r="AU206" i="6"/>
  <c r="AT219" i="6"/>
  <c r="AQ216" i="6"/>
  <c r="AG165" i="6"/>
  <c r="AO199" i="6"/>
  <c r="AQ177" i="6"/>
  <c r="AS160" i="6"/>
  <c r="AG170" i="6"/>
  <c r="AL189" i="6"/>
  <c r="AO196" i="6"/>
  <c r="AU170" i="6"/>
  <c r="AW161" i="6"/>
  <c r="AW162" i="6"/>
  <c r="AW160" i="6"/>
  <c r="AJ175" i="6"/>
  <c r="AU160" i="6"/>
  <c r="AP202" i="6"/>
  <c r="AV206" i="6"/>
  <c r="AJ189" i="6"/>
  <c r="AQ170" i="6"/>
  <c r="AP201" i="6"/>
  <c r="AQ169" i="6"/>
  <c r="AH254" i="6"/>
  <c r="AL231" i="6"/>
  <c r="AL229" i="6"/>
  <c r="AO212" i="6"/>
  <c r="AO197" i="6"/>
  <c r="AR237" i="6"/>
  <c r="AS159" i="6"/>
  <c r="AO170" i="6"/>
  <c r="AO209" i="6"/>
  <c r="AJ169" i="6"/>
  <c r="AS162" i="6"/>
  <c r="AO194" i="6"/>
  <c r="AT247" i="6"/>
  <c r="AT245" i="6"/>
  <c r="AV176" i="6"/>
  <c r="AV161" i="6"/>
  <c r="AS177" i="6"/>
  <c r="AT199" i="6"/>
  <c r="AS217" i="6"/>
  <c r="AT244" i="6"/>
  <c r="AV182" i="6"/>
  <c r="AS176" i="6"/>
  <c r="AM204" i="6"/>
  <c r="AN249" i="6"/>
  <c r="AS249" i="6"/>
  <c r="AS216" i="6"/>
  <c r="AS174" i="6"/>
  <c r="AS244" i="6"/>
  <c r="AR177" i="6"/>
  <c r="AQ192" i="6"/>
  <c r="AN251" i="6"/>
  <c r="AI175" i="6"/>
  <c r="AN252" i="6"/>
  <c r="AV197" i="6"/>
  <c r="AU239" i="6"/>
  <c r="AO202" i="6"/>
  <c r="AL211" i="6"/>
  <c r="AU232" i="6"/>
  <c r="AU169" i="6"/>
  <c r="AU161" i="6"/>
  <c r="AQ171" i="6"/>
  <c r="AU162" i="6"/>
  <c r="AS212" i="6"/>
  <c r="AP212" i="6"/>
  <c r="AV211" i="6"/>
  <c r="AU212" i="6"/>
  <c r="AG189" i="6"/>
  <c r="AV221" i="6"/>
  <c r="AO224" i="6"/>
  <c r="AV256" i="6"/>
  <c r="AQ254" i="6"/>
  <c r="AK234" i="6"/>
  <c r="AS170" i="6"/>
  <c r="AS241" i="6"/>
  <c r="AV189" i="6"/>
  <c r="AS242" i="6"/>
  <c r="AK175" i="6"/>
  <c r="AP199" i="6"/>
  <c r="AV204" i="6"/>
  <c r="AS207" i="6"/>
  <c r="AV191" i="6"/>
  <c r="AU224" i="6"/>
  <c r="AK219" i="6"/>
  <c r="AN234" i="6"/>
  <c r="AW237" i="6"/>
  <c r="AU242" i="6"/>
  <c r="AM216" i="6"/>
  <c r="AT160" i="6"/>
  <c r="AP170" i="6"/>
  <c r="AV194" i="6"/>
  <c r="AS254" i="6"/>
  <c r="AJ180" i="6"/>
  <c r="AR245" i="6"/>
  <c r="AS209" i="6"/>
  <c r="AP209" i="6"/>
  <c r="AJ199" i="6"/>
  <c r="AV207" i="6"/>
  <c r="AS206" i="6"/>
  <c r="AU209" i="6"/>
  <c r="AV192" i="6"/>
  <c r="AO237" i="6"/>
  <c r="AR224" i="6"/>
  <c r="AU251" i="6"/>
  <c r="AW234" i="6"/>
  <c r="AT236" i="6"/>
  <c r="AQ256" i="6"/>
  <c r="AM214" i="6"/>
  <c r="AT159" i="6"/>
  <c r="AP175" i="6"/>
  <c r="AM175" i="6"/>
  <c r="AO180" i="6"/>
  <c r="AO201" i="6"/>
  <c r="AV246" i="6"/>
  <c r="AU171" i="6"/>
  <c r="AW236" i="6"/>
  <c r="AU241" i="6"/>
  <c r="AO216" i="6"/>
  <c r="AS211" i="6"/>
  <c r="AP211" i="6"/>
  <c r="AS204" i="6"/>
  <c r="AU211" i="6"/>
  <c r="AO236" i="6"/>
  <c r="AV254" i="6"/>
  <c r="AK229" i="6"/>
  <c r="AQ257" i="6"/>
  <c r="AJ224" i="6"/>
  <c r="AO245" i="6"/>
  <c r="AL251" i="6"/>
  <c r="AU174" i="6"/>
  <c r="AN241" i="6"/>
  <c r="AW242" i="6"/>
  <c r="AU214" i="6"/>
  <c r="AS166" i="6"/>
  <c r="AW209" i="6"/>
  <c r="AM206" i="6"/>
  <c r="AS251" i="6"/>
  <c r="AT254" i="6"/>
  <c r="AL232" i="6"/>
  <c r="AN214" i="6"/>
  <c r="AS214" i="6"/>
  <c r="AV160" i="6"/>
  <c r="AL165" i="6"/>
  <c r="AS202" i="6"/>
  <c r="AM207" i="6"/>
  <c r="AT189" i="6"/>
  <c r="AP237" i="6"/>
  <c r="AL256" i="6"/>
  <c r="AS252" i="6"/>
  <c r="AJ254" i="6"/>
  <c r="AP221" i="6"/>
  <c r="AN217" i="6"/>
  <c r="AV159" i="6"/>
  <c r="AV167" i="6"/>
  <c r="AS182" i="6"/>
  <c r="AS201" i="6"/>
  <c r="AP236" i="6"/>
  <c r="AL257" i="6"/>
  <c r="AN224" i="6"/>
  <c r="AV231" i="6"/>
  <c r="AR249" i="6"/>
  <c r="AO254" i="6"/>
  <c r="AM232" i="6"/>
  <c r="AN216" i="6"/>
  <c r="AQ246" i="6"/>
  <c r="AW165" i="6"/>
  <c r="AO165" i="6"/>
  <c r="AV175" i="6"/>
  <c r="AV180" i="6"/>
  <c r="AQ245" i="6"/>
  <c r="AQ167" i="6"/>
  <c r="AV181" i="6"/>
  <c r="AS199" i="6"/>
  <c r="AW202" i="6"/>
  <c r="AP234" i="6"/>
  <c r="AL254" i="6"/>
  <c r="AN226" i="6"/>
  <c r="AV232" i="6"/>
  <c r="AR251" i="6"/>
  <c r="AO256" i="6"/>
  <c r="AP214" i="6"/>
  <c r="AK244" i="6"/>
  <c r="AH160" i="6"/>
  <c r="AV174" i="6"/>
  <c r="AR175" i="6"/>
  <c r="AQ247" i="6"/>
  <c r="AR202" i="6"/>
  <c r="AT201" i="6"/>
  <c r="AQ191" i="6"/>
  <c r="AI249" i="6"/>
  <c r="AN227" i="6"/>
  <c r="AV229" i="6"/>
  <c r="AR252" i="6"/>
  <c r="AO257" i="6"/>
  <c r="AR234" i="6"/>
  <c r="AP216" i="6"/>
  <c r="AS164" i="6"/>
  <c r="AR174" i="6"/>
  <c r="AU217" i="6"/>
  <c r="AO211" i="6"/>
  <c r="AT202" i="6"/>
  <c r="AQ189" i="6"/>
  <c r="AL249" i="6"/>
  <c r="AW241" i="6"/>
  <c r="AR236" i="6"/>
  <c r="AP217" i="6"/>
  <c r="AH214" i="6"/>
  <c r="AV165" i="6"/>
  <c r="AI164" i="6"/>
  <c r="AU244" i="6"/>
  <c r="AS167" i="6"/>
  <c r="AQ166" i="6"/>
  <c r="AW211" i="6"/>
  <c r="AW197" i="6"/>
  <c r="AI189" i="6"/>
  <c r="AN204" i="6"/>
  <c r="AT192" i="6"/>
  <c r="AN242" i="6"/>
  <c r="AQ236" i="6"/>
  <c r="AL252" i="6"/>
  <c r="AP222" i="6"/>
  <c r="AM231" i="6"/>
  <c r="AU216" i="6"/>
  <c r="AU246" i="6"/>
  <c r="AV164" i="6"/>
  <c r="AW164" i="6"/>
  <c r="AW180" i="6"/>
  <c r="AR171" i="6"/>
  <c r="AR167" i="6"/>
  <c r="AW212" i="6"/>
  <c r="AW194" i="6"/>
  <c r="AT191" i="6"/>
  <c r="AN239" i="6"/>
  <c r="AQ234" i="6"/>
  <c r="AP219" i="6"/>
  <c r="AM229" i="6"/>
  <c r="AR165" i="6"/>
  <c r="AQ165" i="6"/>
  <c r="AV170" i="6"/>
  <c r="AO175" i="6"/>
  <c r="AS180" i="6"/>
  <c r="AW179" i="6"/>
  <c r="AG209" i="6"/>
  <c r="AI204" i="6"/>
  <c r="AQ237" i="6"/>
  <c r="AJ239" i="6"/>
  <c r="AU247" i="6"/>
  <c r="AR164" i="6"/>
  <c r="AV169" i="6"/>
  <c r="AS179" i="6"/>
  <c r="AL204" i="6"/>
  <c r="AP191" i="6"/>
  <c r="AW181" i="6"/>
  <c r="AU177" i="6"/>
  <c r="AV172" i="6"/>
  <c r="AL207" i="6"/>
  <c r="AP189" i="6"/>
  <c r="AV249" i="6"/>
  <c r="AJ249" i="6"/>
  <c r="AO239" i="6"/>
  <c r="AN219" i="6"/>
  <c r="AM165" i="6"/>
  <c r="AK165" i="6"/>
  <c r="AN206" i="6"/>
  <c r="AR172" i="6"/>
  <c r="AW196" i="6"/>
  <c r="AW167" i="6"/>
  <c r="AU176" i="6"/>
  <c r="AL206" i="6"/>
  <c r="AG194" i="6"/>
  <c r="AR201" i="6"/>
  <c r="AP192" i="6"/>
  <c r="AW199" i="6"/>
  <c r="AM196" i="6"/>
  <c r="AV251" i="6"/>
  <c r="AT256" i="6"/>
  <c r="AN221" i="6"/>
  <c r="AO160" i="6"/>
  <c r="AP160" i="6"/>
  <c r="AH180" i="6"/>
  <c r="AW172" i="6"/>
  <c r="AR199" i="6"/>
  <c r="AJ209" i="6"/>
  <c r="AW201" i="6"/>
  <c r="AM194" i="6"/>
  <c r="AV252" i="6"/>
  <c r="AT257" i="6"/>
  <c r="AW239" i="6"/>
  <c r="AN222" i="6"/>
  <c r="AH224" i="6"/>
  <c r="AN170" i="6"/>
  <c r="AW204" i="6"/>
  <c r="AK189" i="6"/>
  <c r="AT251" i="6"/>
  <c r="AK249" i="6"/>
  <c r="AG229" i="6"/>
  <c r="AN232" i="6"/>
  <c r="AV257" i="6"/>
  <c r="AM251" i="6"/>
  <c r="AW177" i="6"/>
  <c r="AP256" i="6"/>
  <c r="AW229" i="6"/>
  <c r="AV216" i="6"/>
  <c r="AP254" i="6"/>
  <c r="AI224" i="6"/>
  <c r="AL174" i="6"/>
  <c r="AR229" i="6"/>
  <c r="AU234" i="6"/>
  <c r="AP257" i="6"/>
  <c r="AW174" i="6"/>
  <c r="AG174" i="6"/>
  <c r="AU231" i="6"/>
  <c r="AW221" i="6"/>
  <c r="AP251" i="6"/>
  <c r="AL244" i="6"/>
  <c r="AM201" i="6"/>
  <c r="AV196" i="6"/>
  <c r="AR197" i="6"/>
  <c r="AU229" i="6"/>
  <c r="AG219" i="6"/>
  <c r="AS256" i="6"/>
  <c r="AQ207" i="6"/>
  <c r="AG239" i="6"/>
  <c r="AU236" i="6"/>
  <c r="AR232" i="6"/>
  <c r="AT252" i="6"/>
  <c r="AP252" i="6"/>
  <c r="AL247" i="6"/>
  <c r="AI170" i="6"/>
  <c r="AQ204" i="6"/>
  <c r="AU237" i="6"/>
  <c r="AR231" i="6"/>
  <c r="AP249" i="6"/>
  <c r="AG214" i="6"/>
  <c r="AQ197" i="6"/>
  <c r="AQ206" i="6"/>
  <c r="AN199" i="6"/>
  <c r="AH249" i="6"/>
  <c r="AH234" i="6"/>
  <c r="AL217" i="6"/>
  <c r="AO207" i="6"/>
  <c r="AL201" i="6"/>
  <c r="AQ196" i="6"/>
  <c r="AN201" i="6"/>
  <c r="AL216" i="6"/>
  <c r="AS246" i="6"/>
  <c r="AO206" i="6"/>
  <c r="AL202" i="6"/>
  <c r="AQ194" i="6"/>
  <c r="AN202" i="6"/>
  <c r="AM254" i="6"/>
  <c r="AW251" i="6"/>
  <c r="AL214" i="6"/>
  <c r="AT165" i="6"/>
  <c r="AH170" i="6"/>
  <c r="AL245" i="6"/>
  <c r="AT166" i="6"/>
  <c r="AT167" i="6"/>
  <c r="AO204" i="6"/>
  <c r="AL199" i="6"/>
  <c r="AW207" i="6"/>
  <c r="AR196" i="6"/>
  <c r="AM256" i="6"/>
  <c r="AW252" i="6"/>
  <c r="AM249" i="6"/>
  <c r="AW176" i="6"/>
  <c r="AW206" i="6"/>
  <c r="AI209" i="6"/>
  <c r="AR194" i="6"/>
  <c r="AG224" i="6"/>
  <c r="AM257" i="6"/>
  <c r="AW249" i="6"/>
  <c r="AT249" i="6"/>
  <c r="AG254" i="6"/>
  <c r="AM252" i="6"/>
  <c r="AS247" i="6"/>
  <c r="AG245" i="6"/>
  <c r="AU197" i="6"/>
  <c r="AN197" i="6"/>
  <c r="AH189" i="6"/>
  <c r="AT211" i="6"/>
  <c r="AR221" i="6"/>
  <c r="AO234" i="6"/>
  <c r="AQ222" i="6"/>
  <c r="AW232" i="6"/>
  <c r="AV241" i="6"/>
  <c r="AN229" i="6"/>
  <c r="AW219" i="6"/>
  <c r="AL227" i="6"/>
  <c r="AT221" i="6"/>
  <c r="AT234" i="6"/>
  <c r="AI214" i="6"/>
  <c r="AQ214" i="6"/>
  <c r="AH165" i="6"/>
  <c r="AJ244" i="6"/>
  <c r="AT161" i="6"/>
  <c r="AI199" i="6"/>
  <c r="AN194" i="6"/>
  <c r="AG204" i="6"/>
  <c r="AT212" i="6"/>
  <c r="AR222" i="6"/>
  <c r="AQ219" i="6"/>
  <c r="AP239" i="6"/>
  <c r="AQ226" i="6"/>
  <c r="AV242" i="6"/>
  <c r="AS226" i="6"/>
  <c r="AL226" i="6"/>
  <c r="AT222" i="6"/>
  <c r="AT237" i="6"/>
  <c r="AT241" i="6"/>
  <c r="AQ217" i="6"/>
  <c r="AM180" i="6"/>
  <c r="AQ221" i="6"/>
  <c r="AW222" i="6"/>
  <c r="AG199" i="6"/>
  <c r="AK209" i="6"/>
  <c r="AN196" i="6"/>
  <c r="AT209" i="6"/>
  <c r="AQ239" i="6"/>
  <c r="AR219" i="6"/>
  <c r="AM219" i="6"/>
  <c r="AP241" i="6"/>
  <c r="AQ224" i="6"/>
  <c r="AL241" i="6"/>
  <c r="AS224" i="6"/>
  <c r="AQ251" i="6"/>
  <c r="AL224" i="6"/>
  <c r="AT242" i="6"/>
  <c r="AW214" i="6"/>
  <c r="AV222" i="6"/>
  <c r="AW231" i="6"/>
  <c r="AV239" i="6"/>
  <c r="AJ234" i="6"/>
  <c r="AU199" i="6"/>
  <c r="AQ241" i="6"/>
  <c r="AT226" i="6"/>
  <c r="AS221" i="6"/>
  <c r="AM221" i="6"/>
  <c r="AP242" i="6"/>
  <c r="AQ227" i="6"/>
  <c r="AL242" i="6"/>
  <c r="AS227" i="6"/>
  <c r="AM237" i="6"/>
  <c r="AK224" i="6"/>
  <c r="AQ252" i="6"/>
  <c r="AH219" i="6"/>
  <c r="AT239" i="6"/>
  <c r="AI254" i="6"/>
  <c r="AW217" i="6"/>
  <c r="AN180" i="6"/>
  <c r="AL194" i="6"/>
  <c r="AU201" i="6"/>
  <c r="AU207" i="6"/>
  <c r="AQ242" i="6"/>
  <c r="AT224" i="6"/>
  <c r="AS222" i="6"/>
  <c r="AM222" i="6"/>
  <c r="AU227" i="6"/>
  <c r="AL239" i="6"/>
  <c r="AM234" i="6"/>
  <c r="AQ249" i="6"/>
  <c r="AR256" i="6"/>
  <c r="AW216" i="6"/>
  <c r="AV214" i="6"/>
  <c r="AO214" i="6"/>
  <c r="AV244" i="6"/>
  <c r="AM199" i="6"/>
  <c r="AN231" i="6"/>
  <c r="AM202" i="6"/>
  <c r="AL196" i="6"/>
  <c r="AU202" i="6"/>
  <c r="AU204" i="6"/>
  <c r="AV219" i="6"/>
  <c r="AT227" i="6"/>
  <c r="AS219" i="6"/>
  <c r="AU226" i="6"/>
  <c r="AM236" i="6"/>
  <c r="AR257" i="6"/>
  <c r="AM217" i="6"/>
  <c r="AV217" i="6"/>
  <c r="AO217" i="6"/>
  <c r="AI244" i="6"/>
  <c r="AV247" i="6"/>
  <c r="AT171" i="6"/>
  <c r="AO189" i="6"/>
  <c r="AI160" i="6"/>
  <c r="AO244" i="6"/>
  <c r="AR212" i="6"/>
  <c r="AM239" i="6"/>
  <c r="AR181" i="6"/>
  <c r="AR182" i="6"/>
  <c r="AR209" i="6"/>
  <c r="AM189" i="6"/>
  <c r="AL236" i="6"/>
  <c r="AP224" i="6"/>
  <c r="AO231" i="6"/>
  <c r="AM209" i="6"/>
  <c r="AM191" i="6"/>
  <c r="AO232" i="6"/>
  <c r="AM211" i="6"/>
  <c r="AT232" i="6"/>
  <c r="AW227" i="6"/>
  <c r="AM212" i="6"/>
  <c r="AT206" i="6"/>
  <c r="AW224" i="6"/>
  <c r="AT229" i="6"/>
  <c r="AL237" i="6"/>
  <c r="AN244" i="6"/>
  <c r="AR180" i="6"/>
  <c r="AW246" i="6"/>
  <c r="AS194" i="6"/>
  <c r="AQ199" i="6"/>
  <c r="AT204" i="6"/>
  <c r="AM192" i="6"/>
  <c r="AM241" i="6"/>
  <c r="AW254" i="6"/>
  <c r="AP229" i="6"/>
  <c r="AR242" i="6"/>
  <c r="AL219" i="6"/>
  <c r="AP227" i="6"/>
  <c r="AW226" i="6"/>
  <c r="AN246" i="6"/>
  <c r="AW247" i="6"/>
  <c r="AO247" i="6"/>
  <c r="AS197" i="6"/>
  <c r="AR191" i="6"/>
  <c r="AQ202" i="6"/>
  <c r="AT207" i="6"/>
  <c r="AM242" i="6"/>
  <c r="AW256" i="6"/>
  <c r="AP232" i="6"/>
  <c r="AL221" i="6"/>
  <c r="AP226" i="6"/>
  <c r="AO251" i="6"/>
  <c r="AN247" i="6"/>
  <c r="AL180" i="6"/>
  <c r="AS196" i="6"/>
  <c r="AR192" i="6"/>
  <c r="AQ201" i="6"/>
  <c r="AW257" i="6"/>
  <c r="AP231" i="6"/>
  <c r="AQ229" i="6"/>
  <c r="AL222" i="6"/>
  <c r="AS231" i="6"/>
  <c r="AU256" i="6"/>
  <c r="AT217" i="6"/>
  <c r="AW244" i="6"/>
  <c r="AJ194" i="6"/>
  <c r="AR189" i="6"/>
  <c r="AQ232" i="6"/>
  <c r="AS229" i="6"/>
  <c r="AI234" i="6"/>
  <c r="AT216" i="6"/>
  <c r="AT170" i="6"/>
  <c r="AT172" i="6"/>
  <c r="AO191" i="6"/>
  <c r="AQ231" i="6"/>
  <c r="AS232" i="6"/>
  <c r="AT214" i="6"/>
  <c r="AR211" i="6"/>
  <c r="AS192" i="6"/>
  <c r="AT194" i="6"/>
  <c r="AO192" i="6"/>
  <c r="AT231" i="6"/>
  <c r="AL234" i="6"/>
  <c r="AO229" i="6"/>
  <c r="AP246" i="6"/>
  <c r="AL192" i="6"/>
  <c r="AL212" i="6"/>
  <c r="AR227" i="6"/>
  <c r="AO221" i="6"/>
  <c r="AN236" i="6"/>
  <c r="AU249" i="6"/>
  <c r="AK214" i="6"/>
  <c r="AL170" i="6"/>
  <c r="AR247" i="6"/>
  <c r="AL191" i="6"/>
  <c r="AO222" i="6"/>
  <c r="AV234" i="6"/>
  <c r="AU252" i="6"/>
  <c r="AM227" i="6"/>
  <c r="AR217" i="6"/>
  <c r="AR246" i="6"/>
  <c r="AO219" i="6"/>
  <c r="AV237" i="6"/>
  <c r="AI239" i="6"/>
  <c r="AM226" i="6"/>
  <c r="AR216" i="6"/>
  <c r="AT182" i="6"/>
  <c r="AH199" i="6"/>
  <c r="AH209" i="6"/>
  <c r="AJ204" i="6"/>
  <c r="AW192" i="6"/>
  <c r="AV236" i="6"/>
  <c r="AM224" i="6"/>
  <c r="AV224" i="6"/>
  <c r="AR214" i="6"/>
  <c r="AT181" i="6"/>
  <c r="AW189" i="6"/>
  <c r="AV226" i="6"/>
  <c r="AT180" i="6"/>
  <c r="AW191" i="6"/>
  <c r="AH239" i="6"/>
  <c r="AV227" i="6"/>
  <c r="AL209" i="6"/>
  <c r="AR226" i="6"/>
  <c r="AI229" i="6"/>
  <c r="AN237" i="6"/>
  <c r="AR204" i="6"/>
  <c r="AT196" i="6"/>
  <c r="AK194" i="6"/>
  <c r="AI219" i="6"/>
  <c r="AO241" i="6"/>
  <c r="AR239" i="6"/>
  <c r="AU257" i="6"/>
  <c r="AO252" i="6"/>
  <c r="AM246" i="6"/>
  <c r="AM160" i="6"/>
  <c r="AH175" i="6"/>
  <c r="AI180" i="6"/>
  <c r="AH204" i="6"/>
  <c r="AR206" i="6"/>
  <c r="AT197" i="6"/>
  <c r="AO242" i="6"/>
  <c r="AO249" i="6"/>
  <c r="AR207" i="6"/>
  <c r="AG234" i="6"/>
  <c r="AT175" i="6"/>
  <c r="AU192" i="6"/>
  <c r="AM244" i="6"/>
  <c r="AT174" i="6"/>
  <c r="AH245" i="6"/>
  <c r="AU189" i="6"/>
  <c r="AU219" i="6"/>
  <c r="AP247" i="6"/>
  <c r="AR160" i="6"/>
  <c r="AT176" i="6"/>
  <c r="AR162" i="6"/>
  <c r="AS189" i="6"/>
  <c r="AU191" i="6"/>
  <c r="AK239" i="6"/>
  <c r="AU221" i="6"/>
  <c r="AR159" i="6"/>
  <c r="AP245" i="6"/>
  <c r="AS191" i="6"/>
  <c r="AU222" i="6"/>
  <c r="AR241" i="6"/>
  <c r="AH229" i="6"/>
  <c r="AU254" i="6"/>
  <c r="AM247" i="6"/>
  <c r="AI150" i="6"/>
  <c r="AG150" i="6"/>
  <c r="AG38" i="6"/>
  <c r="AI38" i="6"/>
  <c r="AH150" i="6"/>
  <c r="AH38" i="6"/>
  <c r="V121" i="6"/>
  <c r="V194" i="6"/>
  <c r="S50" i="6"/>
  <c r="S49" i="6"/>
  <c r="AF164" i="6"/>
  <c r="AF214" i="6"/>
  <c r="AF189" i="6"/>
  <c r="AF234" i="6"/>
  <c r="AF219" i="6"/>
  <c r="AF169" i="6"/>
  <c r="AF184" i="6"/>
  <c r="AF244" i="6"/>
  <c r="AF160" i="6"/>
  <c r="V229" i="6"/>
  <c r="AB189" i="6"/>
  <c r="AF239" i="6"/>
  <c r="AF209" i="6"/>
  <c r="V244" i="6"/>
  <c r="V204" i="6"/>
  <c r="V224" i="6"/>
  <c r="V219" i="6"/>
  <c r="V249" i="6"/>
  <c r="V199" i="6"/>
  <c r="AA244" i="6"/>
  <c r="AC244" i="6"/>
  <c r="AE244" i="6"/>
  <c r="U244" i="6"/>
  <c r="U245" i="6"/>
  <c r="AD244" i="6"/>
  <c r="W244" i="6"/>
  <c r="X244" i="6"/>
  <c r="Z244" i="6"/>
  <c r="Y244" i="6"/>
  <c r="AA189" i="6"/>
  <c r="U184" i="6"/>
  <c r="AE184" i="6"/>
  <c r="AE185" i="6"/>
  <c r="Z184" i="6"/>
  <c r="AD184" i="6"/>
  <c r="AD185" i="6"/>
  <c r="Y184" i="6"/>
  <c r="AC184" i="6"/>
  <c r="X184" i="6"/>
  <c r="AA184" i="6"/>
  <c r="W184" i="6"/>
  <c r="AC179" i="6"/>
  <c r="AD179" i="6"/>
  <c r="X179" i="6"/>
  <c r="AE179" i="6"/>
  <c r="Z179" i="6"/>
  <c r="Y179" i="6"/>
  <c r="AA179" i="6"/>
  <c r="U179" i="6"/>
  <c r="W179" i="6"/>
  <c r="W174" i="6"/>
  <c r="AC174" i="6"/>
  <c r="X174" i="6"/>
  <c r="Y174" i="6"/>
  <c r="AD174" i="6"/>
  <c r="Z174" i="6"/>
  <c r="AE174" i="6"/>
  <c r="AA174" i="6"/>
  <c r="U174" i="6"/>
  <c r="U169" i="6"/>
  <c r="W169" i="6"/>
  <c r="AC169" i="6"/>
  <c r="X169" i="6"/>
  <c r="AA169" i="6"/>
  <c r="AD169" i="6"/>
  <c r="AE169" i="6"/>
  <c r="Z169" i="6"/>
  <c r="Y169" i="6"/>
  <c r="Z164" i="6"/>
  <c r="U164" i="6"/>
  <c r="AD164" i="6"/>
  <c r="X164" i="6"/>
  <c r="AE164" i="6"/>
  <c r="AC164" i="6"/>
  <c r="Y164" i="6"/>
  <c r="AA164" i="6"/>
  <c r="W164" i="6"/>
  <c r="AC159" i="6"/>
  <c r="AD159" i="6"/>
  <c r="AE159" i="6"/>
  <c r="X159" i="6"/>
  <c r="Y159" i="6"/>
  <c r="W159" i="6"/>
  <c r="Z159" i="6"/>
  <c r="AA159" i="6"/>
  <c r="U121" i="6"/>
  <c r="U214" i="6"/>
  <c r="AD214" i="6"/>
  <c r="Z214" i="6"/>
  <c r="AC214" i="6"/>
  <c r="Y214" i="6"/>
  <c r="X214" i="6"/>
  <c r="W214" i="6"/>
  <c r="AA214" i="6"/>
  <c r="AE214" i="6"/>
  <c r="AA150" i="6"/>
  <c r="AE150" i="6"/>
  <c r="AF150" i="6"/>
  <c r="AB150" i="6"/>
  <c r="AD150" i="6"/>
  <c r="AC150" i="6"/>
  <c r="AC249" i="6"/>
  <c r="W239" i="6"/>
  <c r="AE229" i="6"/>
  <c r="X229" i="6"/>
  <c r="U249" i="6"/>
  <c r="Y234" i="6"/>
  <c r="Z219" i="6"/>
  <c r="AD224" i="6"/>
  <c r="U234" i="6"/>
  <c r="Y229" i="6"/>
  <c r="Z229" i="6"/>
  <c r="AC224" i="6"/>
  <c r="W224" i="6"/>
  <c r="AE234" i="6"/>
  <c r="X249" i="6"/>
  <c r="U239" i="6"/>
  <c r="Y254" i="6"/>
  <c r="Z239" i="6"/>
  <c r="AA224" i="6"/>
  <c r="AD229" i="6"/>
  <c r="X224" i="6"/>
  <c r="AA254" i="6"/>
  <c r="AC229" i="6"/>
  <c r="W229" i="6"/>
  <c r="AE239" i="6"/>
  <c r="X254" i="6"/>
  <c r="U254" i="6"/>
  <c r="Z254" i="6"/>
  <c r="AA229" i="6"/>
  <c r="AD239" i="6"/>
  <c r="AC234" i="6"/>
  <c r="W249" i="6"/>
  <c r="AE249" i="6"/>
  <c r="X239" i="6"/>
  <c r="Y249" i="6"/>
  <c r="Z234" i="6"/>
  <c r="AA234" i="6"/>
  <c r="AD219" i="6"/>
  <c r="W219" i="6"/>
  <c r="AC219" i="6"/>
  <c r="W234" i="6"/>
  <c r="AE254" i="6"/>
  <c r="U224" i="6"/>
  <c r="Y219" i="6"/>
  <c r="Z249" i="6"/>
  <c r="AA219" i="6"/>
  <c r="AD234" i="6"/>
  <c r="AC239" i="6"/>
  <c r="W254" i="6"/>
  <c r="X219" i="6"/>
  <c r="U229" i="6"/>
  <c r="Y239" i="6"/>
  <c r="AA239" i="6"/>
  <c r="AD249" i="6"/>
  <c r="AE224" i="6"/>
  <c r="AC254" i="6"/>
  <c r="AE219" i="6"/>
  <c r="X234" i="6"/>
  <c r="U219" i="6"/>
  <c r="Y224" i="6"/>
  <c r="Z224" i="6"/>
  <c r="AA249" i="6"/>
  <c r="AD254" i="6"/>
  <c r="U189" i="6"/>
  <c r="Z209" i="6"/>
  <c r="AE189" i="6"/>
  <c r="Y209" i="6"/>
  <c r="AA199" i="6"/>
  <c r="AC199" i="6"/>
  <c r="U194" i="6"/>
  <c r="Z204" i="6"/>
  <c r="AE204" i="6"/>
  <c r="Y194" i="6"/>
  <c r="AD194" i="6"/>
  <c r="AC189" i="6"/>
  <c r="U199" i="6"/>
  <c r="AE199" i="6"/>
  <c r="Y189" i="6"/>
  <c r="AD189" i="6"/>
  <c r="AC209" i="6"/>
  <c r="X199" i="6"/>
  <c r="U204" i="6"/>
  <c r="Y204" i="6"/>
  <c r="AD199" i="6"/>
  <c r="W194" i="6"/>
  <c r="X189" i="6"/>
  <c r="U209" i="6"/>
  <c r="AA204" i="6"/>
  <c r="AD204" i="6"/>
  <c r="W204" i="6"/>
  <c r="X194" i="6"/>
  <c r="Z189" i="6"/>
  <c r="AD209" i="6"/>
  <c r="W189" i="6"/>
  <c r="X204" i="6"/>
  <c r="Z194" i="6"/>
  <c r="AE209" i="6"/>
  <c r="AA194" i="6"/>
  <c r="AC194" i="6"/>
  <c r="W209" i="6"/>
  <c r="X209" i="6"/>
  <c r="Z199" i="6"/>
  <c r="AE194" i="6"/>
  <c r="Y199" i="6"/>
  <c r="AA209" i="6"/>
  <c r="AC204" i="6"/>
  <c r="W199" i="6"/>
  <c r="X121" i="6"/>
  <c r="Z121" i="6"/>
  <c r="W121" i="6"/>
  <c r="Y121" i="6"/>
  <c r="S136" i="6"/>
  <c r="S144" i="6"/>
  <c r="S134" i="6"/>
  <c r="S142" i="6"/>
  <c r="S138" i="6"/>
  <c r="S141" i="6"/>
  <c r="S145" i="6"/>
  <c r="S143" i="6"/>
  <c r="S140" i="6"/>
  <c r="S139" i="6"/>
  <c r="S137" i="6"/>
  <c r="S135" i="6"/>
  <c r="S133" i="6"/>
  <c r="S131" i="6"/>
  <c r="S132" i="6"/>
  <c r="S148" i="6"/>
  <c r="S149" i="6"/>
  <c r="S146" i="6"/>
  <c r="S147" i="6"/>
  <c r="S130" i="6"/>
  <c r="V150" i="6"/>
  <c r="Y150" i="6"/>
  <c r="U150" i="6"/>
  <c r="W150" i="6"/>
  <c r="Z150" i="6"/>
  <c r="X150" i="6"/>
  <c r="U122" i="6"/>
  <c r="W122" i="6"/>
  <c r="AU27" i="5" l="1"/>
  <c r="AU38" i="5"/>
  <c r="AU25" i="5"/>
  <c r="T57" i="6" l="1"/>
  <c r="AU90" i="5"/>
  <c r="T157" i="6"/>
  <c r="T213" i="6" s="1"/>
  <c r="T215" i="6" s="1"/>
  <c r="T193" i="6" l="1"/>
  <c r="T195" i="6" s="1"/>
  <c r="T243" i="6"/>
  <c r="T245" i="6" s="1"/>
  <c r="T188" i="6"/>
  <c r="T190" i="6" s="1"/>
  <c r="T183" i="6"/>
  <c r="T185" i="6" s="1"/>
  <c r="T248" i="6"/>
  <c r="T250" i="6" s="1"/>
  <c r="T253" i="6"/>
  <c r="T233" i="6"/>
  <c r="T235" i="6" s="1"/>
  <c r="T218" i="6"/>
  <c r="T220" i="6" s="1"/>
  <c r="T228" i="6"/>
  <c r="T230" i="6" s="1"/>
  <c r="T223" i="6"/>
  <c r="T225" i="6" s="1"/>
  <c r="T238" i="6"/>
  <c r="T240" i="6" s="1"/>
  <c r="T208" i="6"/>
  <c r="T210" i="6" s="1"/>
  <c r="T203" i="6"/>
  <c r="T205" i="6" s="1"/>
  <c r="T198" i="6"/>
  <c r="T200" i="6" s="1"/>
  <c r="T150" i="6"/>
  <c r="S150" i="6" s="1"/>
  <c r="T168" i="6"/>
  <c r="T163" i="6"/>
  <c r="T173" i="6"/>
  <c r="T178" i="6"/>
  <c r="T158" i="6"/>
  <c r="T122" i="6" l="1"/>
  <c r="S122" i="6" s="1"/>
  <c r="AG41" i="6" l="1"/>
  <c r="AL166" i="6" l="1"/>
  <c r="AL167" i="6"/>
  <c r="AJ41" i="6"/>
  <c r="AL162" i="6"/>
  <c r="AL161" i="6"/>
  <c r="AM167" i="6"/>
  <c r="AM166" i="6"/>
  <c r="AL172" i="6"/>
  <c r="AL171" i="6"/>
  <c r="AI41" i="6"/>
  <c r="AM162" i="6" l="1"/>
  <c r="AM161" i="6"/>
  <c r="AN166" i="6"/>
  <c r="AN167" i="6"/>
  <c r="AM171" i="6"/>
  <c r="AM172" i="6"/>
  <c r="AH41" i="6"/>
  <c r="AN172" i="6" l="1"/>
  <c r="AN171" i="6"/>
  <c r="AO166" i="6"/>
  <c r="AO167" i="6"/>
  <c r="AK41" i="6"/>
  <c r="AN162" i="6"/>
  <c r="AN161" i="6"/>
  <c r="AO171" i="6" l="1"/>
  <c r="AO172" i="6"/>
  <c r="AO161" i="6"/>
  <c r="AO162" i="6"/>
  <c r="AL176" i="6"/>
  <c r="AL177" i="6"/>
  <c r="AP166" i="6"/>
  <c r="AP167" i="6"/>
  <c r="AP161" i="6" l="1"/>
  <c r="AP162" i="6"/>
  <c r="AM177" i="6"/>
  <c r="AM176" i="6"/>
  <c r="AL41" i="6"/>
  <c r="AP171" i="6"/>
  <c r="AP172" i="6"/>
  <c r="AL182" i="6" l="1"/>
  <c r="AL43" i="6" s="1"/>
  <c r="AL181" i="6"/>
  <c r="AN177" i="6"/>
  <c r="AN176" i="6"/>
  <c r="AO177" i="6" l="1"/>
  <c r="AO176" i="6"/>
  <c r="AM41" i="6"/>
  <c r="AM181" i="6" l="1"/>
  <c r="AM182" i="6"/>
  <c r="AM43" i="6" s="1"/>
  <c r="AP177" i="6"/>
  <c r="AP176" i="6"/>
  <c r="AN41" i="6" l="1"/>
  <c r="AN182" i="6" l="1"/>
  <c r="AN43" i="6" s="1"/>
  <c r="AN181" i="6"/>
  <c r="AO182" i="6" l="1"/>
  <c r="AO181" i="6" l="1"/>
  <c r="AP181" i="6" l="1"/>
  <c r="AO41" i="6"/>
  <c r="AO43" i="6" s="1"/>
  <c r="AP182" i="6" l="1"/>
  <c r="AP41" i="6" l="1"/>
  <c r="AP43" i="6" l="1"/>
  <c r="AU95" i="5"/>
  <c r="AU96" i="5" s="1"/>
  <c r="T63" i="6" l="1"/>
  <c r="T66" i="6"/>
  <c r="T61" i="6"/>
  <c r="T60" i="6"/>
  <c r="T68" i="6"/>
  <c r="T62" i="6"/>
  <c r="T64" i="6"/>
  <c r="T67" i="6"/>
  <c r="T65" i="6"/>
  <c r="T59" i="6"/>
  <c r="T98" i="6"/>
  <c r="S98" i="6" s="1"/>
  <c r="T112" i="6"/>
  <c r="S112" i="6" s="1"/>
  <c r="T101" i="6"/>
  <c r="S101" i="6" s="1"/>
  <c r="T106" i="6"/>
  <c r="S106" i="6" s="1"/>
  <c r="T119" i="6"/>
  <c r="T92" i="6"/>
  <c r="S92" i="6" s="1"/>
  <c r="T105" i="6"/>
  <c r="S105" i="6" s="1"/>
  <c r="T109" i="6"/>
  <c r="S109" i="6" s="1"/>
  <c r="T91" i="6"/>
  <c r="S91" i="6" s="1"/>
  <c r="T100" i="6"/>
  <c r="S100" i="6" s="1"/>
  <c r="T113" i="6"/>
  <c r="S113" i="6" s="1"/>
  <c r="T117" i="6"/>
  <c r="T115" i="6"/>
  <c r="S115" i="6" s="1"/>
  <c r="T108" i="6"/>
  <c r="S108" i="6" s="1"/>
  <c r="T90" i="6"/>
  <c r="S90" i="6" s="1"/>
  <c r="T110" i="6"/>
  <c r="S110" i="6" s="1"/>
  <c r="T94" i="6"/>
  <c r="S94" i="6" s="1"/>
  <c r="T93" i="6"/>
  <c r="S93" i="6" s="1"/>
  <c r="T116" i="6"/>
  <c r="T114" i="6"/>
  <c r="S114" i="6" s="1"/>
  <c r="T118" i="6"/>
  <c r="T95" i="6"/>
  <c r="S95" i="6" s="1"/>
  <c r="T102" i="6"/>
  <c r="S102" i="6" s="1"/>
  <c r="T99" i="6"/>
  <c r="S99" i="6" s="1"/>
  <c r="T111" i="6"/>
  <c r="S111" i="6" s="1"/>
  <c r="T96" i="6"/>
  <c r="S96" i="6" s="1"/>
  <c r="T97" i="6"/>
  <c r="S97" i="6" s="1"/>
  <c r="T103" i="6"/>
  <c r="S103" i="6" s="1"/>
  <c r="T107" i="6"/>
  <c r="S107" i="6" s="1"/>
  <c r="T104" i="6"/>
  <c r="S104" i="6" s="1"/>
  <c r="T70" i="6"/>
  <c r="T71" i="6"/>
  <c r="S71" i="6" s="1"/>
  <c r="T89" i="6"/>
  <c r="S89" i="6" s="1"/>
  <c r="T85" i="6"/>
  <c r="S85" i="6" s="1"/>
  <c r="T80" i="6"/>
  <c r="S80" i="6" s="1"/>
  <c r="T83" i="6"/>
  <c r="S83" i="6" s="1"/>
  <c r="T79" i="6"/>
  <c r="S79" i="6" s="1"/>
  <c r="T74" i="6"/>
  <c r="S74" i="6" s="1"/>
  <c r="T78" i="6"/>
  <c r="S78" i="6" s="1"/>
  <c r="T73" i="6"/>
  <c r="S73" i="6" s="1"/>
  <c r="T84" i="6"/>
  <c r="S84" i="6" s="1"/>
  <c r="T87" i="6"/>
  <c r="S87" i="6" s="1"/>
  <c r="T82" i="6"/>
  <c r="S82" i="6" s="1"/>
  <c r="T86" i="6"/>
  <c r="S86" i="6" s="1"/>
  <c r="T76" i="6"/>
  <c r="S76" i="6" s="1"/>
  <c r="T81" i="6"/>
  <c r="S81" i="6" s="1"/>
  <c r="T72" i="6"/>
  <c r="S72" i="6" s="1"/>
  <c r="T75" i="6"/>
  <c r="S75" i="6" s="1"/>
  <c r="T88" i="6"/>
  <c r="S88" i="6" s="1"/>
  <c r="T77" i="6"/>
  <c r="S77" i="6" s="1"/>
  <c r="AU104" i="5"/>
  <c r="T120" i="6" s="1"/>
  <c r="S120" i="6" s="1"/>
  <c r="D39" i="5"/>
  <c r="D51" i="5"/>
  <c r="D59" i="5"/>
  <c r="D67" i="5"/>
  <c r="D75" i="5"/>
  <c r="D83" i="5"/>
  <c r="D50" i="5"/>
  <c r="D58" i="5"/>
  <c r="D66" i="5"/>
  <c r="D74" i="5"/>
  <c r="D82" i="5"/>
  <c r="D57" i="5"/>
  <c r="D65" i="5"/>
  <c r="D73" i="5"/>
  <c r="D81" i="5"/>
  <c r="D56" i="5"/>
  <c r="D64" i="5"/>
  <c r="D72" i="5"/>
  <c r="D80" i="5"/>
  <c r="D88" i="5"/>
  <c r="D55" i="5"/>
  <c r="D63" i="5"/>
  <c r="D71" i="5"/>
  <c r="D79" i="5"/>
  <c r="D87" i="5"/>
  <c r="D54" i="5"/>
  <c r="D62" i="5"/>
  <c r="D70" i="5"/>
  <c r="D78" i="5"/>
  <c r="D86" i="5"/>
  <c r="D53" i="5"/>
  <c r="D61" i="5"/>
  <c r="D69" i="5"/>
  <c r="D77" i="5"/>
  <c r="D85" i="5"/>
  <c r="D52" i="5"/>
  <c r="D60" i="5"/>
  <c r="D68" i="5"/>
  <c r="D76" i="5"/>
  <c r="D84" i="5"/>
  <c r="D41" i="5"/>
  <c r="D49" i="5"/>
  <c r="D40" i="5"/>
  <c r="D48" i="5"/>
  <c r="D45" i="5"/>
  <c r="D47" i="5"/>
  <c r="D42" i="5"/>
  <c r="D46" i="5"/>
  <c r="D44" i="5"/>
  <c r="D43" i="5"/>
  <c r="D32" i="5"/>
  <c r="D33" i="5"/>
  <c r="D34" i="5"/>
  <c r="D29" i="5"/>
  <c r="D30" i="5"/>
  <c r="D31" i="5"/>
  <c r="D36" i="5"/>
  <c r="D37" i="5"/>
  <c r="D35" i="5"/>
  <c r="D28" i="5"/>
  <c r="AJ85" i="5"/>
  <c r="AJ76" i="5"/>
  <c r="AJ41" i="5"/>
  <c r="AJ45" i="5"/>
  <c r="AJ49" i="5"/>
  <c r="AJ53" i="5"/>
  <c r="AJ57" i="5"/>
  <c r="AJ61" i="5"/>
  <c r="AJ65" i="5"/>
  <c r="AJ69" i="5"/>
  <c r="AJ73" i="5"/>
  <c r="AJ77" i="5"/>
  <c r="AJ81" i="5"/>
  <c r="AJ80" i="5"/>
  <c r="AJ84" i="5"/>
  <c r="AJ42" i="5"/>
  <c r="AJ46" i="5"/>
  <c r="AJ50" i="5"/>
  <c r="AJ54" i="5"/>
  <c r="AJ58" i="5"/>
  <c r="AJ62" i="5"/>
  <c r="AJ66" i="5"/>
  <c r="AJ70" i="5"/>
  <c r="AJ74" i="5"/>
  <c r="AJ78" i="5"/>
  <c r="AJ82" i="5"/>
  <c r="AJ86" i="5"/>
  <c r="AJ88" i="5"/>
  <c r="AJ56" i="5"/>
  <c r="AJ64" i="5"/>
  <c r="AJ43" i="5"/>
  <c r="AJ47" i="5"/>
  <c r="AJ51" i="5"/>
  <c r="AJ55" i="5"/>
  <c r="AJ59" i="5"/>
  <c r="AJ63" i="5"/>
  <c r="AJ67" i="5"/>
  <c r="AJ71" i="5"/>
  <c r="AJ75" i="5"/>
  <c r="AJ79" i="5"/>
  <c r="AJ83" i="5"/>
  <c r="AJ87" i="5"/>
  <c r="AJ40" i="5"/>
  <c r="AJ44" i="5"/>
  <c r="AJ48" i="5"/>
  <c r="AJ68" i="5"/>
  <c r="AJ72" i="5"/>
  <c r="AJ52" i="5"/>
  <c r="AJ60" i="5"/>
  <c r="AJ30" i="5"/>
  <c r="AJ31" i="5"/>
  <c r="AJ32" i="5"/>
  <c r="AJ29" i="5"/>
  <c r="AJ33" i="5"/>
  <c r="AJ34" i="5"/>
  <c r="AJ28" i="5"/>
  <c r="AJ39" i="5"/>
  <c r="AJ36" i="5"/>
  <c r="AU97" i="5"/>
  <c r="AJ35" i="5"/>
  <c r="AJ37" i="5"/>
  <c r="S117" i="6" l="1"/>
  <c r="S116" i="6"/>
  <c r="S118" i="6"/>
  <c r="S119" i="6"/>
  <c r="S26" i="6"/>
  <c r="T159" i="6"/>
  <c r="T189" i="6"/>
  <c r="T40" i="6"/>
  <c r="T39" i="6" s="1"/>
  <c r="T214" i="6"/>
  <c r="S214" i="6" s="1"/>
  <c r="T244" i="6"/>
  <c r="S244" i="6" s="1"/>
  <c r="T184" i="6"/>
  <c r="T179" i="6"/>
  <c r="T169" i="6"/>
  <c r="T164" i="6"/>
  <c r="T174" i="6"/>
  <c r="T175" i="6" s="1"/>
  <c r="T254" i="6"/>
  <c r="T255" i="6" s="1"/>
  <c r="T249" i="6"/>
  <c r="T234" i="6"/>
  <c r="T239" i="6"/>
  <c r="T209" i="6"/>
  <c r="T229" i="6"/>
  <c r="T199" i="6"/>
  <c r="T224" i="6"/>
  <c r="T194" i="6"/>
  <c r="T219" i="6"/>
  <c r="T204" i="6"/>
  <c r="AK52" i="5"/>
  <c r="AL52" i="5"/>
  <c r="AL79" i="5"/>
  <c r="AK79" i="5"/>
  <c r="AL47" i="5"/>
  <c r="AK47" i="5"/>
  <c r="AK74" i="5"/>
  <c r="AL74" i="5"/>
  <c r="AK42" i="5"/>
  <c r="AL42" i="5"/>
  <c r="AK61" i="5"/>
  <c r="AL61" i="5"/>
  <c r="AK72" i="5"/>
  <c r="AL72" i="5"/>
  <c r="AL75" i="5"/>
  <c r="AK75" i="5"/>
  <c r="AL43" i="5"/>
  <c r="AK43" i="5"/>
  <c r="AK70" i="5"/>
  <c r="AL70" i="5"/>
  <c r="AK84" i="5"/>
  <c r="AL84" i="5"/>
  <c r="AK57" i="5"/>
  <c r="AL57" i="5"/>
  <c r="AK68" i="5"/>
  <c r="AL68" i="5"/>
  <c r="AL71" i="5"/>
  <c r="AK71" i="5"/>
  <c r="AK64" i="5"/>
  <c r="AL64" i="5"/>
  <c r="AK66" i="5"/>
  <c r="AL66" i="5"/>
  <c r="AK80" i="5"/>
  <c r="AL80" i="5"/>
  <c r="AK53" i="5"/>
  <c r="AL53" i="5"/>
  <c r="AK48" i="5"/>
  <c r="AL48" i="5"/>
  <c r="AL67" i="5"/>
  <c r="AK67" i="5"/>
  <c r="AK56" i="5"/>
  <c r="AL56" i="5"/>
  <c r="AK62" i="5"/>
  <c r="AL62" i="5"/>
  <c r="AK81" i="5"/>
  <c r="AL81" i="5"/>
  <c r="AK49" i="5"/>
  <c r="AL49" i="5"/>
  <c r="AK44" i="5"/>
  <c r="AL44" i="5"/>
  <c r="AL63" i="5"/>
  <c r="AK63" i="5"/>
  <c r="AK88" i="5"/>
  <c r="AL88" i="5"/>
  <c r="AK58" i="5"/>
  <c r="AL58" i="5"/>
  <c r="AK77" i="5"/>
  <c r="AL77" i="5"/>
  <c r="AK45" i="5"/>
  <c r="AL45" i="5"/>
  <c r="AK40" i="5"/>
  <c r="AL40" i="5"/>
  <c r="AL59" i="5"/>
  <c r="AK59" i="5"/>
  <c r="AK86" i="5"/>
  <c r="AL86" i="5"/>
  <c r="AK54" i="5"/>
  <c r="AL54" i="5"/>
  <c r="AK73" i="5"/>
  <c r="AL73" i="5"/>
  <c r="AK41" i="5"/>
  <c r="AL41" i="5"/>
  <c r="AL87" i="5"/>
  <c r="AK87" i="5"/>
  <c r="AL55" i="5"/>
  <c r="AK55" i="5"/>
  <c r="AK82" i="5"/>
  <c r="AL82" i="5"/>
  <c r="AK50" i="5"/>
  <c r="AL50" i="5"/>
  <c r="AK69" i="5"/>
  <c r="AL69" i="5"/>
  <c r="AK76" i="5"/>
  <c r="AL76" i="5"/>
  <c r="AK60" i="5"/>
  <c r="AL60" i="5"/>
  <c r="AL83" i="5"/>
  <c r="AK83" i="5"/>
  <c r="AL51" i="5"/>
  <c r="AK51" i="5"/>
  <c r="AK78" i="5"/>
  <c r="AL78" i="5"/>
  <c r="AK46" i="5"/>
  <c r="AL46" i="5"/>
  <c r="AK65" i="5"/>
  <c r="AL65" i="5"/>
  <c r="AK85" i="5"/>
  <c r="AL85" i="5"/>
  <c r="AK33" i="5"/>
  <c r="AL33" i="5"/>
  <c r="AK29" i="5"/>
  <c r="AL29" i="5"/>
  <c r="AK32" i="5"/>
  <c r="AL32" i="5"/>
  <c r="AL31" i="5"/>
  <c r="AK31" i="5"/>
  <c r="AK30" i="5"/>
  <c r="AL30" i="5"/>
  <c r="AK28" i="5"/>
  <c r="AL28" i="5"/>
  <c r="AK34" i="5"/>
  <c r="AL34" i="5"/>
  <c r="AJ90" i="5"/>
  <c r="AK36" i="5"/>
  <c r="AL36" i="5"/>
  <c r="AL39" i="5"/>
  <c r="AK39" i="5"/>
  <c r="AK37" i="5"/>
  <c r="AL37" i="5"/>
  <c r="AL35" i="5"/>
  <c r="AK35" i="5"/>
  <c r="S70" i="6"/>
  <c r="AU106" i="5"/>
  <c r="S23" i="6"/>
  <c r="T69" i="6" l="1"/>
  <c r="T180" i="6"/>
  <c r="T182" i="6" s="1"/>
  <c r="T170" i="6"/>
  <c r="T172" i="6" s="1"/>
  <c r="S164" i="6"/>
  <c r="T165" i="6"/>
  <c r="T167" i="6" s="1"/>
  <c r="T176" i="6"/>
  <c r="T160" i="6"/>
  <c r="S22" i="6"/>
  <c r="S28" i="6" s="1"/>
  <c r="T217" i="6"/>
  <c r="T216" i="6"/>
  <c r="U215" i="6" s="1"/>
  <c r="S159" i="6"/>
  <c r="T246" i="6"/>
  <c r="T247" i="6"/>
  <c r="S169" i="6"/>
  <c r="S179" i="6"/>
  <c r="S174" i="6"/>
  <c r="S184" i="6"/>
  <c r="T187" i="6"/>
  <c r="T186" i="6"/>
  <c r="U185" i="6" s="1"/>
  <c r="T177" i="6"/>
  <c r="S199" i="6"/>
  <c r="T202" i="6"/>
  <c r="T201" i="6"/>
  <c r="S189" i="6"/>
  <c r="T192" i="6"/>
  <c r="T191" i="6"/>
  <c r="U190" i="6" s="1"/>
  <c r="S229" i="6"/>
  <c r="T232" i="6"/>
  <c r="T231" i="6"/>
  <c r="S209" i="6"/>
  <c r="T211" i="6"/>
  <c r="U210" i="6" s="1"/>
  <c r="T212" i="6"/>
  <c r="S204" i="6"/>
  <c r="T207" i="6"/>
  <c r="T206" i="6"/>
  <c r="S239" i="6"/>
  <c r="T242" i="6"/>
  <c r="T241" i="6"/>
  <c r="U240" i="6" s="1"/>
  <c r="S219" i="6"/>
  <c r="T221" i="6"/>
  <c r="T222" i="6"/>
  <c r="S234" i="6"/>
  <c r="T236" i="6"/>
  <c r="U235" i="6" s="1"/>
  <c r="T237" i="6"/>
  <c r="S194" i="6"/>
  <c r="T197" i="6"/>
  <c r="T196" i="6"/>
  <c r="S249" i="6"/>
  <c r="T252" i="6"/>
  <c r="T251" i="6"/>
  <c r="S224" i="6"/>
  <c r="T227" i="6"/>
  <c r="T226" i="6"/>
  <c r="S254" i="6"/>
  <c r="T256" i="6"/>
  <c r="U255" i="6" s="1"/>
  <c r="T257" i="6"/>
  <c r="AL90" i="5"/>
  <c r="S25" i="6" s="1"/>
  <c r="S40" i="6"/>
  <c r="S39" i="6"/>
  <c r="AK90" i="5"/>
  <c r="T181" i="6" l="1"/>
  <c r="T171" i="6"/>
  <c r="U170" i="6" s="1"/>
  <c r="U175" i="6"/>
  <c r="U176" i="6" s="1"/>
  <c r="T166" i="6"/>
  <c r="U165" i="6" s="1"/>
  <c r="U167" i="6" s="1"/>
  <c r="T38" i="6"/>
  <c r="T41" i="6" s="1"/>
  <c r="S69" i="6"/>
  <c r="T161" i="6"/>
  <c r="U160" i="6" s="1"/>
  <c r="T162" i="6"/>
  <c r="T42" i="6" s="1"/>
  <c r="U247" i="6"/>
  <c r="U246" i="6"/>
  <c r="U186" i="6"/>
  <c r="V185" i="6" s="1"/>
  <c r="U236" i="6"/>
  <c r="V235" i="6" s="1"/>
  <c r="U207" i="6"/>
  <c r="U206" i="6"/>
  <c r="U252" i="6"/>
  <c r="U251" i="6"/>
  <c r="U222" i="6"/>
  <c r="U221" i="6"/>
  <c r="U257" i="6"/>
  <c r="U256" i="6"/>
  <c r="V255" i="6" s="1"/>
  <c r="U196" i="6"/>
  <c r="U197" i="6"/>
  <c r="U212" i="6"/>
  <c r="U202" i="6"/>
  <c r="U201" i="6"/>
  <c r="U242" i="6"/>
  <c r="U226" i="6"/>
  <c r="U227" i="6"/>
  <c r="U231" i="6"/>
  <c r="U232" i="6"/>
  <c r="S24" i="6"/>
  <c r="S68" i="6" l="1"/>
  <c r="U177" i="6"/>
  <c r="U172" i="6"/>
  <c r="U171" i="6"/>
  <c r="V170" i="6" s="1"/>
  <c r="U180" i="6"/>
  <c r="U181" i="6" s="1"/>
  <c r="V175" i="6"/>
  <c r="V176" i="6" s="1"/>
  <c r="W175" i="6" s="1"/>
  <c r="U166" i="6"/>
  <c r="V165" i="6" s="1"/>
  <c r="V167" i="6" s="1"/>
  <c r="U162" i="6"/>
  <c r="U161" i="6"/>
  <c r="V160" i="6" s="1"/>
  <c r="U217" i="6"/>
  <c r="U216" i="6"/>
  <c r="V215" i="6" s="1"/>
  <c r="V247" i="6"/>
  <c r="V246" i="6"/>
  <c r="W245" i="6" s="1"/>
  <c r="V186" i="6"/>
  <c r="W185" i="6" s="1"/>
  <c r="U187" i="6"/>
  <c r="U211" i="6"/>
  <c r="U237" i="6"/>
  <c r="U241" i="6"/>
  <c r="V236" i="6"/>
  <c r="W235" i="6" s="1"/>
  <c r="V196" i="6"/>
  <c r="W195" i="6" s="1"/>
  <c r="V197" i="6"/>
  <c r="V251" i="6"/>
  <c r="V252" i="6"/>
  <c r="V257" i="6"/>
  <c r="V256" i="6"/>
  <c r="W255" i="6" s="1"/>
  <c r="V201" i="6"/>
  <c r="V202" i="6"/>
  <c r="V207" i="6"/>
  <c r="V206" i="6"/>
  <c r="V222" i="6"/>
  <c r="V221" i="6"/>
  <c r="W220" i="6" s="1"/>
  <c r="V231" i="6"/>
  <c r="V232" i="6"/>
  <c r="U191" i="6"/>
  <c r="V190" i="6" s="1"/>
  <c r="V227" i="6"/>
  <c r="V226" i="6"/>
  <c r="U192" i="6"/>
  <c r="T43" i="6"/>
  <c r="S67" i="6" l="1"/>
  <c r="U38" i="6"/>
  <c r="U41" i="6" s="1"/>
  <c r="U182" i="6"/>
  <c r="U42" i="6" s="1"/>
  <c r="V177" i="6"/>
  <c r="V172" i="6"/>
  <c r="V171" i="6"/>
  <c r="W170" i="6" s="1"/>
  <c r="V180" i="6"/>
  <c r="V182" i="6" s="1"/>
  <c r="V166" i="6"/>
  <c r="W165" i="6" s="1"/>
  <c r="W167" i="6" s="1"/>
  <c r="V240" i="6"/>
  <c r="V242" i="6" s="1"/>
  <c r="V210" i="6"/>
  <c r="V212" i="6" s="1"/>
  <c r="V161" i="6"/>
  <c r="W160" i="6" s="1"/>
  <c r="W186" i="6"/>
  <c r="X185" i="6" s="1"/>
  <c r="V187" i="6"/>
  <c r="W236" i="6"/>
  <c r="X235" i="6" s="1"/>
  <c r="W221" i="6"/>
  <c r="X220" i="6" s="1"/>
  <c r="W252" i="6"/>
  <c r="W251" i="6"/>
  <c r="X250" i="6" s="1"/>
  <c r="W196" i="6"/>
  <c r="X195" i="6" s="1"/>
  <c r="W232" i="6"/>
  <c r="W231" i="6"/>
  <c r="X230" i="6" s="1"/>
  <c r="W206" i="6"/>
  <c r="X205" i="6" s="1"/>
  <c r="W207" i="6"/>
  <c r="W227" i="6"/>
  <c r="W226" i="6"/>
  <c r="X225" i="6" s="1"/>
  <c r="W202" i="6"/>
  <c r="W201" i="6"/>
  <c r="X200" i="6" s="1"/>
  <c r="V237" i="6"/>
  <c r="W257" i="6"/>
  <c r="W256" i="6"/>
  <c r="X255" i="6" s="1"/>
  <c r="V192" i="6"/>
  <c r="W176" i="6"/>
  <c r="X175" i="6" s="1"/>
  <c r="W177" i="6"/>
  <c r="V162" i="6"/>
  <c r="S66" i="6" l="1"/>
  <c r="U43" i="6"/>
  <c r="W171" i="6"/>
  <c r="X170" i="6" s="1"/>
  <c r="V181" i="6"/>
  <c r="W180" i="6" s="1"/>
  <c r="V241" i="6"/>
  <c r="W240" i="6" s="1"/>
  <c r="W166" i="6"/>
  <c r="X165" i="6" s="1"/>
  <c r="V211" i="6"/>
  <c r="W210" i="6" s="1"/>
  <c r="W212" i="6" s="1"/>
  <c r="W161" i="6"/>
  <c r="X160" i="6" s="1"/>
  <c r="V38" i="6"/>
  <c r="V41" i="6" s="1"/>
  <c r="V217" i="6"/>
  <c r="V42" i="6" s="1"/>
  <c r="V216" i="6"/>
  <c r="W215" i="6" s="1"/>
  <c r="W246" i="6"/>
  <c r="X245" i="6" s="1"/>
  <c r="W247" i="6"/>
  <c r="W187" i="6"/>
  <c r="W222" i="6"/>
  <c r="W197" i="6"/>
  <c r="X237" i="6"/>
  <c r="X231" i="6"/>
  <c r="Y230" i="6" s="1"/>
  <c r="X221" i="6"/>
  <c r="Y220" i="6" s="1"/>
  <c r="X257" i="6"/>
  <c r="X207" i="6"/>
  <c r="X202" i="6"/>
  <c r="V191" i="6"/>
  <c r="X197" i="6"/>
  <c r="W237" i="6"/>
  <c r="X227" i="6"/>
  <c r="X251" i="6"/>
  <c r="Y250" i="6" s="1"/>
  <c r="W162" i="6"/>
  <c r="X176" i="6"/>
  <c r="Y175" i="6" s="1"/>
  <c r="X177" i="6"/>
  <c r="W172" i="6"/>
  <c r="S65" i="6" l="1"/>
  <c r="X171" i="6"/>
  <c r="Y170" i="6" s="1"/>
  <c r="W181" i="6"/>
  <c r="X180" i="6" s="1"/>
  <c r="W182" i="6"/>
  <c r="W190" i="6"/>
  <c r="X167" i="6"/>
  <c r="W241" i="6"/>
  <c r="X240" i="6" s="1"/>
  <c r="X241" i="6" s="1"/>
  <c r="Y240" i="6" s="1"/>
  <c r="X162" i="6"/>
  <c r="S215" i="6"/>
  <c r="X247" i="6"/>
  <c r="X186" i="6"/>
  <c r="Y185" i="6" s="1"/>
  <c r="X187" i="6"/>
  <c r="X232" i="6"/>
  <c r="X252" i="6"/>
  <c r="X226" i="6"/>
  <c r="X206" i="6"/>
  <c r="W211" i="6"/>
  <c r="X196" i="6"/>
  <c r="X236" i="6"/>
  <c r="Y235" i="6" s="1"/>
  <c r="X256" i="6"/>
  <c r="Y255" i="6" s="1"/>
  <c r="Y256" i="6" s="1"/>
  <c r="Z255" i="6" s="1"/>
  <c r="Y252" i="6"/>
  <c r="Y222" i="6"/>
  <c r="W242" i="6"/>
  <c r="X222" i="6"/>
  <c r="Y232" i="6"/>
  <c r="X201" i="6"/>
  <c r="Y200" i="6" s="1"/>
  <c r="X172" i="6"/>
  <c r="Y177" i="6"/>
  <c r="X166" i="6"/>
  <c r="Y165" i="6" s="1"/>
  <c r="X161" i="6"/>
  <c r="Y160" i="6" s="1"/>
  <c r="V43" i="6"/>
  <c r="S64" i="6" l="1"/>
  <c r="Y171" i="6"/>
  <c r="Z170" i="6" s="1"/>
  <c r="Y225" i="6"/>
  <c r="Y226" i="6" s="1"/>
  <c r="X210" i="6"/>
  <c r="X211" i="6" s="1"/>
  <c r="Y205" i="6"/>
  <c r="Y207" i="6" s="1"/>
  <c r="Y195" i="6"/>
  <c r="Y196" i="6" s="1"/>
  <c r="W191" i="6"/>
  <c r="W38" i="6"/>
  <c r="W41" i="6" s="1"/>
  <c r="W217" i="6"/>
  <c r="W216" i="6"/>
  <c r="X246" i="6"/>
  <c r="Y186" i="6"/>
  <c r="Z185" i="6" s="1"/>
  <c r="Y231" i="6"/>
  <c r="Y236" i="6"/>
  <c r="Y221" i="6"/>
  <c r="Y251" i="6"/>
  <c r="Y257" i="6"/>
  <c r="Y242" i="6"/>
  <c r="Z256" i="6"/>
  <c r="AA255" i="6" s="1"/>
  <c r="X242" i="6"/>
  <c r="W192" i="6"/>
  <c r="Y202" i="6"/>
  <c r="X182" i="6"/>
  <c r="Y176" i="6"/>
  <c r="Z175" i="6" s="1"/>
  <c r="Y172" i="6"/>
  <c r="Y166" i="6"/>
  <c r="Z165" i="6" s="1"/>
  <c r="X181" i="6"/>
  <c r="S63" i="6" l="1"/>
  <c r="W42" i="6"/>
  <c r="W43" i="6" s="1"/>
  <c r="X190" i="6"/>
  <c r="X191" i="6" s="1"/>
  <c r="Y192" i="6" s="1"/>
  <c r="Y180" i="6"/>
  <c r="X212" i="6"/>
  <c r="Y206" i="6"/>
  <c r="Y227" i="6"/>
  <c r="Z250" i="6"/>
  <c r="Z252" i="6" s="1"/>
  <c r="Y245" i="6"/>
  <c r="Y246" i="6" s="1"/>
  <c r="Z235" i="6"/>
  <c r="Z236" i="6" s="1"/>
  <c r="Z230" i="6"/>
  <c r="Z231" i="6" s="1"/>
  <c r="Z225" i="6"/>
  <c r="Z227" i="6" s="1"/>
  <c r="Y197" i="6"/>
  <c r="Z220" i="6"/>
  <c r="Z221" i="6" s="1"/>
  <c r="Y210" i="6"/>
  <c r="Y212" i="6" s="1"/>
  <c r="Z205" i="6"/>
  <c r="Z195" i="6"/>
  <c r="Z197" i="6" s="1"/>
  <c r="X216" i="6"/>
  <c r="X217" i="6"/>
  <c r="Z186" i="6"/>
  <c r="AA185" i="6" s="1"/>
  <c r="Y187" i="6"/>
  <c r="Y237" i="6"/>
  <c r="Z257" i="6"/>
  <c r="AA257" i="6"/>
  <c r="Y201" i="6"/>
  <c r="Z200" i="6" s="1"/>
  <c r="Y241" i="6"/>
  <c r="Z240" i="6" s="1"/>
  <c r="Z166" i="6"/>
  <c r="AA165" i="6" s="1"/>
  <c r="Z172" i="6"/>
  <c r="Y167" i="6"/>
  <c r="Z171" i="6"/>
  <c r="AA170" i="6" s="1"/>
  <c r="Y161" i="6"/>
  <c r="Z160" i="6" s="1"/>
  <c r="Y162" i="6"/>
  <c r="S62" i="6" l="1"/>
  <c r="X38" i="6"/>
  <c r="X41" i="6" s="1"/>
  <c r="X192" i="6"/>
  <c r="X42" i="6" s="1"/>
  <c r="Z207" i="6"/>
  <c r="Z251" i="6"/>
  <c r="AA250" i="6" s="1"/>
  <c r="Z237" i="6"/>
  <c r="Z232" i="6"/>
  <c r="Y247" i="6"/>
  <c r="Z226" i="6"/>
  <c r="Y211" i="6"/>
  <c r="Z210" i="6" s="1"/>
  <c r="Z212" i="6" s="1"/>
  <c r="Z222" i="6"/>
  <c r="Z245" i="6"/>
  <c r="Z246" i="6" s="1"/>
  <c r="AA235" i="6"/>
  <c r="AA237" i="6" s="1"/>
  <c r="AA230" i="6"/>
  <c r="AA231" i="6" s="1"/>
  <c r="Z196" i="6"/>
  <c r="AA195" i="6" s="1"/>
  <c r="AA197" i="6" s="1"/>
  <c r="Z206" i="6"/>
  <c r="AA205" i="6" s="1"/>
  <c r="AA207" i="6" s="1"/>
  <c r="AA225" i="6"/>
  <c r="AA227" i="6" s="1"/>
  <c r="AA220" i="6"/>
  <c r="AA222" i="6" s="1"/>
  <c r="Y38" i="6"/>
  <c r="Y216" i="6"/>
  <c r="Y217" i="6"/>
  <c r="AA186" i="6"/>
  <c r="AB185" i="6" s="1"/>
  <c r="Z187" i="6"/>
  <c r="AA256" i="6"/>
  <c r="Y191" i="6"/>
  <c r="Z241" i="6"/>
  <c r="AA240" i="6" s="1"/>
  <c r="Z201" i="6"/>
  <c r="AA200" i="6" s="1"/>
  <c r="AA166" i="6"/>
  <c r="AB165" i="6" s="1"/>
  <c r="Y182" i="6"/>
  <c r="Z176" i="6"/>
  <c r="AA175" i="6" s="1"/>
  <c r="Y181" i="6"/>
  <c r="Z180" i="6" s="1"/>
  <c r="Z167" i="6"/>
  <c r="Z162" i="6"/>
  <c r="Z161" i="6"/>
  <c r="AA160" i="6" s="1"/>
  <c r="Z177" i="6"/>
  <c r="S61" i="6" l="1"/>
  <c r="Y42" i="6"/>
  <c r="Y41" i="6"/>
  <c r="X43" i="6"/>
  <c r="AA251" i="6"/>
  <c r="AB250" i="6" s="1"/>
  <c r="AB252" i="6" s="1"/>
  <c r="Z247" i="6"/>
  <c r="AB255" i="6"/>
  <c r="AB256" i="6" s="1"/>
  <c r="AA236" i="6"/>
  <c r="AB235" i="6" s="1"/>
  <c r="AB237" i="6" s="1"/>
  <c r="AA245" i="6"/>
  <c r="AA246" i="6" s="1"/>
  <c r="AA221" i="6"/>
  <c r="AB220" i="6" s="1"/>
  <c r="AB222" i="6" s="1"/>
  <c r="AA232" i="6"/>
  <c r="AA226" i="6"/>
  <c r="AB225" i="6" s="1"/>
  <c r="AB226" i="6" s="1"/>
  <c r="AC225" i="6" s="1"/>
  <c r="AB230" i="6"/>
  <c r="AB232" i="6" s="1"/>
  <c r="AA196" i="6"/>
  <c r="AB195" i="6" s="1"/>
  <c r="Z217" i="6"/>
  <c r="Z216" i="6"/>
  <c r="AB186" i="6"/>
  <c r="AC185" i="6" s="1"/>
  <c r="AA187" i="6"/>
  <c r="AA252" i="6"/>
  <c r="Z211" i="6"/>
  <c r="AA201" i="6"/>
  <c r="AB200" i="6" s="1"/>
  <c r="AA242" i="6"/>
  <c r="Z242" i="6"/>
  <c r="Z202" i="6"/>
  <c r="AA206" i="6"/>
  <c r="AB205" i="6" s="1"/>
  <c r="AA167" i="6"/>
  <c r="AA161" i="6"/>
  <c r="AB160" i="6" s="1"/>
  <c r="AA171" i="6"/>
  <c r="AB170" i="6" s="1"/>
  <c r="AB166" i="6"/>
  <c r="AC165" i="6" s="1"/>
  <c r="AA172" i="6"/>
  <c r="AA177" i="6"/>
  <c r="S60" i="6" l="1"/>
  <c r="Y43" i="6"/>
  <c r="AA247" i="6"/>
  <c r="AB257" i="6"/>
  <c r="AC255" i="6"/>
  <c r="AC256" i="6" s="1"/>
  <c r="AB231" i="6"/>
  <c r="AC230" i="6" s="1"/>
  <c r="AC231" i="6" s="1"/>
  <c r="AD230" i="6" s="1"/>
  <c r="AB227" i="6"/>
  <c r="AB197" i="6"/>
  <c r="AB245" i="6"/>
  <c r="AB247" i="6" s="1"/>
  <c r="AC226" i="6"/>
  <c r="AD225" i="6" s="1"/>
  <c r="AD226" i="6" s="1"/>
  <c r="AE225" i="6" s="1"/>
  <c r="AA210" i="6"/>
  <c r="AA211" i="6" s="1"/>
  <c r="Z182" i="6"/>
  <c r="Z38" i="6"/>
  <c r="AA216" i="6"/>
  <c r="AA217" i="6"/>
  <c r="S185" i="6"/>
  <c r="AB187" i="6"/>
  <c r="AC227" i="6"/>
  <c r="AB251" i="6"/>
  <c r="AB221" i="6"/>
  <c r="AA241" i="6"/>
  <c r="AB201" i="6"/>
  <c r="AC200" i="6" s="1"/>
  <c r="AB236" i="6"/>
  <c r="AC235" i="6" s="1"/>
  <c r="AA202" i="6"/>
  <c r="AB207" i="6"/>
  <c r="Z192" i="6"/>
  <c r="AB196" i="6"/>
  <c r="AC195" i="6" s="1"/>
  <c r="Z191" i="6"/>
  <c r="AC166" i="6"/>
  <c r="AD165" i="6" s="1"/>
  <c r="AB167" i="6"/>
  <c r="AA162" i="6"/>
  <c r="AA176" i="6"/>
  <c r="AB175" i="6" s="1"/>
  <c r="Z181" i="6"/>
  <c r="AA180" i="6" s="1"/>
  <c r="S59" i="6" l="1"/>
  <c r="T58" i="6"/>
  <c r="Z42" i="6"/>
  <c r="AC257" i="6"/>
  <c r="AD255" i="6"/>
  <c r="AD256" i="6" s="1"/>
  <c r="AA212" i="6"/>
  <c r="AB246" i="6"/>
  <c r="AC245" i="6" s="1"/>
  <c r="AC246" i="6" s="1"/>
  <c r="AD245" i="6" s="1"/>
  <c r="AC250" i="6"/>
  <c r="AC252" i="6" s="1"/>
  <c r="AB240" i="6"/>
  <c r="AB241" i="6" s="1"/>
  <c r="AC240" i="6" s="1"/>
  <c r="S240" i="6" s="1"/>
  <c r="AC220" i="6"/>
  <c r="AC222" i="6" s="1"/>
  <c r="AB210" i="6"/>
  <c r="AB212" i="6" s="1"/>
  <c r="AB162" i="6"/>
  <c r="AB216" i="6"/>
  <c r="AB217" i="6"/>
  <c r="AC187" i="6"/>
  <c r="AC186" i="6"/>
  <c r="AD227" i="6"/>
  <c r="AB202" i="6"/>
  <c r="AC232" i="6"/>
  <c r="AC202" i="6"/>
  <c r="AD231" i="6"/>
  <c r="AE230" i="6" s="1"/>
  <c r="AE227" i="6"/>
  <c r="AC197" i="6"/>
  <c r="AB206" i="6"/>
  <c r="AC205" i="6" s="1"/>
  <c r="S235" i="6"/>
  <c r="AA191" i="6"/>
  <c r="AA192" i="6"/>
  <c r="AB176" i="6"/>
  <c r="AC175" i="6" s="1"/>
  <c r="AB171" i="6"/>
  <c r="AC170" i="6" s="1"/>
  <c r="AD166" i="6"/>
  <c r="AE165" i="6" s="1"/>
  <c r="AD167" i="6"/>
  <c r="AC167" i="6"/>
  <c r="AA38" i="6"/>
  <c r="AB161" i="6"/>
  <c r="AC160" i="6" s="1"/>
  <c r="AB172" i="6"/>
  <c r="Z41" i="6"/>
  <c r="S58" i="6" l="1"/>
  <c r="T121" i="6"/>
  <c r="S121" i="6" s="1"/>
  <c r="AD257" i="6"/>
  <c r="AC251" i="6"/>
  <c r="AE255" i="6"/>
  <c r="AE257" i="6" s="1"/>
  <c r="AB242" i="6"/>
  <c r="AB211" i="6"/>
  <c r="AC210" i="6" s="1"/>
  <c r="S210" i="6" s="1"/>
  <c r="AD250" i="6"/>
  <c r="AC221" i="6"/>
  <c r="AD220" i="6" s="1"/>
  <c r="AD222" i="6" s="1"/>
  <c r="AA181" i="6"/>
  <c r="AB180" i="6" s="1"/>
  <c r="AC217" i="6"/>
  <c r="AC216" i="6"/>
  <c r="AD246" i="6"/>
  <c r="AE245" i="6" s="1"/>
  <c r="AC247" i="6"/>
  <c r="AD187" i="6"/>
  <c r="AD186" i="6"/>
  <c r="AC237" i="6"/>
  <c r="AC196" i="6"/>
  <c r="AC236" i="6"/>
  <c r="AD236" i="6" s="1"/>
  <c r="AC201" i="6"/>
  <c r="AE226" i="6"/>
  <c r="AE232" i="6"/>
  <c r="AD232" i="6"/>
  <c r="AB191" i="6"/>
  <c r="AB192" i="6"/>
  <c r="AC241" i="6"/>
  <c r="AC206" i="6"/>
  <c r="AD205" i="6" s="1"/>
  <c r="AC242" i="6"/>
  <c r="AC177" i="6"/>
  <c r="AE167" i="6"/>
  <c r="AE166" i="6"/>
  <c r="AF165" i="6" s="1"/>
  <c r="S165" i="6" s="1"/>
  <c r="AC172" i="6"/>
  <c r="AB177" i="6"/>
  <c r="AA182" i="6"/>
  <c r="AA42" i="6" s="1"/>
  <c r="Z43" i="6"/>
  <c r="R122" i="6" l="1"/>
  <c r="R58" i="6"/>
  <c r="R69" i="6"/>
  <c r="R120" i="6"/>
  <c r="AD251" i="6"/>
  <c r="AE256" i="6"/>
  <c r="AF255" i="6" s="1"/>
  <c r="S255" i="6" s="1"/>
  <c r="AD252" i="6"/>
  <c r="AD221" i="6"/>
  <c r="AE220" i="6" s="1"/>
  <c r="S220" i="6" s="1"/>
  <c r="AE250" i="6"/>
  <c r="AF225" i="6"/>
  <c r="S225" i="6" s="1"/>
  <c r="AD200" i="6"/>
  <c r="AD201" i="6" s="1"/>
  <c r="AD195" i="6"/>
  <c r="AD197" i="6" s="1"/>
  <c r="AB181" i="6"/>
  <c r="AC180" i="6" s="1"/>
  <c r="AC38" i="6" s="1"/>
  <c r="AB38" i="6"/>
  <c r="AB41" i="6" s="1"/>
  <c r="AD217" i="6"/>
  <c r="AD216" i="6"/>
  <c r="S245" i="6"/>
  <c r="AD247" i="6"/>
  <c r="AD237" i="6"/>
  <c r="AE187" i="6"/>
  <c r="AE186" i="6"/>
  <c r="AE231" i="6"/>
  <c r="AD206" i="6"/>
  <c r="AE205" i="6" s="1"/>
  <c r="AC207" i="6"/>
  <c r="AC192" i="6"/>
  <c r="AC191" i="6"/>
  <c r="AE237" i="6"/>
  <c r="AE236" i="6"/>
  <c r="AC211" i="6"/>
  <c r="AD242" i="6"/>
  <c r="AD241" i="6"/>
  <c r="AC212" i="6"/>
  <c r="AF167" i="6"/>
  <c r="AF166" i="6"/>
  <c r="AC161" i="6"/>
  <c r="AD160" i="6" s="1"/>
  <c r="AB182" i="6"/>
  <c r="AB42" i="6" s="1"/>
  <c r="AA41" i="6"/>
  <c r="AC171" i="6"/>
  <c r="AD170" i="6" s="1"/>
  <c r="AC176" i="6"/>
  <c r="AD175" i="6" s="1"/>
  <c r="AC162" i="6"/>
  <c r="R121" i="6" l="1"/>
  <c r="AG166" i="6"/>
  <c r="AG167" i="6"/>
  <c r="AE251" i="6"/>
  <c r="AF250" i="6" s="1"/>
  <c r="S250" i="6" s="1"/>
  <c r="AF227" i="6"/>
  <c r="AE252" i="6"/>
  <c r="AF226" i="6"/>
  <c r="AF230" i="6"/>
  <c r="S230" i="6" s="1"/>
  <c r="AD202" i="6"/>
  <c r="AD196" i="6"/>
  <c r="AE195" i="6" s="1"/>
  <c r="S195" i="6" s="1"/>
  <c r="AE200" i="6"/>
  <c r="AE201" i="6" s="1"/>
  <c r="AF200" i="6" s="1"/>
  <c r="S200" i="6" s="1"/>
  <c r="AE216" i="6"/>
  <c r="AE217" i="6"/>
  <c r="AE246" i="6"/>
  <c r="AF247" i="6" s="1"/>
  <c r="AE247" i="6"/>
  <c r="AF187" i="6"/>
  <c r="AF186" i="6"/>
  <c r="AD207" i="6"/>
  <c r="AF257" i="6"/>
  <c r="AE221" i="6"/>
  <c r="AF221" i="6" s="1"/>
  <c r="AE207" i="6"/>
  <c r="AD192" i="6"/>
  <c r="AD191" i="6"/>
  <c r="AD211" i="6"/>
  <c r="AD212" i="6"/>
  <c r="AF236" i="6"/>
  <c r="AF237" i="6"/>
  <c r="AF256" i="6"/>
  <c r="AE222" i="6"/>
  <c r="AE242" i="6"/>
  <c r="AE241" i="6"/>
  <c r="AD176" i="6"/>
  <c r="AE175" i="6" s="1"/>
  <c r="AC181" i="6"/>
  <c r="AD180" i="6" s="1"/>
  <c r="AC41" i="6"/>
  <c r="AD162" i="6"/>
  <c r="AD161" i="6"/>
  <c r="AE160" i="6" s="1"/>
  <c r="AB43" i="6"/>
  <c r="AC182" i="6"/>
  <c r="AC42" i="6" s="1"/>
  <c r="AA43" i="6"/>
  <c r="AG226" i="6" l="1"/>
  <c r="AG227" i="6"/>
  <c r="AG256" i="6"/>
  <c r="AG257" i="6"/>
  <c r="AG222" i="6"/>
  <c r="AG221" i="6"/>
  <c r="AF231" i="6"/>
  <c r="AH166" i="6"/>
  <c r="AH167" i="6"/>
  <c r="AG237" i="6"/>
  <c r="AG236" i="6"/>
  <c r="AG187" i="6"/>
  <c r="AG186" i="6"/>
  <c r="AF251" i="6"/>
  <c r="AF252" i="6"/>
  <c r="AF232" i="6"/>
  <c r="AE202" i="6"/>
  <c r="AF246" i="6"/>
  <c r="AF216" i="6"/>
  <c r="AF217" i="6"/>
  <c r="AF222" i="6"/>
  <c r="AE196" i="6"/>
  <c r="AF197" i="6" s="1"/>
  <c r="AE197" i="6"/>
  <c r="AE206" i="6"/>
  <c r="AE192" i="6"/>
  <c r="AE191" i="6"/>
  <c r="S190" i="6" s="1"/>
  <c r="AF242" i="6"/>
  <c r="AF241" i="6"/>
  <c r="AF201" i="6"/>
  <c r="AE212" i="6"/>
  <c r="AE211" i="6"/>
  <c r="AF202" i="6"/>
  <c r="AE176" i="6"/>
  <c r="AF175" i="6" s="1"/>
  <c r="AD172" i="6"/>
  <c r="AD171" i="6"/>
  <c r="AE170" i="6" s="1"/>
  <c r="AD38" i="6"/>
  <c r="AE161" i="6"/>
  <c r="AE162" i="6"/>
  <c r="AD177" i="6"/>
  <c r="AG246" i="6" l="1"/>
  <c r="AG247" i="6"/>
  <c r="AH236" i="6"/>
  <c r="AH237" i="6"/>
  <c r="AH222" i="6"/>
  <c r="AH221" i="6"/>
  <c r="AH187" i="6"/>
  <c r="AH186" i="6"/>
  <c r="AH227" i="6"/>
  <c r="AH226" i="6"/>
  <c r="AG216" i="6"/>
  <c r="AG217" i="6"/>
  <c r="AI167" i="6"/>
  <c r="AI166" i="6"/>
  <c r="AH256" i="6"/>
  <c r="AH257" i="6"/>
  <c r="AG242" i="6"/>
  <c r="AG241" i="6"/>
  <c r="AG202" i="6"/>
  <c r="AG201" i="6"/>
  <c r="AG252" i="6"/>
  <c r="AG251" i="6"/>
  <c r="AG232" i="6"/>
  <c r="AG231" i="6"/>
  <c r="AF205" i="6"/>
  <c r="S205" i="6" s="1"/>
  <c r="AF196" i="6"/>
  <c r="AF212" i="6"/>
  <c r="AF211" i="6"/>
  <c r="AF192" i="6"/>
  <c r="AF191" i="6"/>
  <c r="AD41" i="6"/>
  <c r="AC43" i="6"/>
  <c r="AE177" i="6"/>
  <c r="AF176" i="6"/>
  <c r="AD181" i="6"/>
  <c r="AE180" i="6" s="1"/>
  <c r="AD182" i="6"/>
  <c r="AD42" i="6" s="1"/>
  <c r="AJ166" i="6" l="1"/>
  <c r="AJ167" i="6"/>
  <c r="AG192" i="6"/>
  <c r="AG191" i="6"/>
  <c r="AH232" i="6"/>
  <c r="AH231" i="6"/>
  <c r="AH242" i="6"/>
  <c r="AH241" i="6"/>
  <c r="AH216" i="6"/>
  <c r="AH217" i="6"/>
  <c r="AH201" i="6"/>
  <c r="AH202" i="6"/>
  <c r="AG176" i="6"/>
  <c r="AG177" i="6"/>
  <c r="AI186" i="6"/>
  <c r="AI187" i="6"/>
  <c r="AI222" i="6"/>
  <c r="AI221" i="6"/>
  <c r="AG212" i="6"/>
  <c r="AG211" i="6"/>
  <c r="AH251" i="6"/>
  <c r="AH252" i="6"/>
  <c r="AI227" i="6"/>
  <c r="AI226" i="6"/>
  <c r="AI237" i="6"/>
  <c r="AI236" i="6"/>
  <c r="AH247" i="6"/>
  <c r="AH246" i="6"/>
  <c r="AG197" i="6"/>
  <c r="AG196" i="6"/>
  <c r="AI257" i="6"/>
  <c r="AI256" i="6"/>
  <c r="AF207" i="6"/>
  <c r="AF206" i="6"/>
  <c r="AE171" i="6"/>
  <c r="AF162" i="6"/>
  <c r="AD43" i="6"/>
  <c r="AF161" i="6"/>
  <c r="AE172" i="6"/>
  <c r="S175" i="6"/>
  <c r="AE181" i="6"/>
  <c r="AF180" i="6" s="1"/>
  <c r="S170" i="6"/>
  <c r="AF177" i="6"/>
  <c r="AJ187" i="6" l="1"/>
  <c r="AJ186" i="6"/>
  <c r="AJ237" i="6"/>
  <c r="AJ236" i="6"/>
  <c r="AJ222" i="6"/>
  <c r="AJ221" i="6"/>
  <c r="AJ257" i="6"/>
  <c r="AJ256" i="6"/>
  <c r="AJ227" i="6"/>
  <c r="AJ226" i="6"/>
  <c r="AK167" i="6"/>
  <c r="S167" i="6" s="1"/>
  <c r="AK166" i="6"/>
  <c r="AG206" i="6"/>
  <c r="AG207" i="6"/>
  <c r="AI246" i="6"/>
  <c r="AI247" i="6"/>
  <c r="AH212" i="6"/>
  <c r="AH211" i="6"/>
  <c r="AI231" i="6"/>
  <c r="AI232" i="6"/>
  <c r="AH197" i="6"/>
  <c r="AH196" i="6"/>
  <c r="AI217" i="6"/>
  <c r="AI216" i="6"/>
  <c r="AH177" i="6"/>
  <c r="AH176" i="6"/>
  <c r="S160" i="6"/>
  <c r="AG162" i="6"/>
  <c r="AG161" i="6"/>
  <c r="AH191" i="6"/>
  <c r="AH192" i="6"/>
  <c r="AI252" i="6"/>
  <c r="AI251" i="6"/>
  <c r="AI202" i="6"/>
  <c r="AI201" i="6"/>
  <c r="AI242" i="6"/>
  <c r="AI241" i="6"/>
  <c r="AF171" i="6"/>
  <c r="AG171" i="6" s="1"/>
  <c r="AF172" i="6"/>
  <c r="AE38" i="6"/>
  <c r="AE182" i="6"/>
  <c r="AE42" i="6" s="1"/>
  <c r="AK222" i="6" l="1"/>
  <c r="S222" i="6" s="1"/>
  <c r="AK221" i="6"/>
  <c r="AJ252" i="6"/>
  <c r="AJ251" i="6"/>
  <c r="AK227" i="6"/>
  <c r="S227" i="6" s="1"/>
  <c r="AK226" i="6"/>
  <c r="AJ246" i="6"/>
  <c r="AJ247" i="6"/>
  <c r="AK257" i="6"/>
  <c r="S257" i="6" s="1"/>
  <c r="AK256" i="6"/>
  <c r="AK236" i="6"/>
  <c r="AK237" i="6"/>
  <c r="S237" i="6" s="1"/>
  <c r="AK187" i="6"/>
  <c r="S187" i="6" s="1"/>
  <c r="AK186" i="6"/>
  <c r="AJ216" i="6"/>
  <c r="AJ217" i="6"/>
  <c r="AJ242" i="6"/>
  <c r="AJ241" i="6"/>
  <c r="AJ202" i="6"/>
  <c r="AJ201" i="6"/>
  <c r="AJ232" i="6"/>
  <c r="AJ231" i="6"/>
  <c r="AI197" i="6"/>
  <c r="AI196" i="6"/>
  <c r="AH161" i="6"/>
  <c r="AH162" i="6"/>
  <c r="AH206" i="6"/>
  <c r="AH207" i="6"/>
  <c r="AI191" i="6"/>
  <c r="AI192" i="6"/>
  <c r="AH171" i="6"/>
  <c r="AH172" i="6"/>
  <c r="AI177" i="6"/>
  <c r="AI176" i="6"/>
  <c r="AI211" i="6"/>
  <c r="AI212" i="6"/>
  <c r="AG172" i="6"/>
  <c r="AF181" i="6"/>
  <c r="AF38" i="6"/>
  <c r="AE41" i="6"/>
  <c r="AE43" i="6" s="1"/>
  <c r="S180" i="6"/>
  <c r="AF182" i="6"/>
  <c r="AF42" i="6" s="1"/>
  <c r="AK252" i="6" l="1"/>
  <c r="S252" i="6" s="1"/>
  <c r="AK251" i="6"/>
  <c r="AJ191" i="6"/>
  <c r="AJ192" i="6"/>
  <c r="AK202" i="6"/>
  <c r="S202" i="6" s="1"/>
  <c r="AK201" i="6"/>
  <c r="AK232" i="6"/>
  <c r="S232" i="6" s="1"/>
  <c r="AK231" i="6"/>
  <c r="AK246" i="6"/>
  <c r="AK247" i="6"/>
  <c r="S247" i="6" s="1"/>
  <c r="AJ176" i="6"/>
  <c r="AJ177" i="6"/>
  <c r="AK216" i="6"/>
  <c r="AK217" i="6"/>
  <c r="S217" i="6" s="1"/>
  <c r="AJ211" i="6"/>
  <c r="AJ212" i="6"/>
  <c r="AJ197" i="6"/>
  <c r="AJ196" i="6"/>
  <c r="AK242" i="6"/>
  <c r="S242" i="6" s="1"/>
  <c r="AK241" i="6"/>
  <c r="AI161" i="6"/>
  <c r="AI162" i="6"/>
  <c r="AI172" i="6"/>
  <c r="AI171" i="6"/>
  <c r="AG181" i="6"/>
  <c r="AG182" i="6"/>
  <c r="AG42" i="6" s="1"/>
  <c r="AI206" i="6"/>
  <c r="AI207" i="6"/>
  <c r="AF41" i="6"/>
  <c r="S41" i="6" s="1"/>
  <c r="S38" i="6"/>
  <c r="AJ162" i="6" l="1"/>
  <c r="AJ161" i="6"/>
  <c r="AK191" i="6"/>
  <c r="AK192" i="6"/>
  <c r="S192" i="6" s="1"/>
  <c r="AK212" i="6"/>
  <c r="S212" i="6" s="1"/>
  <c r="AK211" i="6"/>
  <c r="AJ207" i="6"/>
  <c r="AJ206" i="6"/>
  <c r="AK196" i="6"/>
  <c r="AK197" i="6"/>
  <c r="S197" i="6" s="1"/>
  <c r="AK177" i="6"/>
  <c r="S177" i="6" s="1"/>
  <c r="AK176" i="6"/>
  <c r="AJ172" i="6"/>
  <c r="AJ171" i="6"/>
  <c r="AG43" i="6"/>
  <c r="AH182" i="6"/>
  <c r="AH181" i="6"/>
  <c r="AF43" i="6"/>
  <c r="AK207" i="6" l="1"/>
  <c r="S207" i="6" s="1"/>
  <c r="AK206" i="6"/>
  <c r="AK172" i="6"/>
  <c r="S172" i="6" s="1"/>
  <c r="AK171" i="6"/>
  <c r="AK161" i="6"/>
  <c r="AK162" i="6"/>
  <c r="AH42" i="6"/>
  <c r="AI181" i="6"/>
  <c r="AI182" i="6"/>
  <c r="AI42" i="6" s="1"/>
  <c r="AI43" i="6" s="1"/>
  <c r="S162" i="6" l="1"/>
  <c r="AJ182" i="6"/>
  <c r="AJ42" i="6" s="1"/>
  <c r="AJ43" i="6" s="1"/>
  <c r="AJ181" i="6"/>
  <c r="AH43" i="6"/>
  <c r="AK182" i="6" l="1"/>
  <c r="AK42" i="6" s="1"/>
  <c r="AK43" i="6" s="1"/>
  <c r="S43" i="6" s="1"/>
  <c r="AK181" i="6"/>
  <c r="S182" i="6" l="1"/>
  <c r="S42" i="6"/>
</calcChain>
</file>

<file path=xl/sharedStrings.xml><?xml version="1.0" encoding="utf-8"?>
<sst xmlns="http://schemas.openxmlformats.org/spreadsheetml/2006/main" count="932" uniqueCount="576">
  <si>
    <t>_description</t>
  </si>
  <si>
    <t>_start</t>
  </si>
  <si>
    <t>_end</t>
  </si>
  <si>
    <t>_index</t>
  </si>
  <si>
    <t>c5</t>
  </si>
  <si>
    <t>c6</t>
  </si>
  <si>
    <t>c7</t>
  </si>
  <si>
    <t>md_hd_0</t>
  </si>
  <si>
    <t>md_h_0</t>
  </si>
  <si>
    <t>md_h_1</t>
  </si>
  <si>
    <t>md_0_model_frontpage</t>
  </si>
  <si>
    <t>md_0_model_scenario-assumptions_1</t>
  </si>
  <si>
    <t>c8</t>
  </si>
  <si>
    <t>c9</t>
  </si>
  <si>
    <t>c10</t>
  </si>
  <si>
    <t>c11</t>
  </si>
  <si>
    <t>c12</t>
  </si>
  <si>
    <t>repeaters</t>
  </si>
  <si>
    <t>md_1_header_0</t>
  </si>
  <si>
    <t>md_1_header_1</t>
  </si>
  <si>
    <t>md_1_about_header</t>
  </si>
  <si>
    <t>md_1_about_h4</t>
  </si>
  <si>
    <t>md_1_about_name</t>
  </si>
  <si>
    <t>md_1_about_owner</t>
  </si>
  <si>
    <t>md_1_about_manager</t>
  </si>
  <si>
    <t>md_1_fixed-assets_header</t>
  </si>
  <si>
    <t>md_1_fixed-assets_expl</t>
  </si>
  <si>
    <t>md_1_asset_title</t>
  </si>
  <si>
    <t>md_1_asset_name</t>
  </si>
  <si>
    <t>md_1_asset_start-dtm</t>
  </si>
  <si>
    <t>md_1_asset_depreciation-years</t>
  </si>
  <si>
    <t>md_1_accounting_header</t>
  </si>
  <si>
    <t>md_1_accounting_header2</t>
  </si>
  <si>
    <t>md_1_accounting_pl-year</t>
  </si>
  <si>
    <t>md_1_accounting_side1</t>
  </si>
  <si>
    <t>md_1_accounting_reporting-year</t>
  </si>
  <si>
    <t>md_1_accounting_side2</t>
  </si>
  <si>
    <t>md_1_accounting_accounts-ending</t>
  </si>
  <si>
    <t>md_1_accounting_end</t>
  </si>
  <si>
    <t>c.5</t>
  </si>
  <si>
    <t>c.6</t>
  </si>
  <si>
    <t>c.7</t>
  </si>
  <si>
    <t>c.8</t>
  </si>
  <si>
    <t>c.9</t>
  </si>
  <si>
    <t>c.10</t>
  </si>
  <si>
    <t>c.11</t>
  </si>
  <si>
    <t>g_phase_names</t>
  </si>
  <si>
    <t>g_interest_FF4</t>
  </si>
  <si>
    <t>g_interest_discount</t>
  </si>
  <si>
    <t>g_pl_years_start</t>
  </si>
  <si>
    <t>g_pl_years_end</t>
  </si>
  <si>
    <t>g_pl_years</t>
  </si>
  <si>
    <t>g_pl_factors</t>
  </si>
  <si>
    <t>g_sc_1_capex</t>
  </si>
  <si>
    <t>g_sc_1_opex</t>
  </si>
  <si>
    <t>g_assets_sc_1</t>
  </si>
  <si>
    <t>g_pl_year</t>
  </si>
  <si>
    <t>g_reporting_year</t>
  </si>
  <si>
    <t>g_pl_factor</t>
  </si>
  <si>
    <t>|Vælg fase&gt;|</t>
  </si>
  <si>
    <t>|Vælg anlæg &gt;|</t>
  </si>
  <si>
    <t>Analysefase</t>
  </si>
  <si>
    <t>Gennemførelsesfase</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</si>
  <si>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</si>
  <si>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</si>
  <si>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</si>
  <si>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</si>
  <si>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</si>
  <si>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</si>
  <si>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</si>
  <si>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</si>
  <si>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</si>
  <si>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</si>
  <si>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</si>
  <si>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</si>
  <si>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</si>
  <si>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</si>
  <si>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</si>
  <si>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</si>
  <si>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</si>
  <si>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</si>
  <si>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</si>
  <si>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</si>
  <si>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</si>
  <si>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</si>
  <si>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</si>
  <si>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</si>
  <si>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</si>
  <si>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</si>
  <si>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</si>
  <si>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</si>
  <si>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</si>
  <si>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</si>
  <si>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</si>
  <si>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header</t>
  </si>
  <si>
    <t>Projekt</t>
  </si>
  <si>
    <t>Stamoplysninger</t>
  </si>
  <si>
    <t>c48</t>
  </si>
  <si>
    <t>c49</t>
  </si>
  <si>
    <t>c50</t>
  </si>
  <si>
    <t>c51</t>
  </si>
  <si>
    <t>c52</t>
  </si>
  <si>
    <t>c53</t>
  </si>
  <si>
    <t>c54</t>
  </si>
  <si>
    <t>c55</t>
  </si>
  <si>
    <t>c56</t>
  </si>
  <si>
    <t>c57</t>
  </si>
  <si>
    <t>c58</t>
  </si>
  <si>
    <t>c59</t>
  </si>
  <si>
    <t>c60</t>
  </si>
  <si>
    <t>c61</t>
  </si>
  <si>
    <t>composite_uid</t>
  </si>
  <si>
    <t>bookmark</t>
  </si>
  <si>
    <t>repeat</t>
  </si>
  <si>
    <t>renderCounter</t>
  </si>
  <si>
    <t>h</t>
  </si>
  <si>
    <t>v</t>
  </si>
  <si>
    <t xml:space="preserve"> </t>
  </si>
  <si>
    <t>Angiver som basisår det år, som data stammer fra, og hvor priser mv. blev beregnet.
Indtastningsåret stemmer ikke nødvendigvis med indeværende år.</t>
  </si>
  <si>
    <t>Angiver det år, som data skal fremregnes til (eller undtagelsesvist tilbageregnes til).
Rapporteringsåret vil som regel være indeværende år.</t>
  </si>
  <si>
    <t>worst-case</t>
  </si>
  <si>
    <t>Vigtigt:</t>
  </si>
  <si>
    <t>Grundlag for estimat</t>
  </si>
  <si>
    <t>Anlæg</t>
  </si>
  <si>
    <t>Risikopulje</t>
  </si>
  <si>
    <t>Omkostningsbaserede projektudgifter</t>
  </si>
  <si>
    <t>Aktiverbare projektudgifter, afskrivninger</t>
  </si>
  <si>
    <t>Ikke-aktiverbare projektudgifter</t>
  </si>
  <si>
    <t>Renter</t>
  </si>
  <si>
    <t>Fase- og leveranceopdelt budget og forbrug, udgiftsbaseret</t>
  </si>
  <si>
    <t>%</t>
  </si>
  <si>
    <t>Total forbrug</t>
  </si>
  <si>
    <t>Afskrivningsprofiler</t>
  </si>
  <si>
    <t>Køb af anlægsaktiver</t>
  </si>
  <si>
    <t>Afskrivninger</t>
  </si>
  <si>
    <t>FF4-gæld, ultimo året</t>
  </si>
  <si>
    <t>Renter (FF4)</t>
  </si>
  <si>
    <t>Regnskabstekniske oplysninger</t>
  </si>
  <si>
    <t>Projektnavn</t>
  </si>
  <si>
    <t>Projektleder</t>
  </si>
  <si>
    <t>Anlægstitel</t>
  </si>
  <si>
    <t>Ibrugtagningsdato</t>
  </si>
  <si>
    <t>Indtastningsår</t>
  </si>
  <si>
    <t>Rapporteringsår</t>
  </si>
  <si>
    <t>Leverancer</t>
  </si>
  <si>
    <t>Indplacering af risikopuljen (pct.):</t>
  </si>
  <si>
    <t>Sådan skal du gøre</t>
  </si>
  <si>
    <t>L1</t>
  </si>
  <si>
    <t>L2</t>
  </si>
  <si>
    <t>L3</t>
  </si>
  <si>
    <t>L4</t>
  </si>
  <si>
    <t>L5</t>
  </si>
  <si>
    <t>L6</t>
  </si>
  <si>
    <t>L7</t>
  </si>
  <si>
    <t>L8</t>
  </si>
  <si>
    <t>L9</t>
  </si>
  <si>
    <t>L10</t>
  </si>
  <si>
    <t>L11</t>
  </si>
  <si>
    <t>L12</t>
  </si>
  <si>
    <t>L13</t>
  </si>
  <si>
    <t>L14</t>
  </si>
  <si>
    <t>L15</t>
  </si>
  <si>
    <t>L17</t>
  </si>
  <si>
    <t>L18</t>
  </si>
  <si>
    <t>L19</t>
  </si>
  <si>
    <t>L20</t>
  </si>
  <si>
    <t>logo</t>
  </si>
  <si>
    <t>h_2</t>
  </si>
  <si>
    <t>h_3</t>
  </si>
  <si>
    <t>h_4</t>
  </si>
  <si>
    <t>capex-section</t>
  </si>
  <si>
    <t>capex-section_title</t>
  </si>
  <si>
    <t>capex</t>
  </si>
  <si>
    <t>capex_pl-adjustment_end</t>
  </si>
  <si>
    <t>capex_years</t>
  </si>
  <si>
    <t>capex_phases</t>
  </si>
  <si>
    <t>capex_phases_2</t>
  </si>
  <si>
    <t>capex_phases_2_1</t>
  </si>
  <si>
    <t>capex_phases_2_2</t>
  </si>
  <si>
    <t>capex_phases_2_3</t>
  </si>
  <si>
    <t>capex_phases_2_4</t>
  </si>
  <si>
    <t>capex_phases_2-end</t>
  </si>
  <si>
    <t>capex_phases_4</t>
  </si>
  <si>
    <t>capex_phases_4_1</t>
  </si>
  <si>
    <t>capex_phases_4_2</t>
  </si>
  <si>
    <t>capex_phases_4_3</t>
  </si>
  <si>
    <t>capex_phases_4_4</t>
  </si>
  <si>
    <t>capex_phases_4_5</t>
  </si>
  <si>
    <t>capex_phases_4_6</t>
  </si>
  <si>
    <t>capex_phases_4_7</t>
  </si>
  <si>
    <t>capex_phases_4_8</t>
  </si>
  <si>
    <t>capex_phases_4_9</t>
  </si>
  <si>
    <t>capex_phases_4_10</t>
  </si>
  <si>
    <t>capex_phases_4_11</t>
  </si>
  <si>
    <t>capex_phases_4_12</t>
  </si>
  <si>
    <t>capex_phases_4_13</t>
  </si>
  <si>
    <t>capex_phases_4_14</t>
  </si>
  <si>
    <t>capex_phases_4_15</t>
  </si>
  <si>
    <t>capex_phases_4-end</t>
  </si>
  <si>
    <t>capex_total</t>
  </si>
  <si>
    <t>capex_categories_1-end1</t>
  </si>
  <si>
    <t>capex_categories_1-end3</t>
  </si>
  <si>
    <t>capex_pl-adjustment_title</t>
  </si>
  <si>
    <t>capex_pl-adjustment_years-av1</t>
  </si>
  <si>
    <t>capex_pl-adjustment_factor</t>
  </si>
  <si>
    <t>capex_pl-factor</t>
  </si>
  <si>
    <t>capex_total-pl-adjusted</t>
  </si>
  <si>
    <t>capex_total_end1</t>
  </si>
  <si>
    <t>capex_total_end2</t>
  </si>
  <si>
    <t>capex_total_end3</t>
  </si>
  <si>
    <t>capex_total_risk</t>
  </si>
  <si>
    <t>capex_total_risk-end</t>
  </si>
  <si>
    <t>capex_total_combined</t>
  </si>
  <si>
    <t>capex_total_combined-end</t>
  </si>
  <si>
    <t>benefits</t>
  </si>
  <si>
    <t>opex_pl-adjustment_end</t>
  </si>
  <si>
    <t>benefits_years</t>
  </si>
  <si>
    <t>benefits_operating-expenses</t>
  </si>
  <si>
    <t>benefits_operating-expenses_1</t>
  </si>
  <si>
    <t>benefits_operating-expenses_2</t>
  </si>
  <si>
    <t>benefits_operating-expenses_3</t>
  </si>
  <si>
    <t>benefits_operating-expenses_4</t>
  </si>
  <si>
    <t>benefits_operating-expenses_5</t>
  </si>
  <si>
    <t>benefits_operating-expenses_end</t>
  </si>
  <si>
    <t>benefits_total</t>
  </si>
  <si>
    <t>benefits_end</t>
  </si>
  <si>
    <t>D1</t>
  </si>
  <si>
    <t>D2</t>
  </si>
  <si>
    <t>D3</t>
  </si>
  <si>
    <t>D4</t>
  </si>
  <si>
    <t>D5</t>
  </si>
  <si>
    <t>Driftseffekter</t>
  </si>
  <si>
    <t>Samlede effekter</t>
  </si>
  <si>
    <t>capex_phases_2_5</t>
  </si>
  <si>
    <t>md_1_phase_name</t>
  </si>
  <si>
    <t>md_1_phase_start-dtm</t>
  </si>
  <si>
    <t>Startdato</t>
  </si>
  <si>
    <t>md_1_deliveries_separator</t>
  </si>
  <si>
    <t>md_1_scenario_phases-end-dtm</t>
  </si>
  <si>
    <t>Slutdato</t>
  </si>
  <si>
    <t>Om projektet</t>
  </si>
  <si>
    <t>Ikke aktiverbar</t>
  </si>
  <si>
    <t>phases_items_2_deliveries-end</t>
  </si>
  <si>
    <t>phases_items_2</t>
  </si>
  <si>
    <t>phases_items_2_start-dtm</t>
  </si>
  <si>
    <t>phases_items_4</t>
  </si>
  <si>
    <t>phases_items_4_start-dtm</t>
  </si>
  <si>
    <t>phases_end-dtm</t>
  </si>
  <si>
    <t>fixed-assets</t>
  </si>
  <si>
    <t>fixed-assets_expl</t>
  </si>
  <si>
    <t>fixed-assets_items</t>
  </si>
  <si>
    <t>fixed-assets_items_1</t>
  </si>
  <si>
    <t>fixed-assets_items_2</t>
  </si>
  <si>
    <t>fixed-assets_items_3</t>
  </si>
  <si>
    <t>fixed-assets_items_4</t>
  </si>
  <si>
    <t>fixed-assets_items_5</t>
  </si>
  <si>
    <t>page</t>
  </si>
  <si>
    <t>header_0</t>
  </si>
  <si>
    <t>about</t>
  </si>
  <si>
    <t>about_header</t>
  </si>
  <si>
    <t>about_name</t>
  </si>
  <si>
    <t>about_owner</t>
  </si>
  <si>
    <t>about_manager</t>
  </si>
  <si>
    <t>accounting_space</t>
  </si>
  <si>
    <t>accounting-end</t>
  </si>
  <si>
    <t>accounting</t>
  </si>
  <si>
    <t>accounting_header</t>
  </si>
  <si>
    <t>accounting_pl-year-val</t>
  </si>
  <si>
    <t>accounting_desc1</t>
  </si>
  <si>
    <t>accounting_reporting-year-val</t>
  </si>
  <si>
    <t>accounting_desc2</t>
  </si>
  <si>
    <t>g_sc_1_assets_years</t>
  </si>
  <si>
    <t>g_sc_1_assets_dates</t>
  </si>
  <si>
    <t>g_sc_1_phases_years</t>
  </si>
  <si>
    <t>c.12</t>
  </si>
  <si>
    <t>c.13</t>
  </si>
  <si>
    <t>c.14</t>
  </si>
  <si>
    <t>c.15</t>
  </si>
  <si>
    <t>c.16</t>
  </si>
  <si>
    <t>c.17</t>
  </si>
  <si>
    <t>c.18</t>
  </si>
  <si>
    <t>Projektets økonomiske nøgletal</t>
  </si>
  <si>
    <t>Oversigtstabeller</t>
  </si>
  <si>
    <t>c.1</t>
  </si>
  <si>
    <t>c.2</t>
  </si>
  <si>
    <t>c.3</t>
  </si>
  <si>
    <t>c.4</t>
  </si>
  <si>
    <t>g_lang_val</t>
  </si>
  <si>
    <t>g_lang_key</t>
  </si>
  <si>
    <t>Statens business case-model</t>
  </si>
  <si>
    <t>so_1</t>
  </si>
  <si>
    <t>so_1_1</t>
  </si>
  <si>
    <t>so_1_1_2</t>
  </si>
  <si>
    <t>so_1_1_1</t>
  </si>
  <si>
    <t>so_1_2</t>
  </si>
  <si>
    <t>so_1_3</t>
  </si>
  <si>
    <t>(</t>
  </si>
  <si>
    <t>so_2</t>
  </si>
  <si>
    <t>so_2_1</t>
  </si>
  <si>
    <t>so_2_1_1</t>
  </si>
  <si>
    <t>so_2_1_1_1</t>
  </si>
  <si>
    <t>so_2_1_1_2</t>
  </si>
  <si>
    <t>so_2_1_1_3</t>
  </si>
  <si>
    <t>so_2_1_2</t>
  </si>
  <si>
    <t>so_2_1_2_1</t>
  </si>
  <si>
    <t>so_2_1_3</t>
  </si>
  <si>
    <t>so_2_1_3_1</t>
  </si>
  <si>
    <t>so_2_1_3_2</t>
  </si>
  <si>
    <t>so_3</t>
  </si>
  <si>
    <t>so_3_1</t>
  </si>
  <si>
    <t>so_3_1_1</t>
  </si>
  <si>
    <t>so_3_1_2</t>
  </si>
  <si>
    <t>so_3_1_3</t>
  </si>
  <si>
    <t>so_3_1_4</t>
  </si>
  <si>
    <t>so_4</t>
  </si>
  <si>
    <t>so_4_1</t>
  </si>
  <si>
    <t>so_4_1_1</t>
  </si>
  <si>
    <t>so_4_1_1_1</t>
  </si>
  <si>
    <t>so_4_1_2</t>
  </si>
  <si>
    <t>so_4_1_2_1</t>
  </si>
  <si>
    <t>le_1</t>
  </si>
  <si>
    <t>le_1_1</t>
  </si>
  <si>
    <t>le_2</t>
  </si>
  <si>
    <t>le_2_1</t>
  </si>
  <si>
    <t>le_2_1_1</t>
  </si>
  <si>
    <t>le_2_1_3</t>
  </si>
  <si>
    <t>le_2_1_4</t>
  </si>
  <si>
    <t>le_2_1_5</t>
  </si>
  <si>
    <t>le_2_2</t>
  </si>
  <si>
    <t>le_2_3</t>
  </si>
  <si>
    <t>le_2_5</t>
  </si>
  <si>
    <t>le_2_5_1</t>
  </si>
  <si>
    <t>le_2_6</t>
  </si>
  <si>
    <t>le_2_7</t>
  </si>
  <si>
    <t>le_2_6_1</t>
  </si>
  <si>
    <t>le_3</t>
  </si>
  <si>
    <t>le_3_1</t>
  </si>
  <si>
    <t>tb_1</t>
  </si>
  <si>
    <t>tb_1_1</t>
  </si>
  <si>
    <t>Tabel</t>
  </si>
  <si>
    <t>tb_1_1_1</t>
  </si>
  <si>
    <t>tb_1_1_1_1</t>
  </si>
  <si>
    <t>tb_1_1_1_2</t>
  </si>
  <si>
    <t>tb_2</t>
  </si>
  <si>
    <t>tb_2_1</t>
  </si>
  <si>
    <t>tb_2_1_1</t>
  </si>
  <si>
    <t>tb_1_1_2</t>
  </si>
  <si>
    <t>tb_1_1_3</t>
  </si>
  <si>
    <t>tb_1_1_5</t>
  </si>
  <si>
    <t>tb_1_1_6</t>
  </si>
  <si>
    <t>tb_2_2</t>
  </si>
  <si>
    <t>tb_2_2_1</t>
  </si>
  <si>
    <t>tb_2_4</t>
  </si>
  <si>
    <t>tb_2_4_1</t>
  </si>
  <si>
    <t>tb_2_4_2</t>
  </si>
  <si>
    <t>tb_2_4_3</t>
  </si>
  <si>
    <t>tb_2_4_4</t>
  </si>
  <si>
    <t>version</t>
  </si>
  <si>
    <t>På forsiden indtaster du stamdata for projektet. De navne, startdatoer, anlæg og afskrivningsperioder, som du skriver på forsiden, overføres til skemaerne på de næste faner.</t>
  </si>
  <si>
    <t>Angiv hvorvidt der i projektet bliver bygget et anlæg/aktiv. Du SKAL tage stilling til, hvorvidt projektet indeholder et anlæg, før du kan bruge business case-modellen.
It-systemer er ofte regnskabsført som immaterielle anlægsaktiver, og hvis der et anlæg i projektet, skal du angive dato for ibrugtagning og længden på afskrivningsperioden. Afskrivningsperioden er i business case-modellen også gevinstrealiseringsperioden for projektet.</t>
  </si>
  <si>
    <t>Procentdel aktiveret (pct.)</t>
  </si>
  <si>
    <t>Procentdel eksterne (pct.)</t>
  </si>
  <si>
    <t>tb_2_1_2</t>
  </si>
  <si>
    <t>tb_2_1_3</t>
  </si>
  <si>
    <t>tb_1_1_4</t>
  </si>
  <si>
    <t>Interne</t>
  </si>
  <si>
    <t>Eksterne</t>
  </si>
  <si>
    <t xml:space="preserve">Mio. kr. </t>
  </si>
  <si>
    <t>tb_2_1_5</t>
  </si>
  <si>
    <t>tb_2_1_6</t>
  </si>
  <si>
    <t>tb_2_1_4</t>
  </si>
  <si>
    <t>Økonomiske nøgletal</t>
  </si>
  <si>
    <t xml:space="preserve">Driftseffekt </t>
  </si>
  <si>
    <t>Den samlede projektøkonomi</t>
  </si>
  <si>
    <t>Number (date - hour)</t>
  </si>
  <si>
    <t>Changes</t>
  </si>
  <si>
    <t>Made by</t>
  </si>
  <si>
    <t>JESTF</t>
  </si>
  <si>
    <t>Fix af små tastefejl og ændring af driftseffektslinjens visuelle udtryk</t>
  </si>
  <si>
    <t>18-01-2024  0942</t>
  </si>
  <si>
    <t>pl-år</t>
  </si>
  <si>
    <t>-pl</t>
  </si>
  <si>
    <t xml:space="preserve">Total </t>
  </si>
  <si>
    <t xml:space="preserve">Riskopulje </t>
  </si>
  <si>
    <t>[Indsæt grundlag eller beregning]</t>
  </si>
  <si>
    <t>le_4</t>
  </si>
  <si>
    <t>le_4_1</t>
  </si>
  <si>
    <t>le_4_2</t>
  </si>
  <si>
    <t>Afledt driftseffekt i tusinde kroner (t. kr.)</t>
  </si>
  <si>
    <t>Afledte økonomiske omkostninger i tusinde kroner (t. kr.)</t>
  </si>
  <si>
    <t>Projektudgifter i tusinde kroner (t. kr.)</t>
  </si>
  <si>
    <t>Nr.</t>
  </si>
  <si>
    <t>pl-faktor:</t>
  </si>
  <si>
    <t xml:space="preserve">pl-justeret </t>
  </si>
  <si>
    <t>pl-justeret, inkl. risikopulje</t>
  </si>
  <si>
    <t>Projektudgifter, ekskl. renter</t>
  </si>
  <si>
    <t>Total, ekskl. renter</t>
  </si>
  <si>
    <t>Total, inkl. renter</t>
  </si>
  <si>
    <t>c62</t>
  </si>
  <si>
    <t>c63</t>
  </si>
  <si>
    <t>c64</t>
  </si>
  <si>
    <t>c65</t>
  </si>
  <si>
    <t>c66</t>
  </si>
  <si>
    <t>c67</t>
  </si>
  <si>
    <t>c68</t>
  </si>
  <si>
    <t>c69</t>
  </si>
  <si>
    <t>c70</t>
  </si>
  <si>
    <t>c71</t>
  </si>
  <si>
    <t>c72</t>
  </si>
  <si>
    <t>c73</t>
  </si>
  <si>
    <t>c74</t>
  </si>
  <si>
    <t>20240131 1100</t>
  </si>
  <si>
    <t>Fixed UFST behov for 15 års afskrivninger og pl beregning på afskrivninger samt formateringer</t>
  </si>
  <si>
    <t>JESTF+FREWE</t>
  </si>
  <si>
    <t>Ændringslog</t>
  </si>
  <si>
    <t>09-02-2024 1453</t>
  </si>
  <si>
    <t>Fixed manglende pl-beregnig i tabel fanen for tabel 3+4 og for tabel 2 ikke-aktiverede projektudgifter ved direkte at gange med faktoren før vi dividerer med 1000</t>
  </si>
  <si>
    <t>c75</t>
  </si>
  <si>
    <t>c76</t>
  </si>
  <si>
    <t>c77</t>
  </si>
  <si>
    <t>c78</t>
  </si>
  <si>
    <t>c79</t>
  </si>
  <si>
    <t>c80</t>
  </si>
  <si>
    <t>c81</t>
  </si>
  <si>
    <t>c82</t>
  </si>
  <si>
    <t>c83</t>
  </si>
  <si>
    <t>12-02-2024  1206</t>
  </si>
  <si>
    <t>Fixed efter heavy test. Løst problemer med tabellerne i tabelfanen, indsat ekstea kolonner i pl-beregningen i leverancefanen. Testet for om tabellerne regner korrekt inkl. pl-beregning.</t>
  </si>
  <si>
    <t>12-02-2024  1542</t>
  </si>
  <si>
    <t>Fixed efter ligth test. Løst problemer med tabel 5 i tabelfanen, hvor den gangede kolonne AU fra leverancefanen på, so, angiver procentdel aktiveret. Dette var dog dobbelt, da vi nu allerede gør det i pl beregningen i leverancefanen.</t>
  </si>
  <si>
    <t>Drifts-, vedligeholds- og udviklingsomkostninger</t>
  </si>
  <si>
    <t>26-02-2024  1556</t>
  </si>
  <si>
    <t>Indsat pl-justering på risikopuljen og testet om den regner korrekt. Herefter er modellen blevet testet igen. Fandt en fejl i manglende formler i leverancetabellen for projektudgifter. Lader til at komme fra en tidligere test, hvor formlerne er blevet slettet ifm. at data er blevet slettet. Vær meget obs på det. Derudover er det nemt løst, da man kan tage første kolonne og trække den så langt man vil have formlerne til at gå ud.</t>
  </si>
  <si>
    <t>le_3_2</t>
  </si>
  <si>
    <t>Indsat årstal i leverancefanen for indtastningsår og juteret den betingede formatering, så de kun fremgår for relevante år. Tilføjet tekst til hver af tabellerne i leverance fanen til hjælp for udfyldelse. Fixet indledende referancerproblemr opstået ved tilføjelse af flere rækker.</t>
  </si>
  <si>
    <t>Styregruppeformand</t>
  </si>
  <si>
    <t>Testet af Anton og Jeppe F - fandt en fejl i referencen i tabel 3 for risikopuljen. Denne er håndteret.</t>
  </si>
  <si>
    <t>1) Udgifter er i tusinde kroner.
2) Du kan kun indtaste data i de hvide felter.
3) Du kan bruge klip/kopier+indsæt-funktionen for værdier i de hvide felter.
4) Du kan bruge klip/kopier+indsæt-funktionen for leverancer/releases, men ikke for anlæg, da det kan ødelægge de bagvedliggende formler.</t>
  </si>
  <si>
    <t>Opdateret PL til juni 2024-tal. Nu kan modelle beregne 2025-tal.</t>
  </si>
  <si>
    <t>FREWE</t>
  </si>
  <si>
    <t>Modellen er opdatert til 5.0.1: Tilføjet yderligere betingetformatering til cellerne hvor anlæg vælges på  "Leverancer". De bliver røde, hvis brugeren har valgt et anlæg, som ikke kan findes på fanen "Stamoplysninger". Der er også yderligere betingetformatering til risikopuljensplacering. Denne er nu kun rød, når der er placerede midler som ikke summer til 100 pct.. Dertil er der tilføjet datavalidering på datoindtastningsfelterne i fanen "Stamoplysninger". Brugeren kan nu kun skrive datoer i format dd-mm-yyyy og kun datoer efter 01-01-1900 er valide. indtastningsåret i "Leverancer" referere nu som udgangspunkt til det globale indtastningsår i "Stamoplysninger". Dette brydes dog ved første manuelle indtastning af indtastningsår</t>
  </si>
  <si>
    <t>Der er tilføjer yderligere rækker til leverancer, driftsudgifter og anlæg. Ændringerne er lavet på samtligt synlige faner</t>
  </si>
  <si>
    <t>capex_phases_2_6</t>
  </si>
  <si>
    <t>capex_phases_2_7</t>
  </si>
  <si>
    <t>capex_phases_2_8</t>
  </si>
  <si>
    <t>capex_phases_2_9</t>
  </si>
  <si>
    <t>capex_phases_2_10</t>
  </si>
  <si>
    <t>L21</t>
  </si>
  <si>
    <t>L22</t>
  </si>
  <si>
    <t>L23</t>
  </si>
  <si>
    <t>L24</t>
  </si>
  <si>
    <t>L25</t>
  </si>
  <si>
    <t>L26</t>
  </si>
  <si>
    <t>L27</t>
  </si>
  <si>
    <t>L28</t>
  </si>
  <si>
    <t>L29</t>
  </si>
  <si>
    <t>L30</t>
  </si>
  <si>
    <t>L31</t>
  </si>
  <si>
    <t>L32</t>
  </si>
  <si>
    <t>L33</t>
  </si>
  <si>
    <t>L34</t>
  </si>
  <si>
    <t>L35</t>
  </si>
  <si>
    <t>L36</t>
  </si>
  <si>
    <t>L37</t>
  </si>
  <si>
    <t>L38</t>
  </si>
  <si>
    <t>L39</t>
  </si>
  <si>
    <t>L40</t>
  </si>
  <si>
    <t>L41</t>
  </si>
  <si>
    <t>L42</t>
  </si>
  <si>
    <t>L43</t>
  </si>
  <si>
    <t>L44</t>
  </si>
  <si>
    <t>L45</t>
  </si>
  <si>
    <t>L46</t>
  </si>
  <si>
    <t>L47</t>
  </si>
  <si>
    <t>L48</t>
  </si>
  <si>
    <t>L49</t>
  </si>
  <si>
    <t>L50</t>
  </si>
  <si>
    <t>L51</t>
  </si>
  <si>
    <t>L52</t>
  </si>
  <si>
    <t>L53</t>
  </si>
  <si>
    <t>L54</t>
  </si>
  <si>
    <t>L55</t>
  </si>
  <si>
    <t>L56</t>
  </si>
  <si>
    <t>L57</t>
  </si>
  <si>
    <t>L58</t>
  </si>
  <si>
    <t>L59</t>
  </si>
  <si>
    <t>L60</t>
  </si>
  <si>
    <t>capex_phases_4_16</t>
  </si>
  <si>
    <t>capex_phases_4_17</t>
  </si>
  <si>
    <t>capex_phases_4_18</t>
  </si>
  <si>
    <t>capex_phases_4_19</t>
  </si>
  <si>
    <t>capex_phases_4_20</t>
  </si>
  <si>
    <t>capex_phases_4_21</t>
  </si>
  <si>
    <t>capex_phases_4_22</t>
  </si>
  <si>
    <t>capex_phases_4_23</t>
  </si>
  <si>
    <t>capex_phases_4_24</t>
  </si>
  <si>
    <t>capex_phases_4_25</t>
  </si>
  <si>
    <t>capex_phases_4_26</t>
  </si>
  <si>
    <t>capex_phases_4_27</t>
  </si>
  <si>
    <t>capex_phases_4_28</t>
  </si>
  <si>
    <t>capex_phases_4_29</t>
  </si>
  <si>
    <t>capex_phases_4_30</t>
  </si>
  <si>
    <t>capex_phases_4_31</t>
  </si>
  <si>
    <t>capex_phases_4_32</t>
  </si>
  <si>
    <t>capex_phases_4_33</t>
  </si>
  <si>
    <t>capex_phases_4_34</t>
  </si>
  <si>
    <t>capex_phases_4_35</t>
  </si>
  <si>
    <t>capex_phases_4_36</t>
  </si>
  <si>
    <t>capex_phases_4_37</t>
  </si>
  <si>
    <t>capex_phases_4_38</t>
  </si>
  <si>
    <t>capex_phases_4_39</t>
  </si>
  <si>
    <t>capex_phases_4_40</t>
  </si>
  <si>
    <t>capex_phases_4_41</t>
  </si>
  <si>
    <t>capex_phases_4_42</t>
  </si>
  <si>
    <t>capex_phases_4_43</t>
  </si>
  <si>
    <t>capex_phases_4_44</t>
  </si>
  <si>
    <t>capex_phases_4_45</t>
  </si>
  <si>
    <t>capex_phases_4_46</t>
  </si>
  <si>
    <t>capex_phases_4_47</t>
  </si>
  <si>
    <t>capex_phases_4_48</t>
  </si>
  <si>
    <t>capex_phases_4_49</t>
  </si>
  <si>
    <t>capex_phases_4_50</t>
  </si>
  <si>
    <t>D6</t>
  </si>
  <si>
    <t>D7</t>
  </si>
  <si>
    <t>D8</t>
  </si>
  <si>
    <t>D9</t>
  </si>
  <si>
    <t>D10</t>
  </si>
  <si>
    <t>D11</t>
  </si>
  <si>
    <t>D12</t>
  </si>
  <si>
    <t>D13</t>
  </si>
  <si>
    <t>D14</t>
  </si>
  <si>
    <t>D15</t>
  </si>
  <si>
    <t>D16</t>
  </si>
  <si>
    <t>D17</t>
  </si>
  <si>
    <t>D18</t>
  </si>
  <si>
    <t>D19</t>
  </si>
  <si>
    <t>D20</t>
  </si>
  <si>
    <t>benefits_operating-expenses_6</t>
  </si>
  <si>
    <t>benefits_operating-expenses_7</t>
  </si>
  <si>
    <t>benefits_operating-expenses_8</t>
  </si>
  <si>
    <t>benefits_operating-expenses_9</t>
  </si>
  <si>
    <t>benefits_operating-expenses_10</t>
  </si>
  <si>
    <t>benefits_operating-expenses_11</t>
  </si>
  <si>
    <t>benefits_operating-expenses_12</t>
  </si>
  <si>
    <t>benefits_operating-expenses_13</t>
  </si>
  <si>
    <t>benefits_operating-expenses_14</t>
  </si>
  <si>
    <t>benefits_operating-expenses_15</t>
  </si>
  <si>
    <t>benefits_operating-expenses_16</t>
  </si>
  <si>
    <t>benefits_operating-expenses_17</t>
  </si>
  <si>
    <t>benefits_operating-expenses_18</t>
  </si>
  <si>
    <t>benefits_operating-expenses_19</t>
  </si>
  <si>
    <t>benefits_operating-expenses_20</t>
  </si>
  <si>
    <t>L16</t>
  </si>
  <si>
    <t>c84</t>
  </si>
  <si>
    <t>15-19-2025</t>
  </si>
  <si>
    <t>Modellen er opdateret til 5.0.2: Opdateret med nye PL-tal inklusiv 2026</t>
  </si>
  <si>
    <t>MADSOD</t>
  </si>
  <si>
    <t>Mio. kr. 2025-pl</t>
  </si>
  <si>
    <t>le_2_8</t>
  </si>
  <si>
    <t>le_2_9</t>
  </si>
  <si>
    <t>tb_2_4_5</t>
  </si>
  <si>
    <t>Samlet driftsøkonomi</t>
  </si>
  <si>
    <t>Driftsudgifter</t>
  </si>
  <si>
    <t>23 43 49 16</t>
  </si>
  <si>
    <t>Oversigtstabeller til Finansudvalget</t>
  </si>
  <si>
    <t>18-06-2026 1611</t>
  </si>
  <si>
    <t xml:space="preserve">Fiksede en fejl i referencer I renterne til FIU-tabellen (tabel 2). Efter udvidelse til 20 anlæg fik formlen for renterne ikke de sidste 15 med. Udgives som silent release i første omgang. Fejlen meldes på ved næste større release ifm. nye pl-tal. </t>
  </si>
  <si>
    <t>5.1.0</t>
  </si>
  <si>
    <t>Afskrivningsperiode (3, 5 eller 8 år)</t>
  </si>
  <si>
    <t>Har du spørgsmål til brugen af modellen, kan du kontakte kontoret It-styring i Økonomistyrelsen.</t>
  </si>
  <si>
    <t>JESTF &amp; MADSOD</t>
  </si>
  <si>
    <t>10-08-2026 1529</t>
  </si>
  <si>
    <t>1) I denne tabel indtastes alene de kommende drifts-, vedligeholds- og udviklingsomkostninger.
2) Der henvises til Model for porteføljestyring af statslige it-systemer for definition af drifts-, vedligeholds- og udviklingsomkostninger, som kan findes på Økonomistyrelsens hjemmeside oes.dk.
3) Hvis projektet har forventede effektiviseringsgevinster i forretningen, som fører til en besparelse, skal de forventede fremtidige driftsomkostninger for det påvirkede område fremgå i tabellen for de afledte økonomiske omkostninger</t>
  </si>
  <si>
    <t>1) Driftseffekten er lig med forskellen mellem kommende (A) og eksisterende (B) drifts, vedligeholds- og udviklingsomkostninger (A - B = driftseffekten).
2) En positiv driftseffekt betyder en stigning i budgettet, mens en negativ driftseffekt betyder en budgetmæssig besparelse.
3) Driftseffekten synliggør økonomiske gevinster, der leder til en budgetmæssig besparelse eller den økonomiske effekt, hvor det leder til en fordyrelse. Økonomiske gevinster, der ikke leder til en budgetmæssig besparelse, f.eks. produktivitetsgevinster, skal kun fremgå af projektgrundlaget og indtastes ikke her. I projektgrundlaget kan den samlede driftseffekt fordeles på de konkrete økonomiske effekter
4) Tabel for den afledte driftseffekt har samme pl-justering som tabel for afledte økonomiske omkostninger.</t>
  </si>
  <si>
    <t>Husk at orientere dig i "Vejledning til statens it-projektmodel", inden du går i gang med at bruge modellen. Du finder vejledningen på Økonomistyrelsens hjemmeside www.oes.dk.</t>
  </si>
  <si>
    <t>5.1 = tabel på driftsudgifter og driftseffekter til FIU + nye pl-tal + nye tekst vedr. rød og grøn tabel (se publiceret ændringslog for konkrete tilpasninger)+Mads telefonnummer + mindre layout tilpasninger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</si>
</sst>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
    <numFmt numFmtId="165" formatCode="#,##0;\-#,##0;\-"/>
    <numFmt numFmtId="166" formatCode="0;\-0;\-"/>
    <numFmt numFmtId="167" formatCode="0.00%;\-0.00%;\-"/>
    <numFmt numFmtId="168" formatCode="#;#;\-"/>
    <numFmt numFmtId="169" formatCode="#,##0.0;[Red]\-#,##0.0;\-"/>
    <numFmt numFmtId="170" formatCode="&quot;gross receipts for &quot;@"/>
    <numFmt numFmtId="171" formatCode="0.0%"/>
    <numFmt numFmtId="172" formatCode="0.0000"/>
  </numFmts>
  <fonts count="58" x14ac:knownFonts="1">
    <font>
      <sz val="10"/>
      <color theme="1"/>
      <name val="Calibri"/>
      <family val="2"/>
    </font>
    <font>
      <sz val="11"/>
      <color theme="1"/>
      <name val="Calibri"/>
      <family val="2"/>
      <scheme val="minor"/>
    </font>
    <font>
      <sz val="10"/>
      <color theme="0"/>
      <name val="Calibri"/>
      <family val="2"/>
      <scheme val="minor"/>
    </font>
    <font>
      <sz val="10"/>
      <color theme="1"/>
      <name val="Calibri"/>
      <family val="2"/>
      <scheme val="minor"/>
    </font>
    <font>
      <sz val="9"/>
      <color theme="0"/>
      <name val="Arial"/>
      <family val="2"/>
    </font>
    <font>
      <sz val="9"/>
      <color theme="1"/>
      <name val="Arial"/>
      <family val="2"/>
    </font>
    <font>
      <sz val="10"/>
      <color theme="1"/>
      <name val="Arial"/>
      <family val="2"/>
    </font>
    <font>
      <sz val="10"/>
      <color rgb="FFFFFFFF"/>
      <name val="Arial"/>
      <family val="2"/>
    </font>
    <font>
      <sz val="9"/>
      <color rgb="FFFFFFFF"/>
      <name val="Arial"/>
      <family val="2"/>
    </font>
    <font>
      <b/>
      <sz val="9"/>
      <color theme="1"/>
      <name val="Arial"/>
      <family val="2"/>
    </font>
    <font>
      <b/>
      <sz val="16"/>
      <color theme="0"/>
      <name val="Arial"/>
      <family val="2"/>
    </font>
    <font>
      <b/>
      <sz val="14.4"/>
      <color theme="1"/>
      <name val="Arial"/>
      <family val="2"/>
    </font>
    <font>
      <sz val="11"/>
      <color theme="1"/>
      <name val="Arial"/>
      <family val="2"/>
    </font>
    <font>
      <sz val="10"/>
      <color rgb="FF808080"/>
      <name val="Arial"/>
      <family val="2"/>
    </font>
    <font>
      <b/>
      <sz val="12"/>
      <color theme="1"/>
      <name val="Arial"/>
      <family val="2"/>
    </font>
    <font>
      <sz val="10"/>
      <color rgb="FF6E011E"/>
      <name val="Arial"/>
      <family val="2"/>
    </font>
    <font>
      <b/>
      <sz val="10"/>
      <color theme="1"/>
      <name val="Arial"/>
      <family val="2"/>
    </font>
    <font>
      <b/>
      <sz val="22"/>
      <color rgb="FF575755"/>
      <name val="Arial"/>
      <family val="2"/>
    </font>
    <font>
      <b/>
      <sz val="18"/>
      <color rgb="FF9C0027"/>
      <name val="Arial"/>
      <family val="2"/>
    </font>
    <font>
      <b/>
      <sz val="12"/>
      <color rgb="FFFFFFFF"/>
      <name val="Arial"/>
      <family val="2"/>
    </font>
    <font>
      <b/>
      <sz val="9"/>
      <color rgb="FFFFFFFF"/>
      <name val="Arial"/>
      <family val="2"/>
    </font>
    <font>
      <sz val="9"/>
      <color rgb="FF9C0027"/>
      <name val="Arial"/>
      <family val="2"/>
    </font>
    <font>
      <b/>
      <sz val="13"/>
      <color rgb="FF808080"/>
      <name val="Arial"/>
      <family val="2"/>
    </font>
    <font>
      <sz val="9"/>
      <color rgb="FF2686AC"/>
      <name val="Arial"/>
      <family val="2"/>
    </font>
    <font>
      <sz val="9"/>
      <color rgb="FFA6A6A6"/>
      <name val="Arial"/>
      <family val="2"/>
    </font>
    <font>
      <b/>
      <sz val="20"/>
      <color theme="1"/>
      <name val="Arial"/>
      <family val="2"/>
    </font>
    <font>
      <b/>
      <sz val="12"/>
      <color rgb="FF366092"/>
      <name val="Arial"/>
      <family val="2"/>
    </font>
    <font>
      <sz val="18"/>
      <color theme="1"/>
      <name val="Arial"/>
      <family val="2"/>
    </font>
    <font>
      <b/>
      <sz val="10"/>
      <color rgb="FF808080"/>
      <name val="Arial"/>
      <family val="2"/>
    </font>
    <font>
      <sz val="9"/>
      <color rgb="FFF8F8DE"/>
      <name val="Arial"/>
      <family val="2"/>
    </font>
    <font>
      <sz val="19.2"/>
      <color rgb="FF000000"/>
      <name val="Arial"/>
      <family val="2"/>
    </font>
    <font>
      <sz val="10"/>
      <color rgb="FFD9D9D9"/>
      <name val="Arial"/>
      <family val="2"/>
    </font>
    <font>
      <sz val="10"/>
      <color theme="2" tint="-0.499984740745262"/>
      <name val="Calibri"/>
      <family val="2"/>
    </font>
    <font>
      <sz val="9"/>
      <color theme="2" tint="-0.499984740745262"/>
      <name val="Arial"/>
      <family val="2"/>
    </font>
    <font>
      <b/>
      <sz val="9"/>
      <color theme="2" tint="-0.499984740745262"/>
      <name val="Arial"/>
      <family val="2"/>
    </font>
    <font>
      <sz val="12"/>
      <color theme="1"/>
      <name val="Arial"/>
      <family val="2"/>
    </font>
    <font>
      <sz val="20"/>
      <color theme="1"/>
      <name val="Wingdings"/>
      <charset val="2"/>
    </font>
    <font>
      <sz val="26"/>
      <color theme="1"/>
      <name val="Wingdings"/>
      <charset val="2"/>
    </font>
    <font>
      <b/>
      <sz val="8"/>
      <color rgb="FFFFFFFF"/>
      <name val="Arial"/>
      <family val="2"/>
    </font>
    <font>
      <sz val="10"/>
      <color theme="1" tint="0.499984740745262"/>
      <name val="Arial"/>
      <family val="2"/>
    </font>
    <font>
      <sz val="10"/>
      <name val="Arial"/>
      <family val="2"/>
    </font>
    <font>
      <b/>
      <sz val="10"/>
      <name val="Arial"/>
      <family val="2"/>
    </font>
    <font>
      <b/>
      <sz val="9"/>
      <name val="Arial"/>
      <family val="2"/>
    </font>
    <font>
      <sz val="9"/>
      <name val="Arial"/>
      <family val="2"/>
    </font>
    <font>
      <b/>
      <sz val="36"/>
      <color rgb="FF066B43"/>
      <name val="Arial"/>
      <family val="2"/>
    </font>
    <font>
      <b/>
      <sz val="18"/>
      <color rgb="FF066B43"/>
      <name val="Arial"/>
      <family val="2"/>
    </font>
    <font>
      <b/>
      <sz val="14.4"/>
      <color rgb="FF066B43"/>
      <name val="Arial"/>
      <family val="2"/>
    </font>
    <font>
      <b/>
      <sz val="12"/>
      <color rgb="FF2686AC"/>
      <name val="Arial"/>
      <family val="2"/>
    </font>
    <font>
      <sz val="11"/>
      <color rgb="FF9C6500"/>
      <name val="Calibri"/>
      <family val="2"/>
      <scheme val="minor"/>
    </font>
    <font>
      <sz val="9"/>
      <color theme="1" tint="0.499984740745262"/>
      <name val="Arial"/>
      <family val="2"/>
    </font>
    <font>
      <sz val="11"/>
      <color rgb="FFFFFFFF"/>
      <name val="Calibri"/>
      <family val="2"/>
      <scheme val="minor"/>
    </font>
    <font>
      <sz val="9"/>
      <color theme="1"/>
      <name val="Calibri"/>
      <family val="2"/>
      <scheme val="minor"/>
    </font>
    <font>
      <b/>
      <sz val="22"/>
      <color rgb="FF575755"/>
      <name val="Calibri"/>
      <family val="2"/>
      <scheme val="minor"/>
    </font>
    <font>
      <b/>
      <sz val="22"/>
      <color rgb="FF575755"/>
      <name val="Calibri"/>
      <family val="2"/>
    </font>
    <font>
      <b/>
      <sz val="12"/>
      <color rgb="FFFFFFFF"/>
      <name val="Calibri"/>
      <family val="2"/>
      <scheme val="minor"/>
    </font>
    <font>
      <sz val="9"/>
      <color theme="0" tint="-0.34998626667073579"/>
      <name val="Arial"/>
      <family val="2"/>
    </font>
    <font>
      <b/>
      <sz val="18"/>
      <name val="Arial"/>
      <family val="2"/>
    </font>
    <font>
      <sz val="10"/>
      <color theme="1"/>
      <name val="Calibri"/>
      <family val="2"/>
    </font>
  </fonts>
  <fills count="32">
    <fill>
      <patternFill patternType="none"/>
    </fill>
    <fill>
      <patternFill patternType="gray125"/>
    </fill>
    <fill>
      <patternFill patternType="solid">
        <fgColor theme="1"/>
        <bgColor indexed="64"/>
      </patternFill>
    </fill>
    <fill>
      <patternFill patternType="solid">
        <fgColor theme="4" tint="0.59999389629810485"/>
        <bgColor indexed="64"/>
      </patternFill>
    </fill>
    <fill>
      <patternFill patternType="solid">
        <fgColor theme="3"/>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2" tint="-0.749992370372631"/>
        <bgColor indexed="64"/>
      </patternFill>
    </fill>
    <fill>
      <patternFill patternType="solid">
        <fgColor theme="3" tint="-0.499984740745262"/>
        <bgColor indexed="64"/>
      </patternFill>
    </fill>
    <fill>
      <patternFill patternType="solid">
        <fgColor rgb="FFF9F8F3"/>
        <bgColor indexed="64"/>
      </patternFill>
    </fill>
    <fill>
      <patternFill patternType="solid">
        <fgColor rgb="FF575755"/>
        <bgColor indexed="64"/>
      </patternFill>
    </fill>
    <fill>
      <patternFill patternType="solid">
        <fgColor rgb="FF1A6B89"/>
        <bgColor indexed="64"/>
      </patternFill>
    </fill>
    <fill>
      <patternFill patternType="solid">
        <fgColor rgb="FF024C17"/>
        <bgColor indexed="64"/>
      </patternFill>
    </fill>
    <fill>
      <patternFill patternType="solid">
        <fgColor rgb="FFF8F8DE"/>
        <bgColor indexed="64"/>
      </patternFill>
    </fill>
    <fill>
      <patternFill patternType="solid">
        <fgColor rgb="FFF3F2F2"/>
        <bgColor indexed="64"/>
      </patternFill>
    </fill>
    <fill>
      <patternFill patternType="solid">
        <fgColor rgb="FFFFFFFF"/>
        <bgColor indexed="64"/>
      </patternFill>
    </fill>
    <fill>
      <patternFill patternType="solid">
        <fgColor rgb="FFD9D9D9"/>
        <bgColor indexed="64"/>
      </patternFill>
    </fill>
    <fill>
      <patternFill patternType="solid">
        <fgColor rgb="FFEBEAE5"/>
        <bgColor indexed="64"/>
      </patternFill>
    </fill>
    <fill>
      <gradientFill degree="90">
        <stop position="0">
          <color rgb="FFD9D9D9"/>
        </stop>
        <stop position="1">
          <color rgb="FFF9F8F3"/>
        </stop>
      </gradientFill>
    </fill>
    <fill>
      <patternFill patternType="solid">
        <fgColor rgb="FF6E011E"/>
        <bgColor indexed="64"/>
      </patternFill>
    </fill>
    <fill>
      <patternFill patternType="solid">
        <fgColor rgb="FF9C0027"/>
        <bgColor indexed="64"/>
      </patternFill>
    </fill>
    <fill>
      <patternFill patternType="solid">
        <fgColor rgb="FFDADADA"/>
        <bgColor indexed="64"/>
      </patternFill>
    </fill>
    <fill>
      <patternFill patternType="solid">
        <fgColor rgb="FFF1F6FA"/>
        <bgColor indexed="64"/>
      </patternFill>
    </fill>
    <fill>
      <patternFill patternType="solid">
        <fgColor rgb="FF4C0014"/>
        <bgColor indexed="64"/>
      </patternFill>
    </fill>
    <fill>
      <patternFill patternType="solid">
        <fgColor rgb="FF2686AC"/>
        <bgColor indexed="64"/>
      </patternFill>
    </fill>
    <fill>
      <patternFill patternType="solid">
        <fgColor rgb="FF11485B"/>
        <bgColor indexed="64"/>
      </patternFill>
    </fill>
    <fill>
      <patternFill patternType="solid">
        <fgColor rgb="FF017024"/>
        <bgColor indexed="64"/>
      </patternFill>
    </fill>
    <fill>
      <gradientFill degree="90">
        <stop position="0">
          <color rgb="FFD9D9D9"/>
        </stop>
        <stop position="1">
          <color rgb="FFFFFFFF"/>
        </stop>
      </gradientFill>
    </fill>
    <fill>
      <patternFill patternType="solid">
        <fgColor rgb="FFFFEB9C"/>
      </patternFill>
    </fill>
    <fill>
      <patternFill patternType="solid">
        <fgColor rgb="FFF9F8F3"/>
        <bgColor rgb="FF000000"/>
      </patternFill>
    </fill>
    <fill>
      <patternFill patternType="solid">
        <fgColor theme="9" tint="-0.499984740745262"/>
        <bgColor indexed="64"/>
      </patternFill>
    </fill>
  </fills>
  <borders count="52">
    <border>
      <left/>
      <right/>
      <top/>
      <bottom/>
      <diagonal/>
    </border>
    <border>
      <left/>
      <right style="thin">
        <color rgb="FFEBEAE5"/>
      </right>
      <top/>
      <bottom/>
      <diagonal/>
    </border>
    <border>
      <left/>
      <right/>
      <top/>
      <bottom style="thin">
        <color rgb="FFCDCDCD"/>
      </bottom>
      <diagonal/>
    </border>
    <border>
      <left style="thin">
        <color rgb="FFCDCDCD"/>
      </left>
      <right/>
      <top/>
      <bottom/>
      <diagonal/>
    </border>
    <border>
      <left/>
      <right style="thin">
        <color rgb="FFCDCDCD"/>
      </right>
      <top/>
      <bottom/>
      <diagonal/>
    </border>
    <border>
      <left style="thin">
        <color rgb="FFCDCDCD"/>
      </left>
      <right/>
      <top style="thin">
        <color rgb="FFCDCDCD"/>
      </top>
      <bottom/>
      <diagonal/>
    </border>
    <border>
      <left style="thin">
        <color rgb="FFCDCDCD"/>
      </left>
      <right/>
      <top/>
      <bottom style="thin">
        <color rgb="FFCDCDCD"/>
      </bottom>
      <diagonal/>
    </border>
    <border>
      <left/>
      <right/>
      <top style="thin">
        <color rgb="FFCDCDCD"/>
      </top>
      <bottom/>
      <diagonal/>
    </border>
    <border>
      <left style="thin">
        <color rgb="FFCDCDCD"/>
      </left>
      <right style="thin">
        <color rgb="FFCDCDCD"/>
      </right>
      <top style="thin">
        <color rgb="FFCDCDCD"/>
      </top>
      <bottom style="thin">
        <color rgb="FFCDCDCD"/>
      </bottom>
      <diagonal/>
    </border>
    <border>
      <left style="thin">
        <color rgb="FFEBEAE5"/>
      </left>
      <right/>
      <top/>
      <bottom/>
      <diagonal/>
    </border>
    <border>
      <left/>
      <right style="thin">
        <color rgb="FFDADADA"/>
      </right>
      <top style="thin">
        <color rgb="FFDADADA"/>
      </top>
      <bottom/>
      <diagonal/>
    </border>
    <border>
      <left/>
      <right style="thin">
        <color rgb="FFEBEAE5"/>
      </right>
      <top style="thin">
        <color rgb="FFEBEAE5"/>
      </top>
      <bottom/>
      <diagonal/>
    </border>
    <border>
      <left/>
      <right style="thin">
        <color rgb="FFEBEAE5"/>
      </right>
      <top style="thick">
        <color rgb="FFEBEAE5"/>
      </top>
      <bottom/>
      <diagonal/>
    </border>
    <border>
      <left/>
      <right/>
      <top style="thick">
        <color rgb="FFEBEAE5"/>
      </top>
      <bottom/>
      <diagonal/>
    </border>
    <border>
      <left/>
      <right/>
      <top style="thin">
        <color rgb="FFEBEAE5"/>
      </top>
      <bottom/>
      <diagonal/>
    </border>
    <border>
      <left/>
      <right/>
      <top/>
      <bottom style="thick">
        <color rgb="FFCDCDCD"/>
      </bottom>
      <diagonal/>
    </border>
    <border>
      <left/>
      <right style="thin">
        <color rgb="FFCDCDCD"/>
      </right>
      <top/>
      <bottom style="thin">
        <color rgb="FFCDCDCD"/>
      </bottom>
      <diagonal/>
    </border>
    <border>
      <left style="thin">
        <color rgb="FFCDCDCD"/>
      </left>
      <right style="thin">
        <color rgb="FFCDCDCD"/>
      </right>
      <top style="thick">
        <color rgb="FFE6E6E8"/>
      </top>
      <bottom/>
      <diagonal/>
    </border>
    <border>
      <left style="thin">
        <color rgb="FFEBEAE5"/>
      </left>
      <right/>
      <top style="thin">
        <color rgb="FFEBEAE5"/>
      </top>
      <bottom/>
      <diagonal/>
    </border>
    <border>
      <left style="thin">
        <color rgb="FFEBEAE5"/>
      </left>
      <right/>
      <top style="thin">
        <color rgb="FFEBEAE5"/>
      </top>
      <bottom style="thin">
        <color rgb="FFEBEAE5"/>
      </bottom>
      <diagonal/>
    </border>
    <border>
      <left/>
      <right/>
      <top style="thin">
        <color rgb="FFEBEAE5"/>
      </top>
      <bottom style="thin">
        <color rgb="FFEBEAE5"/>
      </bottom>
      <diagonal/>
    </border>
    <border>
      <left style="thin">
        <color rgb="FFDADADA"/>
      </left>
      <right/>
      <top/>
      <bottom/>
      <diagonal/>
    </border>
    <border>
      <left style="thin">
        <color rgb="FFCDCDCD"/>
      </left>
      <right style="thin">
        <color rgb="FFCDCDCD"/>
      </right>
      <top style="thick">
        <color theme="9" tint="-0.499984740745262"/>
      </top>
      <bottom/>
      <diagonal/>
    </border>
    <border>
      <left style="thin">
        <color rgb="FFCDCDCD"/>
      </left>
      <right/>
      <top style="thick">
        <color rgb="FF066B43"/>
      </top>
      <bottom/>
      <diagonal/>
    </border>
    <border>
      <left/>
      <right/>
      <top style="thick">
        <color rgb="FF066B43"/>
      </top>
      <bottom/>
      <diagonal/>
    </border>
    <border>
      <left/>
      <right style="thin">
        <color rgb="FFCDCDCD"/>
      </right>
      <top style="thick">
        <color rgb="FF066B43"/>
      </top>
      <bottom/>
      <diagonal/>
    </border>
    <border>
      <left/>
      <right style="thin">
        <color theme="0" tint="-4.9989318521683403E-2"/>
      </right>
      <top/>
      <bottom/>
      <diagonal/>
    </border>
    <border>
      <left style="thin">
        <color theme="0" tint="-4.9989318521683403E-2"/>
      </left>
      <right style="thin">
        <color theme="0" tint="-4.9989318521683403E-2"/>
      </right>
      <top/>
      <bottom/>
      <diagonal/>
    </border>
    <border>
      <left style="thin">
        <color theme="0" tint="-4.9989318521683403E-2"/>
      </left>
      <right/>
      <top/>
      <bottom/>
      <diagonal/>
    </border>
    <border>
      <left style="thin">
        <color rgb="FFEBEAE5"/>
      </left>
      <right style="thin">
        <color rgb="FFEBEAE5"/>
      </right>
      <top style="thin">
        <color rgb="FFEBEAE5"/>
      </top>
      <bottom style="thin">
        <color rgb="FFEBEAE5"/>
      </bottom>
      <diagonal/>
    </border>
    <border>
      <left style="thin">
        <color rgb="FFEBEAE5"/>
      </left>
      <right style="thin">
        <color rgb="FFEBEAE5"/>
      </right>
      <top style="thin">
        <color rgb="FFEBEAE5"/>
      </top>
      <bottom/>
      <diagonal/>
    </border>
    <border>
      <left/>
      <right style="thin">
        <color rgb="FFDADADA"/>
      </right>
      <top/>
      <bottom/>
      <diagonal/>
    </border>
    <border>
      <left style="thin">
        <color theme="0"/>
      </left>
      <right/>
      <top/>
      <bottom/>
      <diagonal/>
    </border>
    <border>
      <left/>
      <right style="thin">
        <color theme="0"/>
      </right>
      <top/>
      <bottom/>
      <diagonal/>
    </border>
    <border>
      <left style="thin">
        <color rgb="FFCDCDCD"/>
      </left>
      <right/>
      <top style="thick">
        <color theme="9" tint="-0.24994659260841701"/>
      </top>
      <bottom/>
      <diagonal/>
    </border>
    <border>
      <left/>
      <right/>
      <top style="thick">
        <color theme="9" tint="-0.24994659260841701"/>
      </top>
      <bottom/>
      <diagonal/>
    </border>
    <border>
      <left/>
      <right style="thin">
        <color rgb="FFCDCDCD"/>
      </right>
      <top style="thick">
        <color theme="9" tint="-0.24994659260841701"/>
      </top>
      <bottom/>
      <diagonal/>
    </border>
    <border>
      <left style="thin">
        <color rgb="FFCDCDCD"/>
      </left>
      <right/>
      <top style="thick">
        <color theme="9" tint="-0.24994659260841701"/>
      </top>
      <bottom style="thick">
        <color rgb="FFE6E6E8"/>
      </bottom>
      <diagonal/>
    </border>
    <border>
      <left/>
      <right/>
      <top style="thick">
        <color theme="9" tint="-0.24994659260841701"/>
      </top>
      <bottom style="thick">
        <color rgb="FFE6E6E8"/>
      </bottom>
      <diagonal/>
    </border>
    <border>
      <left/>
      <right style="thin">
        <color rgb="FFCDCDCD"/>
      </right>
      <top style="thick">
        <color theme="9" tint="-0.24994659260841701"/>
      </top>
      <bottom style="thick">
        <color rgb="FFE6E6E8"/>
      </bottom>
      <diagonal/>
    </border>
    <border>
      <left style="thin">
        <color rgb="FFCDCDCD"/>
      </left>
      <right/>
      <top style="thick">
        <color rgb="FFE6E6E8"/>
      </top>
      <bottom/>
      <diagonal/>
    </border>
    <border>
      <left/>
      <right/>
      <top style="thick">
        <color rgb="FFE6E6E8"/>
      </top>
      <bottom/>
      <diagonal/>
    </border>
    <border>
      <left/>
      <right style="thin">
        <color rgb="FFCDCDCD"/>
      </right>
      <top style="thick">
        <color rgb="FFE6E6E8"/>
      </top>
      <bottom/>
      <diagonal/>
    </border>
    <border>
      <left/>
      <right style="thin">
        <color theme="4" tint="0.59999389629810485"/>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right style="thin">
        <color theme="4" tint="0.59999389629810485"/>
      </right>
      <top/>
      <bottom style="thin">
        <color theme="4" tint="0.59999389629810485"/>
      </bottom>
      <diagonal/>
    </border>
    <border>
      <left style="thin">
        <color theme="4" tint="0.59999389629810485"/>
      </left>
      <right style="thin">
        <color theme="4" tint="0.59999389629810485"/>
      </right>
      <top style="thin">
        <color theme="4" tint="0.59999389629810485"/>
      </top>
      <bottom/>
      <diagonal/>
    </border>
    <border>
      <left style="thin">
        <color theme="4" tint="0.59999389629810485"/>
      </left>
      <right/>
      <top style="thin">
        <color theme="4" tint="0.59999389629810485"/>
      </top>
      <bottom style="thin">
        <color theme="4" tint="0.59999389629810485"/>
      </bottom>
      <diagonal/>
    </border>
    <border>
      <left style="thin">
        <color theme="4" tint="0.59999389629810485"/>
      </left>
      <right/>
      <top style="thin">
        <color theme="4" tint="0.59999389629810485"/>
      </top>
      <bottom/>
      <diagonal/>
    </border>
  </borders>
  <cellStyleXfs count="130">
    <xf numFmtId="0" fontId="0" fillId="0" borderId="0"/>
    <xf numFmtId="0" fontId="7" fillId="11" borderId="0">
      <alignment horizontal="center" vertical="center"/>
    </xf>
    <xf numFmtId="0" fontId="8" fillId="12" borderId="1">
      <alignment horizontal="center" vertical="center"/>
    </xf>
    <xf numFmtId="0" fontId="9" fillId="10" borderId="0"/>
    <xf numFmtId="0" fontId="8" fillId="13" borderId="1">
      <alignment horizontal="center" vertical="center"/>
    </xf>
    <xf numFmtId="164" fontId="5" fillId="14" borderId="2">
      <alignment horizontal="right" shrinkToFit="1"/>
    </xf>
    <xf numFmtId="0" fontId="6" fillId="15" borderId="3">
      <alignment vertical="center"/>
    </xf>
    <xf numFmtId="0" fontId="6" fillId="15" borderId="0">
      <alignment vertical="center"/>
    </xf>
    <xf numFmtId="0" fontId="6" fillId="15" borderId="4">
      <alignment vertical="center"/>
    </xf>
    <xf numFmtId="0" fontId="11" fillId="15" borderId="0">
      <alignment vertical="center"/>
    </xf>
    <xf numFmtId="49" fontId="12" fillId="16" borderId="0">
      <alignment horizontal="left" vertical="center" wrapText="1" indent="1"/>
      <protection locked="0"/>
    </xf>
    <xf numFmtId="0" fontId="6" fillId="10" borderId="2">
      <alignment vertical="center"/>
    </xf>
    <xf numFmtId="0" fontId="6" fillId="15" borderId="5">
      <alignment horizontal="left" vertical="center" wrapText="1" indent="1"/>
    </xf>
    <xf numFmtId="0" fontId="13" fillId="15" borderId="6">
      <alignment horizontal="left" vertical="center" wrapText="1" indent="1"/>
    </xf>
    <xf numFmtId="14" fontId="12" fillId="16" borderId="0">
      <alignment horizontal="left" vertical="center" wrapText="1" indent="1"/>
      <protection locked="0"/>
    </xf>
    <xf numFmtId="0" fontId="14" fillId="15" borderId="0">
      <alignment vertical="center"/>
    </xf>
    <xf numFmtId="0" fontId="15" fillId="15" borderId="0">
      <alignment horizontal="left" vertical="center" wrapText="1" indent="2"/>
    </xf>
    <xf numFmtId="0" fontId="6" fillId="15" borderId="7">
      <alignment vertical="center"/>
    </xf>
    <xf numFmtId="49" fontId="12" fillId="16" borderId="0">
      <alignment horizontal="left" vertical="center" wrapText="1" indent="1"/>
      <protection locked="0"/>
    </xf>
    <xf numFmtId="0" fontId="6" fillId="10" borderId="7">
      <alignment vertical="center"/>
    </xf>
    <xf numFmtId="49" fontId="12" fillId="15" borderId="8">
      <alignment horizontal="left" vertical="center" wrapText="1" indent="1"/>
    </xf>
    <xf numFmtId="0" fontId="6" fillId="15" borderId="0">
      <alignment horizontal="left" vertical="center" wrapText="1" indent="1"/>
    </xf>
    <xf numFmtId="0" fontId="6" fillId="17" borderId="0">
      <alignment horizontal="center" vertical="center"/>
    </xf>
    <xf numFmtId="0" fontId="16" fillId="18" borderId="0">
      <alignment vertical="center"/>
    </xf>
    <xf numFmtId="0" fontId="6" fillId="18" borderId="0">
      <alignment horizontal="justify" vertical="center" wrapText="1"/>
    </xf>
    <xf numFmtId="0" fontId="6" fillId="18" borderId="0">
      <alignment vertical="center" wrapText="1"/>
    </xf>
    <xf numFmtId="0" fontId="6" fillId="19" borderId="0">
      <alignment horizontal="center" vertical="center"/>
    </xf>
    <xf numFmtId="0" fontId="17" fillId="10" borderId="0"/>
    <xf numFmtId="0" fontId="45" fillId="10" borderId="0">
      <alignment vertical="center"/>
    </xf>
    <xf numFmtId="0" fontId="8" fillId="20" borderId="1">
      <alignment horizontal="center" vertical="center"/>
    </xf>
    <xf numFmtId="0" fontId="19" fillId="21" borderId="9">
      <alignment horizontal="center" vertical="center" wrapText="1"/>
    </xf>
    <xf numFmtId="0" fontId="20" fillId="21" borderId="1">
      <alignment horizontal="center" vertical="center"/>
    </xf>
    <xf numFmtId="0" fontId="14" fillId="16" borderId="10">
      <alignment horizontal="center" vertical="center" wrapText="1"/>
      <protection locked="0"/>
    </xf>
    <xf numFmtId="0" fontId="21" fillId="21" borderId="9">
      <alignment vertical="center"/>
    </xf>
    <xf numFmtId="0" fontId="21" fillId="21" borderId="0">
      <alignment vertical="center"/>
    </xf>
    <xf numFmtId="0" fontId="6" fillId="0" borderId="0"/>
    <xf numFmtId="0" fontId="19" fillId="21" borderId="1">
      <alignment horizontal="left" vertical="center" indent="1"/>
    </xf>
    <xf numFmtId="0" fontId="19" fillId="21" borderId="1">
      <alignment horizontal="center" vertical="center" wrapText="1"/>
    </xf>
    <xf numFmtId="0" fontId="9" fillId="22" borderId="11">
      <alignment horizontal="center" vertical="center" wrapText="1"/>
    </xf>
    <xf numFmtId="0" fontId="20" fillId="20" borderId="11">
      <alignment horizontal="center" vertical="center" wrapText="1"/>
    </xf>
    <xf numFmtId="0" fontId="6" fillId="18" borderId="0">
      <alignment horizontal="center" vertical="center"/>
    </xf>
    <xf numFmtId="0" fontId="22" fillId="10" borderId="0">
      <alignment vertical="center"/>
    </xf>
    <xf numFmtId="165" fontId="9" fillId="23" borderId="11">
      <alignment horizontal="left" vertical="center" indent="1"/>
    </xf>
    <xf numFmtId="165" fontId="9" fillId="23" borderId="11">
      <alignment horizontal="right" vertical="center" indent="1" shrinkToFit="1"/>
    </xf>
    <xf numFmtId="165" fontId="20" fillId="20" borderId="12">
      <alignment horizontal="right" vertical="center" indent="1" shrinkToFit="1"/>
    </xf>
    <xf numFmtId="0" fontId="9" fillId="23" borderId="13">
      <alignment vertical="center"/>
    </xf>
    <xf numFmtId="166" fontId="5" fillId="16" borderId="12">
      <alignment vertical="center" wrapText="1"/>
      <protection locked="0"/>
    </xf>
    <xf numFmtId="165" fontId="9" fillId="23" borderId="12">
      <alignment horizontal="left" vertical="center" indent="1"/>
    </xf>
    <xf numFmtId="165" fontId="9" fillId="23" borderId="12">
      <alignment horizontal="right" vertical="center" indent="1" shrinkToFit="1"/>
    </xf>
    <xf numFmtId="165" fontId="5" fillId="16" borderId="14">
      <alignment vertical="center" wrapText="1"/>
    </xf>
    <xf numFmtId="165" fontId="5" fillId="16" borderId="11">
      <alignment horizontal="right" vertical="center" wrapText="1" indent="1"/>
      <protection locked="0"/>
    </xf>
    <xf numFmtId="165" fontId="5" fillId="23" borderId="11">
      <alignment horizontal="right" vertical="center" indent="1" shrinkToFit="1"/>
    </xf>
    <xf numFmtId="165" fontId="8" fillId="20" borderId="11">
      <alignment horizontal="right" vertical="center" indent="1" shrinkToFit="1"/>
    </xf>
    <xf numFmtId="0" fontId="5" fillId="16" borderId="0">
      <alignment vertical="center"/>
    </xf>
    <xf numFmtId="0" fontId="5" fillId="16" borderId="1">
      <alignment vertical="center"/>
      <protection locked="0"/>
    </xf>
    <xf numFmtId="165" fontId="5" fillId="23" borderId="1">
      <alignment vertical="center"/>
    </xf>
    <xf numFmtId="165" fontId="5" fillId="16" borderId="9">
      <alignment horizontal="right" vertical="center" indent="1" shrinkToFit="1"/>
      <protection locked="0"/>
    </xf>
    <xf numFmtId="165" fontId="5" fillId="16" borderId="0">
      <alignment horizontal="right" vertical="center" indent="1" shrinkToFit="1"/>
      <protection locked="0"/>
    </xf>
    <xf numFmtId="165" fontId="5" fillId="16" borderId="1">
      <alignment horizontal="right" vertical="center" indent="1" shrinkToFit="1"/>
      <protection locked="0"/>
    </xf>
    <xf numFmtId="165" fontId="8" fillId="21" borderId="1">
      <alignment horizontal="right" vertical="center" indent="1" shrinkToFit="1"/>
    </xf>
    <xf numFmtId="0" fontId="9" fillId="18" borderId="0">
      <alignment vertical="center"/>
    </xf>
    <xf numFmtId="165" fontId="20" fillId="24" borderId="11">
      <alignment horizontal="right" vertical="center" indent="1" shrinkToFit="1"/>
    </xf>
    <xf numFmtId="0" fontId="19" fillId="25" borderId="1">
      <alignment horizontal="center" vertical="center" wrapText="1"/>
    </xf>
    <xf numFmtId="0" fontId="19" fillId="25" borderId="1">
      <alignment horizontal="center" vertical="top" wrapText="1"/>
    </xf>
    <xf numFmtId="0" fontId="23" fillId="25" borderId="9">
      <alignment vertical="center"/>
    </xf>
    <xf numFmtId="0" fontId="23" fillId="25" borderId="0">
      <alignment vertical="center"/>
    </xf>
    <xf numFmtId="0" fontId="19" fillId="25" borderId="1">
      <alignment horizontal="left" vertical="center" indent="1"/>
    </xf>
    <xf numFmtId="0" fontId="20" fillId="12" borderId="11">
      <alignment horizontal="center" vertical="center" wrapText="1"/>
    </xf>
    <xf numFmtId="165" fontId="20" fillId="12" borderId="12">
      <alignment horizontal="right" vertical="center" indent="1" shrinkToFit="1"/>
    </xf>
    <xf numFmtId="165" fontId="5" fillId="23" borderId="12">
      <alignment vertical="center"/>
    </xf>
    <xf numFmtId="165" fontId="8" fillId="12" borderId="11">
      <alignment horizontal="right" vertical="center" indent="1" shrinkToFit="1"/>
    </xf>
    <xf numFmtId="165" fontId="8" fillId="25" borderId="1">
      <alignment horizontal="right" vertical="center" indent="1" shrinkToFit="1"/>
    </xf>
    <xf numFmtId="0" fontId="5" fillId="18" borderId="0">
      <alignment vertical="center"/>
    </xf>
    <xf numFmtId="167" fontId="5" fillId="16" borderId="18">
      <alignment horizontal="right" vertical="center" indent="1" shrinkToFit="1"/>
      <protection locked="0"/>
    </xf>
    <xf numFmtId="165" fontId="20" fillId="26" borderId="11">
      <alignment horizontal="right" vertical="center" indent="1" shrinkToFit="1"/>
    </xf>
    <xf numFmtId="0" fontId="9" fillId="23" borderId="14">
      <alignment vertical="center"/>
    </xf>
    <xf numFmtId="165" fontId="5" fillId="23" borderId="11">
      <alignment vertical="center" wrapText="1"/>
    </xf>
    <xf numFmtId="165" fontId="5" fillId="23" borderId="11">
      <alignment vertical="center"/>
    </xf>
    <xf numFmtId="167" fontId="8" fillId="12" borderId="11">
      <alignment horizontal="right" vertical="center" wrapText="1" indent="1"/>
    </xf>
    <xf numFmtId="0" fontId="19" fillId="27" borderId="1">
      <alignment horizontal="left" vertical="center" indent="1"/>
    </xf>
    <xf numFmtId="0" fontId="19" fillId="27" borderId="1">
      <alignment horizontal="center" vertical="center" wrapText="1"/>
    </xf>
    <xf numFmtId="0" fontId="20" fillId="13" borderId="11">
      <alignment horizontal="center" vertical="center" wrapText="1"/>
    </xf>
    <xf numFmtId="165" fontId="5" fillId="16" borderId="12">
      <alignment horizontal="right" vertical="center" indent="1" shrinkToFit="1"/>
      <protection locked="0"/>
    </xf>
    <xf numFmtId="165" fontId="8" fillId="13" borderId="12">
      <alignment horizontal="right" vertical="center" indent="1" shrinkToFit="1"/>
    </xf>
    <xf numFmtId="0" fontId="6" fillId="28" borderId="0">
      <alignment horizontal="left" vertical="top"/>
    </xf>
    <xf numFmtId="14" fontId="5" fillId="16" borderId="12">
      <alignment vertical="center" wrapText="1"/>
      <protection locked="0"/>
    </xf>
    <xf numFmtId="165" fontId="9" fillId="16" borderId="12">
      <alignment vertical="center" wrapText="1"/>
      <protection locked="0"/>
    </xf>
    <xf numFmtId="165" fontId="24" fillId="23" borderId="11">
      <alignment vertical="center"/>
    </xf>
    <xf numFmtId="14" fontId="24" fillId="23" borderId="11">
      <alignment horizontal="right" vertical="center" indent="1"/>
    </xf>
    <xf numFmtId="0" fontId="25" fillId="15" borderId="22">
      <alignment horizontal="left" vertical="center" indent="2"/>
    </xf>
    <xf numFmtId="0" fontId="6" fillId="16" borderId="3">
      <alignment vertical="center"/>
    </xf>
    <xf numFmtId="0" fontId="6" fillId="16" borderId="0">
      <alignment vertical="center"/>
    </xf>
    <xf numFmtId="0" fontId="6" fillId="16" borderId="4">
      <alignment vertical="center"/>
    </xf>
    <xf numFmtId="0" fontId="6" fillId="14" borderId="7">
      <alignment vertical="center" wrapText="1"/>
    </xf>
    <xf numFmtId="0" fontId="26" fillId="14" borderId="7">
      <alignment vertical="center"/>
    </xf>
    <xf numFmtId="0" fontId="6" fillId="14" borderId="0">
      <alignment vertical="center"/>
    </xf>
    <xf numFmtId="0" fontId="16" fillId="14" borderId="0">
      <alignment vertical="center"/>
    </xf>
    <xf numFmtId="168" fontId="9" fillId="14" borderId="15">
      <alignment vertical="top" wrapText="1"/>
    </xf>
    <xf numFmtId="164" fontId="9" fillId="14" borderId="15">
      <alignment horizontal="left" shrinkToFit="1"/>
    </xf>
    <xf numFmtId="168" fontId="9" fillId="14" borderId="15">
      <alignment horizontal="right" shrinkToFit="1"/>
    </xf>
    <xf numFmtId="0" fontId="6" fillId="14" borderId="0">
      <alignment vertical="center"/>
    </xf>
    <xf numFmtId="168" fontId="9" fillId="14" borderId="2">
      <alignment vertical="top" wrapText="1"/>
    </xf>
    <xf numFmtId="164" fontId="9" fillId="14" borderId="2">
      <alignment horizontal="left" shrinkToFit="1"/>
    </xf>
    <xf numFmtId="164" fontId="9" fillId="14" borderId="2">
      <alignment horizontal="right" shrinkToFit="1"/>
    </xf>
    <xf numFmtId="168" fontId="5" fillId="14" borderId="2">
      <alignment horizontal="left" vertical="top" wrapText="1" indent="1"/>
    </xf>
    <xf numFmtId="164" fontId="5" fillId="14" borderId="2">
      <alignment horizontal="left" shrinkToFit="1"/>
    </xf>
    <xf numFmtId="168" fontId="5" fillId="14" borderId="2">
      <alignment horizontal="left" vertical="top" wrapText="1" indent="2"/>
    </xf>
    <xf numFmtId="0" fontId="6" fillId="14" borderId="0">
      <alignment vertical="center"/>
    </xf>
    <xf numFmtId="0" fontId="26" fillId="14" borderId="0"/>
    <xf numFmtId="0" fontId="6" fillId="16" borderId="6">
      <alignment vertical="center"/>
    </xf>
    <xf numFmtId="0" fontId="6" fillId="16" borderId="2">
      <alignment vertical="center"/>
    </xf>
    <xf numFmtId="0" fontId="6" fillId="16" borderId="16">
      <alignment vertical="center"/>
    </xf>
    <xf numFmtId="0" fontId="27" fillId="15" borderId="17">
      <alignment horizontal="left" vertical="center" indent="3"/>
    </xf>
    <xf numFmtId="168" fontId="5" fillId="14" borderId="2">
      <alignment vertical="top" wrapText="1"/>
    </xf>
    <xf numFmtId="168" fontId="5" fillId="14" borderId="2">
      <alignment horizontal="left" vertical="top" wrapText="1" indent="3"/>
    </xf>
    <xf numFmtId="9" fontId="9" fillId="14" borderId="2">
      <alignment horizontal="right" shrinkToFit="1"/>
    </xf>
    <xf numFmtId="169" fontId="5" fillId="14" borderId="2">
      <alignment horizontal="right" shrinkToFit="1"/>
    </xf>
    <xf numFmtId="168" fontId="9" fillId="14" borderId="2">
      <alignment horizontal="left" vertical="top" wrapText="1" indent="1"/>
    </xf>
    <xf numFmtId="0" fontId="28" fillId="14" borderId="0">
      <alignment vertical="center"/>
    </xf>
    <xf numFmtId="9" fontId="5" fillId="14" borderId="2">
      <alignment horizontal="right" shrinkToFit="1"/>
    </xf>
    <xf numFmtId="164" fontId="29" fillId="14" borderId="2">
      <alignment horizontal="right"/>
    </xf>
    <xf numFmtId="0" fontId="18" fillId="10" borderId="0">
      <alignment vertical="center"/>
    </xf>
    <xf numFmtId="0" fontId="48" fillId="29" borderId="0" applyNumberFormat="0" applyBorder="0" applyAlignment="0" applyProtection="0"/>
    <xf numFmtId="165" fontId="8" fillId="27" borderId="1">
      <alignment horizontal="right" vertical="center" indent="1" shrinkToFit="1"/>
    </xf>
    <xf numFmtId="0" fontId="50" fillId="11" borderId="0">
      <alignment horizontal="left" vertical="center"/>
    </xf>
    <xf numFmtId="0" fontId="52" fillId="10" borderId="0">
      <alignment horizontal="left" vertical="top"/>
    </xf>
    <xf numFmtId="0" fontId="54" fillId="25" borderId="1">
      <alignment horizontal="left" vertical="top" wrapText="1" indent="1"/>
    </xf>
    <xf numFmtId="0" fontId="54" fillId="27" borderId="1">
      <alignment horizontal="left" vertical="top" wrapText="1" indent="1"/>
    </xf>
    <xf numFmtId="0" fontId="1" fillId="15" borderId="0">
      <alignment horizontal="left" vertical="top"/>
    </xf>
    <xf numFmtId="43" fontId="57" fillId="0" borderId="0" applyFont="0" applyFill="0" applyBorder="0" applyAlignment="0" applyProtection="0"/>
  </cellStyleXfs>
  <cellXfs count="248">
    <xf numFmtId="0" fontId="0" fillId="0" borderId="0" xfId="0"/>
    <xf numFmtId="0" fontId="2" fillId="2" borderId="0" xfId="0" applyFont="1" applyFill="1" applyAlignment="1">
      <alignment vertical="top"/>
    </xf>
    <xf numFmtId="0" fontId="3" fillId="0" borderId="0" xfId="0" applyFont="1" applyAlignment="1">
      <alignment vertical="top"/>
    </xf>
    <xf numFmtId="0" fontId="0" fillId="0" borderId="0" xfId="0" quotePrefix="1"/>
    <xf numFmtId="14" fontId="0" fillId="0" borderId="0" xfId="0" applyNumberFormat="1"/>
    <xf numFmtId="0" fontId="4" fillId="4" borderId="0" xfId="0" applyFont="1" applyFill="1" applyAlignment="1">
      <alignment horizontal="left" vertical="center"/>
    </xf>
    <xf numFmtId="0" fontId="5" fillId="0" borderId="0" xfId="0" applyFont="1" applyAlignment="1">
      <alignment horizontal="left" vertical="center"/>
    </xf>
    <xf numFmtId="0" fontId="4" fillId="5" borderId="0" xfId="0" applyFont="1" applyFill="1" applyAlignment="1">
      <alignment horizontal="left" vertical="center"/>
    </xf>
    <xf numFmtId="0" fontId="4" fillId="9" borderId="0" xfId="0" applyFont="1" applyFill="1" applyAlignment="1">
      <alignment horizontal="left" vertical="center"/>
    </xf>
    <xf numFmtId="0" fontId="5" fillId="6" borderId="0" xfId="0" applyFont="1" applyFill="1" applyAlignment="1">
      <alignment horizontal="left" vertical="center"/>
    </xf>
    <xf numFmtId="0" fontId="5" fillId="3" borderId="0" xfId="0" applyFont="1" applyFill="1" applyAlignment="1">
      <alignment horizontal="left" vertical="center"/>
    </xf>
    <xf numFmtId="0" fontId="4" fillId="7" borderId="0" xfId="0" applyFont="1" applyFill="1" applyAlignment="1">
      <alignment horizontal="left" vertical="center"/>
    </xf>
    <xf numFmtId="0" fontId="5" fillId="10" borderId="0" xfId="0" applyFont="1" applyFill="1" applyAlignment="1">
      <alignment horizontal="left" vertical="center"/>
    </xf>
    <xf numFmtId="0" fontId="5" fillId="10" borderId="0" xfId="0" applyFont="1" applyFill="1" applyAlignment="1">
      <alignment horizontal="left" vertical="top"/>
    </xf>
    <xf numFmtId="0" fontId="10" fillId="8" borderId="0" xfId="0" applyFont="1" applyFill="1" applyAlignment="1">
      <alignment vertical="top"/>
    </xf>
    <xf numFmtId="0" fontId="5" fillId="3" borderId="0" xfId="0" applyFont="1" applyFill="1" applyAlignment="1">
      <alignment horizontal="left" vertical="top"/>
    </xf>
    <xf numFmtId="0" fontId="4" fillId="7" borderId="0" xfId="0" applyFont="1" applyFill="1" applyAlignment="1">
      <alignment horizontal="left" vertical="top"/>
    </xf>
    <xf numFmtId="0" fontId="6" fillId="15" borderId="3" xfId="6">
      <alignment vertical="center"/>
    </xf>
    <xf numFmtId="0" fontId="6" fillId="15" borderId="0" xfId="7">
      <alignment vertical="center"/>
    </xf>
    <xf numFmtId="0" fontId="6" fillId="15" borderId="4" xfId="8">
      <alignment vertical="center"/>
    </xf>
    <xf numFmtId="0" fontId="11" fillId="15" borderId="0" xfId="9" quotePrefix="1">
      <alignment vertical="center"/>
    </xf>
    <xf numFmtId="0" fontId="6" fillId="10" borderId="7" xfId="19">
      <alignment vertical="center"/>
    </xf>
    <xf numFmtId="0" fontId="5" fillId="17" borderId="0" xfId="0" applyFont="1" applyFill="1" applyAlignment="1">
      <alignment horizontal="left" vertical="center"/>
    </xf>
    <xf numFmtId="0" fontId="7" fillId="11" borderId="0" xfId="1">
      <alignment horizontal="center" vertical="center"/>
    </xf>
    <xf numFmtId="0" fontId="6" fillId="17" borderId="0" xfId="22">
      <alignment horizontal="center" vertical="center"/>
    </xf>
    <xf numFmtId="0" fontId="6" fillId="19" borderId="0" xfId="26">
      <alignment horizontal="center" vertical="center"/>
    </xf>
    <xf numFmtId="0" fontId="17" fillId="10" borderId="0" xfId="27" quotePrefix="1"/>
    <xf numFmtId="0" fontId="6" fillId="18" borderId="0" xfId="40">
      <alignment horizontal="center" vertical="center"/>
    </xf>
    <xf numFmtId="0" fontId="8" fillId="12" borderId="1" xfId="2">
      <alignment horizontal="center" vertical="center"/>
    </xf>
    <xf numFmtId="0" fontId="23" fillId="25" borderId="0" xfId="65">
      <alignment vertical="center"/>
    </xf>
    <xf numFmtId="0" fontId="5" fillId="18" borderId="0" xfId="72" quotePrefix="1">
      <alignment vertical="center"/>
    </xf>
    <xf numFmtId="0" fontId="5" fillId="18" borderId="0" xfId="72">
      <alignment vertical="center"/>
    </xf>
    <xf numFmtId="170" fontId="5" fillId="10" borderId="0" xfId="0" applyNumberFormat="1" applyFont="1" applyFill="1" applyAlignment="1">
      <alignment horizontal="left" vertical="center"/>
    </xf>
    <xf numFmtId="0" fontId="6" fillId="15" borderId="0" xfId="7" applyAlignment="1">
      <alignment horizontal="left" vertical="center" indent="1"/>
    </xf>
    <xf numFmtId="0" fontId="31" fillId="17" borderId="0" xfId="22" applyFont="1">
      <alignment horizontal="center" vertical="center"/>
    </xf>
    <xf numFmtId="0" fontId="6" fillId="18" borderId="0" xfId="25">
      <alignment vertical="center" wrapText="1"/>
    </xf>
    <xf numFmtId="0" fontId="9" fillId="18" borderId="0" xfId="60">
      <alignment vertical="center"/>
    </xf>
    <xf numFmtId="0" fontId="32" fillId="0" borderId="0" xfId="0" quotePrefix="1" applyFont="1"/>
    <xf numFmtId="0" fontId="33" fillId="10" borderId="0" xfId="0" applyFont="1" applyFill="1" applyAlignment="1">
      <alignment horizontal="left" vertical="center"/>
    </xf>
    <xf numFmtId="0" fontId="34" fillId="18" borderId="0" xfId="60" quotePrefix="1" applyFont="1">
      <alignment vertical="center"/>
    </xf>
    <xf numFmtId="0" fontId="34" fillId="18" borderId="0" xfId="60" applyFont="1">
      <alignment vertical="center"/>
    </xf>
    <xf numFmtId="0" fontId="19" fillId="25" borderId="1" xfId="66">
      <alignment horizontal="left" vertical="center" indent="1"/>
    </xf>
    <xf numFmtId="165" fontId="9" fillId="23" borderId="11" xfId="42">
      <alignment horizontal="left" vertical="center" indent="1"/>
    </xf>
    <xf numFmtId="0" fontId="0" fillId="0" borderId="0" xfId="0" quotePrefix="1" applyAlignment="1">
      <alignment wrapText="1"/>
    </xf>
    <xf numFmtId="0" fontId="5" fillId="10" borderId="0" xfId="0" applyFont="1" applyFill="1" applyAlignment="1">
      <alignment horizontal="left" vertical="center" wrapText="1"/>
    </xf>
    <xf numFmtId="0" fontId="8" fillId="12" borderId="1" xfId="2" applyAlignment="1">
      <alignment horizontal="center" vertical="center" wrapText="1"/>
    </xf>
    <xf numFmtId="0" fontId="19" fillId="25" borderId="1" xfId="62">
      <alignment horizontal="center" vertical="center" wrapText="1"/>
    </xf>
    <xf numFmtId="0" fontId="14" fillId="10" borderId="0" xfId="0" applyFont="1" applyFill="1" applyAlignment="1">
      <alignment horizontal="left" vertical="center"/>
    </xf>
    <xf numFmtId="0" fontId="12" fillId="10" borderId="0" xfId="0" applyFont="1" applyFill="1" applyAlignment="1">
      <alignment vertical="top" wrapText="1"/>
    </xf>
    <xf numFmtId="0" fontId="37" fillId="10" borderId="0" xfId="0" applyFont="1" applyFill="1" applyAlignment="1">
      <alignment horizontal="left" vertical="center"/>
    </xf>
    <xf numFmtId="0" fontId="35" fillId="15" borderId="0" xfId="7" applyFont="1" applyAlignment="1">
      <alignment horizontal="left" vertical="center" indent="1"/>
    </xf>
    <xf numFmtId="0" fontId="6" fillId="15" borderId="0" xfId="7" applyAlignment="1">
      <alignment horizontal="right" vertical="center" indent="1"/>
    </xf>
    <xf numFmtId="0" fontId="6" fillId="15" borderId="0" xfId="7" applyAlignment="1">
      <alignment horizontal="left" vertical="center" wrapText="1" indent="1"/>
    </xf>
    <xf numFmtId="0" fontId="14" fillId="15" borderId="0" xfId="7" applyFont="1" applyAlignment="1">
      <alignment horizontal="left" vertical="center" indent="1"/>
    </xf>
    <xf numFmtId="0" fontId="19" fillId="25" borderId="1" xfId="66" applyAlignment="1">
      <alignment horizontal="left" vertical="center" wrapText="1" indent="1"/>
    </xf>
    <xf numFmtId="165" fontId="9" fillId="23" borderId="20" xfId="42" quotePrefix="1" applyBorder="1" applyAlignment="1">
      <alignment vertical="center"/>
    </xf>
    <xf numFmtId="165" fontId="20" fillId="12" borderId="12" xfId="68">
      <alignment horizontal="right" vertical="center" indent="1" shrinkToFit="1"/>
    </xf>
    <xf numFmtId="0" fontId="11" fillId="15" borderId="0" xfId="9" quotePrefix="1" applyAlignment="1">
      <alignment horizontal="left" vertical="center" indent="1"/>
    </xf>
    <xf numFmtId="0" fontId="6" fillId="15" borderId="7" xfId="17" applyAlignment="1">
      <alignment horizontal="left" vertical="center" indent="1"/>
    </xf>
    <xf numFmtId="49" fontId="6" fillId="15" borderId="0" xfId="7" applyNumberFormat="1" applyAlignment="1">
      <alignment horizontal="left" vertical="center" indent="1"/>
    </xf>
    <xf numFmtId="0" fontId="6" fillId="15" borderId="0" xfId="7" applyAlignment="1">
      <alignment horizontal="left" vertical="center" indent="2"/>
    </xf>
    <xf numFmtId="0" fontId="6" fillId="15" borderId="7" xfId="17" applyAlignment="1">
      <alignment horizontal="left" vertical="center" indent="2"/>
    </xf>
    <xf numFmtId="0" fontId="6" fillId="15" borderId="0" xfId="7" quotePrefix="1" applyAlignment="1">
      <alignment horizontal="left" vertical="center" indent="1"/>
    </xf>
    <xf numFmtId="165" fontId="8" fillId="25" borderId="1" xfId="71">
      <alignment horizontal="right" vertical="center" indent="1" shrinkToFit="1"/>
    </xf>
    <xf numFmtId="0" fontId="44" fillId="10" borderId="0" xfId="41" applyFont="1">
      <alignment vertical="center"/>
    </xf>
    <xf numFmtId="0" fontId="6" fillId="15" borderId="23" xfId="6" applyBorder="1">
      <alignment vertical="center"/>
    </xf>
    <xf numFmtId="0" fontId="30" fillId="15" borderId="24" xfId="0" applyFont="1" applyFill="1" applyBorder="1" applyAlignment="1">
      <alignment horizontal="left" vertical="center"/>
    </xf>
    <xf numFmtId="0" fontId="6" fillId="15" borderId="24" xfId="7" applyBorder="1">
      <alignment vertical="center"/>
    </xf>
    <xf numFmtId="0" fontId="6" fillId="15" borderId="25" xfId="8" applyBorder="1">
      <alignment vertical="center"/>
    </xf>
    <xf numFmtId="0" fontId="46" fillId="15" borderId="0" xfId="9" quotePrefix="1" applyFont="1">
      <alignment vertical="center"/>
    </xf>
    <xf numFmtId="0" fontId="31" fillId="18" borderId="0" xfId="22" applyFont="1" applyFill="1">
      <alignment horizontal="center" vertical="center"/>
    </xf>
    <xf numFmtId="165" fontId="9" fillId="23" borderId="20" xfId="42" quotePrefix="1" applyBorder="1" applyAlignment="1">
      <alignment horizontal="left" vertical="center"/>
    </xf>
    <xf numFmtId="0" fontId="48" fillId="29" borderId="0" xfId="122"/>
    <xf numFmtId="49" fontId="12" fillId="16" borderId="26" xfId="18" quotePrefix="1" applyBorder="1">
      <alignment horizontal="left" vertical="center" wrapText="1" indent="1"/>
      <protection locked="0"/>
    </xf>
    <xf numFmtId="0" fontId="6" fillId="15" borderId="26" xfId="7" applyBorder="1">
      <alignment vertical="center"/>
    </xf>
    <xf numFmtId="0" fontId="6" fillId="15" borderId="27" xfId="7" applyBorder="1" applyAlignment="1">
      <alignment horizontal="right" vertical="center" indent="1"/>
    </xf>
    <xf numFmtId="0" fontId="6" fillId="15" borderId="28" xfId="7" applyBorder="1" applyAlignment="1">
      <alignment horizontal="right" vertical="center" indent="1"/>
    </xf>
    <xf numFmtId="171" fontId="9" fillId="23" borderId="20" xfId="42" quotePrefix="1" applyNumberFormat="1" applyBorder="1" applyAlignment="1">
      <alignment vertical="center"/>
    </xf>
    <xf numFmtId="0" fontId="19" fillId="25" borderId="1" xfId="66" quotePrefix="1" applyAlignment="1">
      <alignment horizontal="left" vertical="center" wrapText="1" indent="1"/>
    </xf>
    <xf numFmtId="0" fontId="38" fillId="25" borderId="21" xfId="66" applyFont="1" applyBorder="1" applyAlignment="1">
      <alignment horizontal="right" vertical="center" wrapText="1" indent="1"/>
    </xf>
    <xf numFmtId="0" fontId="4" fillId="4" borderId="0" xfId="0" applyFont="1" applyFill="1" applyAlignment="1">
      <alignment vertical="center"/>
    </xf>
    <xf numFmtId="0" fontId="5" fillId="0" borderId="0" xfId="0" applyFont="1" applyAlignment="1">
      <alignment vertical="center"/>
    </xf>
    <xf numFmtId="0" fontId="4" fillId="9" borderId="0" xfId="0" applyFont="1" applyFill="1" applyAlignment="1">
      <alignment vertical="center"/>
    </xf>
    <xf numFmtId="0" fontId="4" fillId="10" borderId="0" xfId="0" applyFont="1" applyFill="1" applyAlignment="1">
      <alignment vertical="center"/>
    </xf>
    <xf numFmtId="0" fontId="5" fillId="10" borderId="0" xfId="0" applyFont="1" applyFill="1" applyAlignment="1">
      <alignment vertical="center"/>
    </xf>
    <xf numFmtId="0" fontId="6" fillId="16" borderId="3" xfId="90">
      <alignment vertical="center"/>
    </xf>
    <xf numFmtId="0" fontId="6" fillId="16" borderId="0" xfId="91">
      <alignment vertical="center"/>
    </xf>
    <xf numFmtId="0" fontId="6" fillId="16" borderId="4" xfId="92">
      <alignment vertical="center"/>
    </xf>
    <xf numFmtId="0" fontId="6" fillId="14" borderId="7" xfId="93">
      <alignment vertical="center" wrapText="1"/>
    </xf>
    <xf numFmtId="0" fontId="40" fillId="14" borderId="7" xfId="93" applyFont="1">
      <alignment vertical="center" wrapText="1"/>
    </xf>
    <xf numFmtId="0" fontId="6" fillId="14" borderId="0" xfId="95">
      <alignment vertical="center"/>
    </xf>
    <xf numFmtId="0" fontId="40" fillId="14" borderId="0" xfId="95" applyFont="1">
      <alignment vertical="center"/>
    </xf>
    <xf numFmtId="0" fontId="41" fillId="14" borderId="0" xfId="96" quotePrefix="1" applyFont="1">
      <alignment vertical="center"/>
    </xf>
    <xf numFmtId="168" fontId="42" fillId="14" borderId="15" xfId="97" applyFont="1">
      <alignment vertical="top" wrapText="1"/>
    </xf>
    <xf numFmtId="164" fontId="42" fillId="14" borderId="15" xfId="98" quotePrefix="1" applyFont="1">
      <alignment horizontal="left" shrinkToFit="1"/>
    </xf>
    <xf numFmtId="168" fontId="42" fillId="14" borderId="2" xfId="101" quotePrefix="1" applyFont="1">
      <alignment vertical="top" wrapText="1"/>
    </xf>
    <xf numFmtId="168" fontId="42" fillId="14" borderId="2" xfId="101" applyFont="1">
      <alignment vertical="top" wrapText="1"/>
    </xf>
    <xf numFmtId="164" fontId="42" fillId="14" borderId="2" xfId="102" applyFont="1">
      <alignment horizontal="left" shrinkToFit="1"/>
    </xf>
    <xf numFmtId="168" fontId="43" fillId="14" borderId="2" xfId="104" quotePrefix="1" applyFont="1">
      <alignment horizontal="left" vertical="top" wrapText="1" indent="1"/>
    </xf>
    <xf numFmtId="168" fontId="43" fillId="14" borderId="2" xfId="104" applyFont="1">
      <alignment horizontal="left" vertical="top" wrapText="1" indent="1"/>
    </xf>
    <xf numFmtId="164" fontId="43" fillId="14" borderId="2" xfId="105" applyFont="1">
      <alignment horizontal="left" shrinkToFit="1"/>
    </xf>
    <xf numFmtId="0" fontId="28" fillId="14" borderId="0" xfId="118">
      <alignment vertical="center"/>
    </xf>
    <xf numFmtId="0" fontId="6" fillId="14" borderId="0" xfId="107">
      <alignment vertical="center"/>
    </xf>
    <xf numFmtId="0" fontId="40" fillId="14" borderId="0" xfId="107" applyFont="1">
      <alignment vertical="center"/>
    </xf>
    <xf numFmtId="0" fontId="6" fillId="16" borderId="6" xfId="109">
      <alignment vertical="center"/>
    </xf>
    <xf numFmtId="0" fontId="6" fillId="16" borderId="2" xfId="110">
      <alignment vertical="center"/>
    </xf>
    <xf numFmtId="0" fontId="6" fillId="16" borderId="16" xfId="111">
      <alignment vertical="center"/>
    </xf>
    <xf numFmtId="0" fontId="26" fillId="14" borderId="7" xfId="94" quotePrefix="1">
      <alignment vertical="center"/>
    </xf>
    <xf numFmtId="0" fontId="16" fillId="14" borderId="0" xfId="96" quotePrefix="1">
      <alignment vertical="center"/>
    </xf>
    <xf numFmtId="168" fontId="9" fillId="14" borderId="15" xfId="97">
      <alignment vertical="top" wrapText="1"/>
    </xf>
    <xf numFmtId="168" fontId="9" fillId="14" borderId="15" xfId="99">
      <alignment horizontal="right" shrinkToFit="1"/>
    </xf>
    <xf numFmtId="168" fontId="5" fillId="14" borderId="2" xfId="113" quotePrefix="1">
      <alignment vertical="top" wrapText="1"/>
    </xf>
    <xf numFmtId="168" fontId="5" fillId="14" borderId="2" xfId="113">
      <alignment vertical="top" wrapText="1"/>
    </xf>
    <xf numFmtId="164" fontId="5" fillId="14" borderId="2" xfId="105">
      <alignment horizontal="left" shrinkToFit="1"/>
    </xf>
    <xf numFmtId="164" fontId="5" fillId="14" borderId="2" xfId="5">
      <alignment horizontal="right" shrinkToFit="1"/>
    </xf>
    <xf numFmtId="168" fontId="5" fillId="14" borderId="2" xfId="104" quotePrefix="1">
      <alignment horizontal="left" vertical="top" wrapText="1" indent="1"/>
    </xf>
    <xf numFmtId="168" fontId="5" fillId="14" borderId="2" xfId="104">
      <alignment horizontal="left" vertical="top" wrapText="1" indent="1"/>
    </xf>
    <xf numFmtId="168" fontId="9" fillId="14" borderId="2" xfId="101" quotePrefix="1">
      <alignment vertical="top" wrapText="1"/>
    </xf>
    <xf numFmtId="168" fontId="9" fillId="14" borderId="2" xfId="101">
      <alignment vertical="top" wrapText="1"/>
    </xf>
    <xf numFmtId="164" fontId="9" fillId="14" borderId="2" xfId="102">
      <alignment horizontal="left" shrinkToFit="1"/>
    </xf>
    <xf numFmtId="164" fontId="9" fillId="14" borderId="2" xfId="103">
      <alignment horizontal="right" shrinkToFit="1"/>
    </xf>
    <xf numFmtId="168" fontId="9" fillId="14" borderId="15" xfId="99" quotePrefix="1">
      <alignment horizontal="right" shrinkToFit="1"/>
    </xf>
    <xf numFmtId="9" fontId="9" fillId="14" borderId="2" xfId="115">
      <alignment horizontal="right" shrinkToFit="1"/>
    </xf>
    <xf numFmtId="168" fontId="9" fillId="14" borderId="2" xfId="117" quotePrefix="1">
      <alignment horizontal="left" vertical="top" wrapText="1" indent="1"/>
    </xf>
    <xf numFmtId="0" fontId="6" fillId="14" borderId="0" xfId="100">
      <alignment vertical="center"/>
    </xf>
    <xf numFmtId="164" fontId="29" fillId="14" borderId="2" xfId="120">
      <alignment horizontal="right"/>
    </xf>
    <xf numFmtId="14" fontId="6" fillId="0" borderId="0" xfId="35" applyNumberFormat="1"/>
    <xf numFmtId="0" fontId="48" fillId="29" borderId="0" xfId="122" applyAlignment="1" applyProtection="1">
      <alignment vertical="center"/>
    </xf>
    <xf numFmtId="0" fontId="6" fillId="0" borderId="0" xfId="35"/>
    <xf numFmtId="0" fontId="34" fillId="18" borderId="0" xfId="60" applyFont="1" applyAlignment="1">
      <alignment horizontal="right" vertical="center" indent="1"/>
    </xf>
    <xf numFmtId="0" fontId="0" fillId="18" borderId="0" xfId="0" applyFill="1"/>
    <xf numFmtId="0" fontId="0" fillId="18" borderId="0" xfId="0" applyFill="1" applyAlignment="1">
      <alignment wrapText="1"/>
    </xf>
    <xf numFmtId="0" fontId="36" fillId="10" borderId="0" xfId="0" applyFont="1" applyFill="1" applyAlignment="1">
      <alignment vertical="top" wrapText="1"/>
    </xf>
    <xf numFmtId="0" fontId="25" fillId="10" borderId="0" xfId="0" applyFont="1" applyFill="1" applyAlignment="1">
      <alignment horizontal="left" vertical="center" indent="1"/>
    </xf>
    <xf numFmtId="0" fontId="0" fillId="18" borderId="0" xfId="0" quotePrefix="1" applyFill="1"/>
    <xf numFmtId="0" fontId="0" fillId="18" borderId="0" xfId="0" quotePrefix="1" applyFill="1" applyAlignment="1">
      <alignment wrapText="1"/>
    </xf>
    <xf numFmtId="165" fontId="9" fillId="23" borderId="19" xfId="42" quotePrefix="1" applyBorder="1">
      <alignment horizontal="left" vertical="center" indent="1"/>
    </xf>
    <xf numFmtId="0" fontId="5" fillId="18" borderId="0" xfId="72" quotePrefix="1" applyAlignment="1">
      <alignment horizontal="left" vertical="center" indent="1"/>
    </xf>
    <xf numFmtId="0" fontId="9" fillId="18" borderId="0" xfId="60" quotePrefix="1" applyAlignment="1">
      <alignment horizontal="left" vertical="center" indent="1"/>
    </xf>
    <xf numFmtId="164" fontId="9" fillId="14" borderId="2" xfId="5" applyFont="1">
      <alignment horizontal="right" shrinkToFit="1"/>
    </xf>
    <xf numFmtId="168" fontId="9" fillId="14" borderId="2" xfId="104" applyFont="1" applyAlignment="1">
      <alignment horizontal="left" vertical="top" wrapText="1"/>
    </xf>
    <xf numFmtId="165" fontId="5" fillId="16" borderId="11" xfId="50" quotePrefix="1">
      <alignment horizontal="right" vertical="center" wrapText="1" indent="1"/>
      <protection locked="0"/>
    </xf>
    <xf numFmtId="164" fontId="5" fillId="14" borderId="2" xfId="102" applyFont="1">
      <alignment horizontal="left" shrinkToFit="1"/>
    </xf>
    <xf numFmtId="168" fontId="43" fillId="14" borderId="2" xfId="104" quotePrefix="1" applyFont="1" applyAlignment="1">
      <alignment horizontal="left" vertical="top" wrapText="1" indent="2"/>
    </xf>
    <xf numFmtId="165" fontId="5" fillId="10" borderId="0" xfId="0" applyNumberFormat="1" applyFont="1" applyFill="1" applyAlignment="1">
      <alignment horizontal="left" vertical="center"/>
    </xf>
    <xf numFmtId="14" fontId="12" fillId="16" borderId="27" xfId="14" quotePrefix="1" applyBorder="1" applyAlignment="1">
      <alignment horizontal="right" vertical="center" wrapText="1" indent="2"/>
      <protection locked="0"/>
    </xf>
    <xf numFmtId="0" fontId="12" fillId="16" borderId="28" xfId="14" quotePrefix="1" applyNumberFormat="1" applyBorder="1" applyAlignment="1">
      <alignment horizontal="right" vertical="center" wrapText="1" indent="2"/>
      <protection locked="0"/>
    </xf>
    <xf numFmtId="0" fontId="19" fillId="27" borderId="1" xfId="79" quotePrefix="1" applyAlignment="1">
      <alignment vertical="center"/>
    </xf>
    <xf numFmtId="165" fontId="8" fillId="27" borderId="1" xfId="123">
      <alignment horizontal="right" vertical="center" indent="1" shrinkToFit="1"/>
    </xf>
    <xf numFmtId="9" fontId="5" fillId="16" borderId="30" xfId="49" quotePrefix="1" applyNumberFormat="1" applyBorder="1" applyAlignment="1" applyProtection="1">
      <alignment horizontal="right" vertical="center" wrapText="1" indent="1"/>
      <protection locked="0"/>
    </xf>
    <xf numFmtId="165" fontId="9" fillId="23" borderId="29" xfId="43" applyBorder="1">
      <alignment horizontal="right" vertical="center" indent="1" shrinkToFit="1"/>
    </xf>
    <xf numFmtId="0" fontId="9" fillId="18" borderId="0" xfId="72" quotePrefix="1" applyFont="1" applyAlignment="1">
      <alignment horizontal="left" vertical="center" indent="1"/>
    </xf>
    <xf numFmtId="0" fontId="50" fillId="11" borderId="0" xfId="124">
      <alignment horizontal="left" vertical="center"/>
    </xf>
    <xf numFmtId="0" fontId="51" fillId="10" borderId="0" xfId="0" applyFont="1" applyFill="1" applyAlignment="1">
      <alignment horizontal="left" vertical="center"/>
    </xf>
    <xf numFmtId="172" fontId="49" fillId="18" borderId="0" xfId="22" applyNumberFormat="1" applyFont="1" applyFill="1" applyAlignment="1">
      <alignment horizontal="right" vertical="center" indent="1"/>
    </xf>
    <xf numFmtId="165" fontId="55" fillId="16" borderId="30" xfId="50" quotePrefix="1" applyFont="1" applyBorder="1" applyAlignment="1">
      <alignment horizontal="left" vertical="center" wrapText="1" indent="1"/>
      <protection locked="0"/>
    </xf>
    <xf numFmtId="165" fontId="5" fillId="16" borderId="19" xfId="49" quotePrefix="1" applyBorder="1" applyAlignment="1" applyProtection="1">
      <alignment horizontal="left" vertical="center" wrapText="1"/>
      <protection locked="0"/>
    </xf>
    <xf numFmtId="165" fontId="5" fillId="16" borderId="18" xfId="49" quotePrefix="1" applyBorder="1" applyAlignment="1" applyProtection="1">
      <alignment horizontal="left" vertical="center" wrapText="1"/>
      <protection locked="0"/>
    </xf>
    <xf numFmtId="165" fontId="43" fillId="16" borderId="29" xfId="49" quotePrefix="1" applyFont="1" applyBorder="1" applyAlignment="1" applyProtection="1">
      <alignment horizontal="left" vertical="center" wrapText="1"/>
      <protection locked="0"/>
    </xf>
    <xf numFmtId="165" fontId="5" fillId="16" borderId="14" xfId="49" quotePrefix="1" applyAlignment="1" applyProtection="1">
      <alignment horizontal="left" vertical="center" wrapText="1"/>
      <protection locked="0"/>
    </xf>
    <xf numFmtId="0" fontId="9" fillId="16" borderId="31" xfId="32" applyFont="1" applyBorder="1" applyAlignment="1">
      <alignment horizontal="right" vertical="center" wrapText="1"/>
      <protection locked="0"/>
    </xf>
    <xf numFmtId="0" fontId="19" fillId="25" borderId="0" xfId="63" applyBorder="1" applyAlignment="1">
      <alignment vertical="top" wrapText="1"/>
    </xf>
    <xf numFmtId="0" fontId="47" fillId="25" borderId="0" xfId="63" applyFont="1" applyBorder="1" applyAlignment="1">
      <alignment vertical="top" wrapText="1"/>
    </xf>
    <xf numFmtId="0" fontId="5" fillId="18" borderId="0" xfId="72" quotePrefix="1" applyAlignment="1">
      <alignment horizontal="left" vertical="center"/>
    </xf>
    <xf numFmtId="0" fontId="19" fillId="27" borderId="1" xfId="80">
      <alignment horizontal="center" vertical="center" wrapText="1"/>
    </xf>
    <xf numFmtId="0" fontId="8" fillId="13" borderId="33" xfId="4" applyBorder="1">
      <alignment horizontal="center" vertical="center"/>
    </xf>
    <xf numFmtId="0" fontId="19" fillId="21" borderId="0" xfId="80" applyFill="1" applyBorder="1">
      <alignment horizontal="center" vertical="center" wrapText="1"/>
    </xf>
    <xf numFmtId="0" fontId="19" fillId="21" borderId="1" xfId="36" quotePrefix="1">
      <alignment horizontal="left" vertical="center" indent="1"/>
    </xf>
    <xf numFmtId="0" fontId="19" fillId="21" borderId="1" xfId="37">
      <alignment horizontal="center" vertical="center" wrapText="1"/>
    </xf>
    <xf numFmtId="0" fontId="8" fillId="20" borderId="1" xfId="29">
      <alignment horizontal="center" vertical="center"/>
    </xf>
    <xf numFmtId="165" fontId="8" fillId="21" borderId="1" xfId="59">
      <alignment horizontal="right" vertical="center" indent="1" shrinkToFit="1"/>
    </xf>
    <xf numFmtId="0" fontId="43" fillId="10" borderId="0" xfId="0" applyFont="1" applyFill="1" applyAlignment="1">
      <alignment horizontal="left" vertical="center"/>
    </xf>
    <xf numFmtId="0" fontId="56" fillId="10" borderId="0" xfId="28" quotePrefix="1" applyFont="1">
      <alignment vertical="center"/>
    </xf>
    <xf numFmtId="0" fontId="8" fillId="13" borderId="1" xfId="4">
      <alignment horizontal="center" vertical="center"/>
    </xf>
    <xf numFmtId="0" fontId="21" fillId="21" borderId="0" xfId="34">
      <alignment vertical="center"/>
    </xf>
    <xf numFmtId="0" fontId="25" fillId="15" borderId="37" xfId="89" quotePrefix="1" applyBorder="1" applyAlignment="1">
      <alignment vertical="center"/>
    </xf>
    <xf numFmtId="0" fontId="25" fillId="15" borderId="38" xfId="89" quotePrefix="1" applyBorder="1" applyAlignment="1">
      <alignment vertical="center"/>
    </xf>
    <xf numFmtId="0" fontId="25" fillId="15" borderId="39" xfId="89" quotePrefix="1" applyBorder="1" applyAlignment="1">
      <alignment vertical="center"/>
    </xf>
    <xf numFmtId="0" fontId="25" fillId="15" borderId="34" xfId="89" quotePrefix="1" applyBorder="1" applyAlignment="1">
      <alignment vertical="center"/>
    </xf>
    <xf numFmtId="0" fontId="25" fillId="15" borderId="35" xfId="89" quotePrefix="1" applyBorder="1" applyAlignment="1">
      <alignment vertical="center"/>
    </xf>
    <xf numFmtId="0" fontId="25" fillId="15" borderId="36" xfId="89" quotePrefix="1" applyBorder="1" applyAlignment="1">
      <alignment vertical="center"/>
    </xf>
    <xf numFmtId="0" fontId="27" fillId="15" borderId="40" xfId="112" quotePrefix="1" applyBorder="1" applyAlignment="1">
      <alignment vertical="center"/>
    </xf>
    <xf numFmtId="0" fontId="27" fillId="15" borderId="41" xfId="112" quotePrefix="1" applyBorder="1" applyAlignment="1">
      <alignment vertical="center"/>
    </xf>
    <xf numFmtId="0" fontId="27" fillId="15" borderId="42" xfId="112" quotePrefix="1" applyBorder="1" applyAlignment="1">
      <alignment vertical="center"/>
    </xf>
    <xf numFmtId="9" fontId="5" fillId="16" borderId="1" xfId="50" quotePrefix="1" applyNumberFormat="1" applyBorder="1">
      <alignment horizontal="right" vertical="center" wrapText="1" indent="1"/>
      <protection locked="0"/>
    </xf>
    <xf numFmtId="168" fontId="5" fillId="14" borderId="7" xfId="104" quotePrefix="1" applyBorder="1">
      <alignment horizontal="left" vertical="top" wrapText="1" indent="1"/>
    </xf>
    <xf numFmtId="168" fontId="5" fillId="14" borderId="7" xfId="104" applyBorder="1">
      <alignment horizontal="left" vertical="top" wrapText="1" indent="1"/>
    </xf>
    <xf numFmtId="164" fontId="9" fillId="14" borderId="7" xfId="102" applyBorder="1">
      <alignment horizontal="left" shrinkToFit="1"/>
    </xf>
    <xf numFmtId="164" fontId="5" fillId="14" borderId="7" xfId="5" applyBorder="1">
      <alignment horizontal="right" shrinkToFit="1"/>
    </xf>
    <xf numFmtId="0" fontId="48" fillId="29" borderId="0" xfId="129" applyNumberFormat="1" applyFont="1" applyFill="1"/>
    <xf numFmtId="164" fontId="5" fillId="14" borderId="0" xfId="5" applyBorder="1">
      <alignment horizontal="right" shrinkToFit="1"/>
    </xf>
    <xf numFmtId="164" fontId="29" fillId="14" borderId="7" xfId="120" applyBorder="1">
      <alignment horizontal="right"/>
    </xf>
    <xf numFmtId="168" fontId="9" fillId="14" borderId="7" xfId="101" applyBorder="1">
      <alignment vertical="top" wrapText="1"/>
    </xf>
    <xf numFmtId="165" fontId="5" fillId="16" borderId="19" xfId="49" quotePrefix="1" applyBorder="1" applyAlignment="1">
      <alignment horizontal="left" vertical="center"/>
    </xf>
    <xf numFmtId="9" fontId="5" fillId="0" borderId="30" xfId="49" quotePrefix="1" applyNumberFormat="1" applyFill="1" applyBorder="1" applyAlignment="1" applyProtection="1">
      <alignment horizontal="right" vertical="center" wrapText="1" indent="1"/>
      <protection locked="0"/>
    </xf>
    <xf numFmtId="165" fontId="5" fillId="0" borderId="11" xfId="50" quotePrefix="1" applyFill="1">
      <alignment horizontal="right" vertical="center" wrapText="1" indent="1"/>
      <protection locked="0"/>
    </xf>
    <xf numFmtId="165" fontId="9" fillId="0" borderId="14" xfId="49" quotePrefix="1" applyFont="1" applyFill="1" applyAlignment="1" applyProtection="1">
      <alignment horizontal="left" vertical="center" wrapText="1"/>
      <protection locked="0"/>
    </xf>
    <xf numFmtId="165" fontId="5" fillId="0" borderId="14" xfId="49" quotePrefix="1" applyFill="1" applyAlignment="1" applyProtection="1">
      <alignment horizontal="left" vertical="center" wrapText="1"/>
      <protection locked="0"/>
    </xf>
    <xf numFmtId="165" fontId="5" fillId="14" borderId="2" xfId="5" applyNumberFormat="1" applyAlignment="1">
      <alignment horizontal="left" shrinkToFit="1"/>
    </xf>
    <xf numFmtId="164" fontId="43" fillId="14" borderId="2" xfId="5" applyFont="1">
      <alignment horizontal="right" shrinkToFit="1"/>
    </xf>
    <xf numFmtId="0" fontId="6" fillId="16" borderId="4" xfId="92" applyAlignment="1">
      <alignment horizontal="center" vertical="center"/>
    </xf>
    <xf numFmtId="0" fontId="51" fillId="10" borderId="43" xfId="0" applyFont="1" applyFill="1" applyBorder="1" applyAlignment="1">
      <alignment horizontal="left" vertical="center"/>
    </xf>
    <xf numFmtId="22" fontId="0" fillId="15" borderId="44" xfId="128" applyNumberFormat="1" applyFont="1" applyBorder="1">
      <alignment horizontal="left" vertical="top"/>
    </xf>
    <xf numFmtId="22" fontId="0" fillId="15" borderId="45" xfId="128" applyNumberFormat="1" applyFont="1" applyBorder="1" applyAlignment="1">
      <alignment horizontal="left" vertical="top" wrapText="1"/>
    </xf>
    <xf numFmtId="0" fontId="0" fillId="15" borderId="46" xfId="128" applyFont="1" applyBorder="1">
      <alignment horizontal="left" vertical="top"/>
    </xf>
    <xf numFmtId="22" fontId="0" fillId="15" borderId="46" xfId="128" applyNumberFormat="1" applyFont="1" applyBorder="1">
      <alignment horizontal="left" vertical="top"/>
    </xf>
    <xf numFmtId="22" fontId="0" fillId="15" borderId="47" xfId="128" applyNumberFormat="1" applyFont="1" applyBorder="1" applyAlignment="1">
      <alignment horizontal="left" vertical="top" wrapText="1"/>
    </xf>
    <xf numFmtId="22" fontId="0" fillId="15" borderId="48" xfId="128" applyNumberFormat="1" applyFont="1" applyBorder="1" applyAlignment="1">
      <alignment horizontal="left" vertical="top" wrapText="1"/>
    </xf>
    <xf numFmtId="0" fontId="0" fillId="15" borderId="44" xfId="128" applyFont="1" applyBorder="1" applyAlignment="1">
      <alignment horizontal="left" vertical="top" wrapText="1"/>
    </xf>
    <xf numFmtId="0" fontId="0" fillId="15" borderId="46" xfId="128" applyFont="1" applyBorder="1" applyAlignment="1">
      <alignment horizontal="left" vertical="top" wrapText="1"/>
    </xf>
    <xf numFmtId="22" fontId="0" fillId="15" borderId="49" xfId="128" applyNumberFormat="1" applyFont="1" applyBorder="1">
      <alignment horizontal="left" vertical="top"/>
    </xf>
    <xf numFmtId="0" fontId="0" fillId="15" borderId="50" xfId="128" applyFont="1" applyBorder="1" applyAlignment="1">
      <alignment horizontal="left" vertical="top" wrapText="1"/>
    </xf>
    <xf numFmtId="0" fontId="0" fillId="15" borderId="45" xfId="128" applyFont="1" applyBorder="1" applyAlignment="1">
      <alignment horizontal="left" vertical="top" wrapText="1"/>
    </xf>
    <xf numFmtId="0" fontId="0" fillId="15" borderId="44" xfId="128" applyFont="1" applyBorder="1">
      <alignment horizontal="left" vertical="top"/>
    </xf>
    <xf numFmtId="0" fontId="0" fillId="15" borderId="47" xfId="128" applyFont="1" applyBorder="1">
      <alignment horizontal="left" vertical="top"/>
    </xf>
    <xf numFmtId="0" fontId="0" fillId="15" borderId="48" xfId="128" applyFont="1" applyBorder="1">
      <alignment horizontal="left" vertical="top"/>
    </xf>
    <xf numFmtId="22" fontId="0" fillId="15" borderId="47" xfId="128" applyNumberFormat="1" applyFont="1" applyBorder="1">
      <alignment horizontal="left" vertical="top"/>
    </xf>
    <xf numFmtId="22" fontId="0" fillId="15" borderId="0" xfId="128" applyNumberFormat="1" applyFont="1">
      <alignment horizontal="left" vertical="top"/>
    </xf>
    <xf numFmtId="0" fontId="0" fillId="15" borderId="51" xfId="128" applyFont="1" applyBorder="1" applyAlignment="1">
      <alignment horizontal="left" vertical="top" wrapText="1"/>
    </xf>
    <xf numFmtId="0" fontId="0" fillId="15" borderId="49" xfId="128" applyFont="1" applyBorder="1">
      <alignment horizontal="left" vertical="top"/>
    </xf>
    <xf numFmtId="0" fontId="53" fillId="30" borderId="0" xfId="125" quotePrefix="1" applyFont="1" applyFill="1">
      <alignment horizontal="left" vertical="top"/>
    </xf>
    <xf numFmtId="0" fontId="54" fillId="25" borderId="0" xfId="126" quotePrefix="1" applyBorder="1">
      <alignment horizontal="left" vertical="top" wrapText="1" indent="1"/>
    </xf>
    <xf numFmtId="0" fontId="54" fillId="31" borderId="0" xfId="127" quotePrefix="1" applyFill="1" applyBorder="1">
      <alignment horizontal="left" vertical="top" wrapText="1" indent="1"/>
    </xf>
    <xf numFmtId="0" fontId="40" fillId="15" borderId="0" xfId="7" applyFont="1" applyAlignment="1">
      <alignment horizontal="left" vertical="center" wrapText="1" indent="1"/>
    </xf>
    <xf numFmtId="22" fontId="0" fillId="15" borderId="46" xfId="128" applyNumberFormat="1" applyFont="1" applyBorder="1" applyAlignment="1">
      <alignment horizontal="left" vertical="top" wrapText="1"/>
    </xf>
    <xf numFmtId="0" fontId="13" fillId="15" borderId="6" xfId="13" quotePrefix="1">
      <alignment horizontal="left" vertical="center" wrapText="1" indent="1"/>
    </xf>
    <xf numFmtId="14" fontId="12" fillId="16" borderId="0" xfId="14" quotePrefix="1">
      <alignment horizontal="left" vertical="center" wrapText="1" indent="1"/>
      <protection locked="0"/>
    </xf>
    <xf numFmtId="49" fontId="12" fillId="16" borderId="0" xfId="10" quotePrefix="1">
      <alignment horizontal="left" vertical="center" wrapText="1" indent="1"/>
      <protection locked="0"/>
    </xf>
    <xf numFmtId="0" fontId="12" fillId="16" borderId="0" xfId="10" quotePrefix="1" applyNumberFormat="1">
      <alignment horizontal="left" vertical="center" wrapText="1" indent="1"/>
      <protection locked="0"/>
    </xf>
    <xf numFmtId="0" fontId="12" fillId="10" borderId="0" xfId="0" applyFont="1" applyFill="1" applyAlignment="1">
      <alignment horizontal="left" vertical="top" wrapText="1"/>
    </xf>
    <xf numFmtId="0" fontId="39" fillId="15" borderId="5" xfId="12" quotePrefix="1" applyFont="1">
      <alignment horizontal="left" vertical="center" wrapText="1" indent="1"/>
    </xf>
    <xf numFmtId="0" fontId="39" fillId="15" borderId="7" xfId="12" quotePrefix="1" applyFont="1" applyBorder="1">
      <alignment horizontal="left" vertical="center" wrapText="1" indent="1"/>
    </xf>
    <xf numFmtId="0" fontId="16" fillId="18" borderId="0" xfId="23" quotePrefix="1">
      <alignment vertical="center"/>
    </xf>
    <xf numFmtId="0" fontId="16" fillId="18" borderId="0" xfId="23">
      <alignment vertical="center"/>
    </xf>
    <xf numFmtId="0" fontId="6" fillId="18" borderId="0" xfId="25" quotePrefix="1" applyAlignment="1">
      <alignment horizontal="left" vertical="center" wrapText="1" indent="1"/>
    </xf>
    <xf numFmtId="0" fontId="19" fillId="25" borderId="9" xfId="62" applyBorder="1">
      <alignment horizontal="center" vertical="center" wrapText="1"/>
    </xf>
    <xf numFmtId="0" fontId="19" fillId="25" borderId="0" xfId="62" applyBorder="1">
      <alignment horizontal="center" vertical="center" wrapText="1"/>
    </xf>
    <xf numFmtId="0" fontId="19" fillId="25" borderId="1" xfId="66" quotePrefix="1" applyAlignment="1">
      <alignment horizontal="left" vertical="center" wrapText="1" indent="1"/>
    </xf>
    <xf numFmtId="0" fontId="19" fillId="25" borderId="1" xfId="66" applyAlignment="1">
      <alignment horizontal="left" vertical="center" wrapText="1" indent="1"/>
    </xf>
    <xf numFmtId="0" fontId="19" fillId="21" borderId="1" xfId="36" quotePrefix="1">
      <alignment horizontal="left" vertical="center" indent="1"/>
    </xf>
    <xf numFmtId="0" fontId="16" fillId="18" borderId="32" xfId="23" quotePrefix="1" applyBorder="1">
      <alignment vertical="center"/>
    </xf>
    <xf numFmtId="0" fontId="40" fillId="18" borderId="0" xfId="25" quotePrefix="1" applyFont="1" applyAlignment="1">
      <alignment horizontal="left" vertical="center" wrapText="1" indent="1"/>
    </xf>
    <xf numFmtId="0" fontId="19" fillId="25" borderId="1" xfId="62">
      <alignment horizontal="center" vertical="center" wrapText="1"/>
    </xf>
    <xf numFmtId="0" fontId="19" fillId="27" borderId="0" xfId="79" quotePrefix="1" applyBorder="1">
      <alignment horizontal="left" vertical="center" indent="1"/>
    </xf>
    <xf numFmtId="0" fontId="19" fillId="21" borderId="1" xfId="79" quotePrefix="1" applyFill="1">
      <alignment horizontal="left" vertical="center" indent="1"/>
    </xf>
    <xf numFmtId="0" fontId="19" fillId="21" borderId="0" xfId="79" quotePrefix="1" applyFill="1" applyBorder="1">
      <alignment horizontal="left" vertical="center" indent="1"/>
    </xf>
    <xf numFmtId="0" fontId="19" fillId="21" borderId="1" xfId="80" applyFill="1">
      <alignment horizontal="center" vertical="center" wrapText="1"/>
    </xf>
    <xf numFmtId="0" fontId="19" fillId="21" borderId="0" xfId="80" applyFill="1" applyBorder="1">
      <alignment horizontal="center" vertical="center" wrapText="1"/>
    </xf>
  </cellXfs>
  <cellStyles count="130">
    <cellStyle name="Komma" xfId="129" builtinId="3"/>
    <cellStyle name="Neutral" xfId="122" builtinId="28"/>
    <cellStyle name="Normal" xfId="0" builtinId="0"/>
    <cellStyle name="r_0_BKG" xfId="3" xr:uid="{00000000-0005-0000-0000-000003000000}"/>
    <cellStyle name="r_0_blueHeaderLeftIdent" xfId="126" xr:uid="{00000000-0005-0000-0000-000004000000}"/>
    <cellStyle name="r_0_comment" xfId="41" xr:uid="{00000000-0005-0000-0000-000005000000}"/>
    <cellStyle name="r_0_comment1" xfId="118" xr:uid="{00000000-0005-0000-0000-000006000000}"/>
    <cellStyle name="r_0_estimateBest" xfId="56" xr:uid="{00000000-0005-0000-0000-000007000000}"/>
    <cellStyle name="r_0_estimateBudget" xfId="82" xr:uid="{00000000-0005-0000-0000-000008000000}"/>
    <cellStyle name="r_0_estimateMed" xfId="57" xr:uid="{00000000-0005-0000-0000-000009000000}"/>
    <cellStyle name="r_0_estimatePerc" xfId="73" xr:uid="{00000000-0005-0000-0000-00000A000000}"/>
    <cellStyle name="r_0_estimateWorst" xfId="58" xr:uid="{00000000-0005-0000-0000-00000B000000}"/>
    <cellStyle name="r_0_grayDark" xfId="1" xr:uid="{00000000-0005-0000-0000-00000C000000}"/>
    <cellStyle name="r_0_grayDark2" xfId="124" xr:uid="{00000000-0005-0000-0000-00000D000000}"/>
    <cellStyle name="r_0_grayTitle" xfId="125" xr:uid="{00000000-0005-0000-0000-00000E000000}"/>
    <cellStyle name="r_0_greenHeaderLeftIdent" xfId="127" xr:uid="{00000000-0005-0000-0000-00000F000000}"/>
    <cellStyle name="r_0_H1_gray" xfId="27" xr:uid="{00000000-0005-0000-0000-000010000000}"/>
    <cellStyle name="r_0_H2_red" xfId="121" xr:uid="{00000000-0005-0000-0000-000011000000}"/>
    <cellStyle name="r_0_H2_red2" xfId="28" xr:uid="{00000000-0005-0000-0000-000012000000}"/>
    <cellStyle name="r_0_H3MLblueHidden" xfId="64" xr:uid="{00000000-0005-0000-0000-000013000000}"/>
    <cellStyle name="r_0_H3MLredHidden" xfId="33" xr:uid="{00000000-0005-0000-0000-000014000000}"/>
    <cellStyle name="r_0_H3MMblue" xfId="62" xr:uid="{00000000-0005-0000-0000-000015000000}"/>
    <cellStyle name="r_0_H3MMblue2" xfId="67" xr:uid="{00000000-0005-0000-0000-000016000000}"/>
    <cellStyle name="r_0_H3MMblueHidden" xfId="65" xr:uid="{00000000-0005-0000-0000-000017000000}"/>
    <cellStyle name="r_0_H3MMblueL1" xfId="66" xr:uid="{00000000-0005-0000-0000-000018000000}"/>
    <cellStyle name="r_0_H3MMgreen" xfId="80" xr:uid="{00000000-0005-0000-0000-000019000000}"/>
    <cellStyle name="r_0_H3MMgreen2" xfId="81" xr:uid="{00000000-0005-0000-0000-00001A000000}"/>
    <cellStyle name="r_0_H3MMgreenL1" xfId="79" xr:uid="{00000000-0005-0000-0000-00001B000000}"/>
    <cellStyle name="r_0_H3MMred" xfId="37" xr:uid="{00000000-0005-0000-0000-00001C000000}"/>
    <cellStyle name="r_0_H3MMred2" xfId="39" xr:uid="{00000000-0005-0000-0000-00001D000000}"/>
    <cellStyle name="r_0_H3MMredHidden" xfId="34" xr:uid="{00000000-0005-0000-0000-00001E000000}"/>
    <cellStyle name="r_0_H3MMredL1" xfId="36" xr:uid="{00000000-0005-0000-0000-00001F000000}"/>
    <cellStyle name="r_0_H3TMblue" xfId="63" xr:uid="{00000000-0005-0000-0000-000020000000}"/>
    <cellStyle name="r_0_H3TMred" xfId="30" xr:uid="{00000000-0005-0000-0000-000021000000}"/>
    <cellStyle name="r_0_H4TRgray" xfId="38" xr:uid="{00000000-0005-0000-0000-000022000000}"/>
    <cellStyle name="r_0_help" xfId="25" xr:uid="{00000000-0005-0000-0000-000023000000}"/>
    <cellStyle name="r_0_helpBold" xfId="23" xr:uid="{00000000-0005-0000-0000-000024000000}"/>
    <cellStyle name="r_0_helpJustify" xfId="24" xr:uid="{00000000-0005-0000-0000-000025000000}"/>
    <cellStyle name="r_0_line" xfId="54" xr:uid="{00000000-0005-0000-0000-000026000000}"/>
    <cellStyle name="r_0_lineBorderTop" xfId="50" xr:uid="{00000000-0005-0000-0000-000027000000}"/>
    <cellStyle name="r_0_lineBorderTop2" xfId="46" xr:uid="{00000000-0005-0000-0000-000028000000}"/>
    <cellStyle name="r_0_lineBorderTop2bold" xfId="86" xr:uid="{00000000-0005-0000-0000-000029000000}"/>
    <cellStyle name="r_0_lineBorderTop2date" xfId="85" xr:uid="{00000000-0005-0000-0000-00002A000000}"/>
    <cellStyle name="r_0_lineBorderTopPre" xfId="49" xr:uid="{00000000-0005-0000-0000-00002B000000}"/>
    <cellStyle name="r_0_lineLocked" xfId="69" xr:uid="{00000000-0005-0000-0000-00002C000000}"/>
    <cellStyle name="r_0_lineLocked2" xfId="77" xr:uid="{00000000-0005-0000-0000-00002D000000}"/>
    <cellStyle name="r_0_lineLocked2bold" xfId="76" xr:uid="{00000000-0005-0000-0000-00002E000000}"/>
    <cellStyle name="r_0_lineLocked2pale" xfId="87" xr:uid="{00000000-0005-0000-0000-00002F000000}"/>
    <cellStyle name="r_0_lineLocked2paledate" xfId="88" xr:uid="{00000000-0005-0000-0000-000030000000}"/>
    <cellStyle name="r_0_lineLockedAccount" xfId="55" xr:uid="{00000000-0005-0000-0000-000031000000}"/>
    <cellStyle name="r_0_lineLockedBold" xfId="42" xr:uid="{00000000-0005-0000-0000-000032000000}"/>
    <cellStyle name="r_0_lineLockedBold2" xfId="47" xr:uid="{00000000-0005-0000-0000-000033000000}"/>
    <cellStyle name="r_0_lineLockedPre" xfId="45" xr:uid="{00000000-0005-0000-0000-000034000000}"/>
    <cellStyle name="r_0_lineLockedPre2" xfId="75" xr:uid="{00000000-0005-0000-0000-000035000000}"/>
    <cellStyle name="r_0_linePre" xfId="53" xr:uid="{00000000-0005-0000-0000-000036000000}"/>
    <cellStyle name="r_0_lineSubtotal1" xfId="51" xr:uid="{00000000-0005-0000-0000-000037000000}"/>
    <cellStyle name="r_0_lineSubtotal1Bold" xfId="43" xr:uid="{00000000-0005-0000-0000-000038000000}"/>
    <cellStyle name="r_0_lineSubtotal2Bold" xfId="48" xr:uid="{00000000-0005-0000-0000-000039000000}"/>
    <cellStyle name="r_0_MRDblue" xfId="2" xr:uid="{00000000-0005-0000-0000-00003A000000}"/>
    <cellStyle name="r_0_MRDgreen" xfId="4" xr:uid="{00000000-0005-0000-0000-00003B000000}"/>
    <cellStyle name="r_0_MRDred" xfId="29" xr:uid="{00000000-0005-0000-0000-00003C000000}"/>
    <cellStyle name="r_0_MRLred" xfId="31" xr:uid="{00000000-0005-0000-0000-00003D000000}"/>
    <cellStyle name="r_0_plAdjustment" xfId="32" xr:uid="{00000000-0005-0000-0000-00003E000000}"/>
    <cellStyle name="r_0_separator" xfId="40" xr:uid="{00000000-0005-0000-0000-00003F000000}"/>
    <cellStyle name="r_0_separator2" xfId="22" xr:uid="{00000000-0005-0000-0000-000040000000}"/>
    <cellStyle name="r_0_separator2Grad" xfId="26" xr:uid="{00000000-0005-0000-0000-000041000000}"/>
    <cellStyle name="r_0_separatorG1" xfId="84" xr:uid="{00000000-0005-0000-0000-000042000000}"/>
    <cellStyle name="r_0_STblue1" xfId="71" xr:uid="{00000000-0005-0000-0000-000043000000}"/>
    <cellStyle name="r_0_STblue2" xfId="70" xr:uid="{00000000-0005-0000-0000-000044000000}"/>
    <cellStyle name="r_0_STblue2Perc" xfId="78" xr:uid="{00000000-0005-0000-0000-000045000000}"/>
    <cellStyle name="r_0_STblue3" xfId="68" xr:uid="{00000000-0005-0000-0000-000046000000}"/>
    <cellStyle name="r_0_STblue5" xfId="74" xr:uid="{00000000-0005-0000-0000-000047000000}"/>
    <cellStyle name="r_0_STgreen1" xfId="123" xr:uid="{00000000-0005-0000-0000-000048000000}"/>
    <cellStyle name="r_0_STgreen2" xfId="83" xr:uid="{00000000-0005-0000-0000-000049000000}"/>
    <cellStyle name="r_0_STred1" xfId="59" xr:uid="{00000000-0005-0000-0000-00004A000000}"/>
    <cellStyle name="r_0_STred2" xfId="52" xr:uid="{00000000-0005-0000-0000-00004B000000}"/>
    <cellStyle name="r_0_STred3" xfId="44" xr:uid="{00000000-0005-0000-0000-00004C000000}"/>
    <cellStyle name="r_0_STred5" xfId="61" xr:uid="{00000000-0005-0000-0000-00004D000000}"/>
    <cellStyle name="r_0_total" xfId="72" xr:uid="{00000000-0005-0000-0000-00004E000000}"/>
    <cellStyle name="r_0_totalBold" xfId="60" xr:uid="{00000000-0005-0000-0000-00004F000000}"/>
    <cellStyle name="r_1_bkgGrayML" xfId="6" xr:uid="{00000000-0005-0000-0000-000050000000}"/>
    <cellStyle name="r_1_bkgGrayMM" xfId="7" xr:uid="{00000000-0005-0000-0000-000051000000}"/>
    <cellStyle name="r_1_bkgGrayMR" xfId="8" xr:uid="{00000000-0005-0000-0000-000052000000}"/>
    <cellStyle name="r_1_bkgMain" xfId="128" xr:uid="{00000000-0005-0000-0000-000053000000}"/>
    <cellStyle name="r_1_bkgMainTM" xfId="19" xr:uid="{00000000-0005-0000-0000-000054000000}"/>
    <cellStyle name="r_1_bkgWhite" xfId="91" xr:uid="{00000000-0005-0000-0000-000055000000}"/>
    <cellStyle name="r_1_bkgWhiteBottom" xfId="110" xr:uid="{00000000-0005-0000-0000-000056000000}"/>
    <cellStyle name="r_1_bkgWhiteLeft" xfId="90" xr:uid="{00000000-0005-0000-0000-000057000000}"/>
    <cellStyle name="r_1_bkgWhiteLeftBottom" xfId="109" xr:uid="{00000000-0005-0000-0000-000058000000}"/>
    <cellStyle name="r_1_bkgWhiteRight" xfId="92" xr:uid="{00000000-0005-0000-0000-000059000000}"/>
    <cellStyle name="r_1_bkgWhiteRightBottom" xfId="111" xr:uid="{00000000-0005-0000-0000-00005A000000}"/>
    <cellStyle name="r_1_bkgYellow" xfId="95" xr:uid="{00000000-0005-0000-0000-00005B000000}"/>
    <cellStyle name="r_1_bkgYellowEnd" xfId="107" xr:uid="{00000000-0005-0000-0000-00005C000000}"/>
    <cellStyle name="r_1_bkgYellowForce" xfId="100" xr:uid="{00000000-0005-0000-0000-00005D000000}"/>
    <cellStyle name="r_1_bkgYellowStart" xfId="93" xr:uid="{00000000-0005-0000-0000-00005E000000}"/>
    <cellStyle name="r_1_faq-link" xfId="16" xr:uid="{00000000-0005-0000-0000-00005F000000}"/>
    <cellStyle name="r_1_faq-text" xfId="21" xr:uid="{00000000-0005-0000-0000-000060000000}"/>
    <cellStyle name="r_1_fpHeader3" xfId="9" xr:uid="{00000000-0005-0000-0000-000061000000}"/>
    <cellStyle name="r_1_fpHeader4" xfId="15" xr:uid="{00000000-0005-0000-0000-000062000000}"/>
    <cellStyle name="r_1_lineInputDate" xfId="14" xr:uid="{00000000-0005-0000-0000-000063000000}"/>
    <cellStyle name="r_1_lineInputText" xfId="18" xr:uid="{00000000-0005-0000-0000-000064000000}"/>
    <cellStyle name="r_1_lineInputValue" xfId="10" xr:uid="{00000000-0005-0000-0000-000065000000}"/>
    <cellStyle name="r_1_lineInputValueNon" xfId="20" xr:uid="{00000000-0005-0000-0000-000066000000}"/>
    <cellStyle name="r_1_separatorLine" xfId="17" xr:uid="{00000000-0005-0000-0000-000067000000}"/>
    <cellStyle name="r_1_separatorLineBottom" xfId="11" xr:uid="{00000000-0005-0000-0000-000068000000}"/>
    <cellStyle name="r_1_sideTextBottom" xfId="13" xr:uid="{00000000-0005-0000-0000-000069000000}"/>
    <cellStyle name="r_1_sideTextTop" xfId="12" xr:uid="{00000000-0005-0000-0000-00006A000000}"/>
    <cellStyle name="r_2_perc8" xfId="119" xr:uid="{00000000-0005-0000-0000-00006B000000}"/>
    <cellStyle name="r_2_perc8Bold" xfId="115" xr:uid="{00000000-0005-0000-0000-00006C000000}"/>
    <cellStyle name="r_2_text10Bold" xfId="96" xr:uid="{00000000-0005-0000-0000-00006D000000}"/>
    <cellStyle name="r_2_text12Blue" xfId="94" xr:uid="{00000000-0005-0000-0000-00006E000000}"/>
    <cellStyle name="r_2_text12BlueNT" xfId="108" xr:uid="{00000000-0005-0000-0000-00006F000000}"/>
    <cellStyle name="r_2_text18White" xfId="112" xr:uid="{00000000-0005-0000-0000-000070000000}"/>
    <cellStyle name="r_2_text20WhiteBold" xfId="89" xr:uid="{00000000-0005-0000-0000-000071000000}"/>
    <cellStyle name="r_2_text8" xfId="113" xr:uid="{00000000-0005-0000-0000-000072000000}"/>
    <cellStyle name="r_2_text8Bold" xfId="101" xr:uid="{00000000-0005-0000-0000-000073000000}"/>
    <cellStyle name="r_2_text8BoldIdent1" xfId="117" xr:uid="{00000000-0005-0000-0000-000074000000}"/>
    <cellStyle name="r_2_text8BoldStart" xfId="97" xr:uid="{00000000-0005-0000-0000-000075000000}"/>
    <cellStyle name="r_2_text8Ident1" xfId="104" xr:uid="{00000000-0005-0000-0000-000076000000}"/>
    <cellStyle name="r_2_text8Ident2" xfId="106" xr:uid="{00000000-0005-0000-0000-000077000000}"/>
    <cellStyle name="r_2_text8Ident3" xfId="114" xr:uid="{00000000-0005-0000-0000-000078000000}"/>
    <cellStyle name="r_2_textNoFormat" xfId="35" xr:uid="{00000000-0005-0000-0000-000079000000}"/>
    <cellStyle name="r_2_val8" xfId="5" xr:uid="{00000000-0005-0000-0000-00007A000000}"/>
    <cellStyle name="r_2_val8Bkg" xfId="120" xr:uid="{00000000-0005-0000-0000-00007B000000}"/>
    <cellStyle name="r_2_val8Bold" xfId="103" xr:uid="{00000000-0005-0000-0000-00007C000000}"/>
    <cellStyle name="r_2_val8BoldLeft" xfId="102" xr:uid="{00000000-0005-0000-0000-00007D000000}"/>
    <cellStyle name="r_2_val8BoldStart" xfId="99" xr:uid="{00000000-0005-0000-0000-00007E000000}"/>
    <cellStyle name="r_2_val8BoldStartLeft" xfId="98" xr:uid="{00000000-0005-0000-0000-00007F000000}"/>
    <cellStyle name="r_2_val8Left" xfId="105" xr:uid="{00000000-0005-0000-0000-000080000000}"/>
    <cellStyle name="r_2_val8NegativeRed" xfId="116" xr:uid="{00000000-0005-0000-0000-000081000000}"/>
  </cellStyles>
  <dxfs count="45">
    <dxf>
      <fill>
        <patternFill>
          <bgColor rgb="FFF8F8DE"/>
        </patternFill>
      </fill>
      <border>
        <left/>
        <right/>
        <top/>
        <bottom/>
        <vertical/>
        <horizontal/>
      </border>
    </dxf>
    <dxf>
      <border>
        <left/>
        <right/>
        <top/>
        <bottom/>
        <vertical/>
        <horizontal/>
      </border>
    </dxf>
    <dxf>
      <fill>
        <patternFill>
          <bgColor rgb="FFF8F8DE"/>
        </patternFill>
      </fill>
      <border>
        <left/>
        <right/>
        <top/>
        <bottom/>
        <vertical/>
        <horizontal/>
      </border>
    </dxf>
    <dxf>
      <border>
        <left/>
        <right/>
        <top/>
        <bottom/>
        <vertical/>
        <horizontal/>
      </border>
    </dxf>
    <dxf>
      <border>
        <left/>
        <right/>
        <top/>
        <bottom/>
        <vertical/>
        <horizontal/>
      </border>
    </dxf>
    <dxf>
      <border>
        <left/>
        <right/>
        <top/>
        <bottom/>
        <vertical/>
        <horizontal/>
      </border>
    </dxf>
    <dxf>
      <fill>
        <patternFill>
          <bgColor rgb="FFF8F8DE"/>
        </patternFill>
      </fill>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fill>
        <patternFill>
          <bgColor rgb="FFF8F8DE"/>
        </patternFill>
      </fill>
      <border>
        <left/>
        <right/>
        <top/>
        <bottom/>
        <vertical/>
        <horizontal/>
      </border>
    </dxf>
    <dxf>
      <border>
        <left/>
        <right/>
        <top/>
        <bottom/>
        <vertical/>
        <horizontal/>
      </border>
    </dxf>
    <dxf>
      <fill>
        <patternFill>
          <bgColor rgb="FFF8F8DE"/>
        </patternFill>
      </fill>
      <border>
        <left/>
        <right/>
        <top/>
        <bottom/>
        <vertical/>
        <horizontal/>
      </border>
    </dxf>
    <dxf>
      <border>
        <left/>
        <right/>
        <top/>
        <bottom/>
        <vertical/>
        <horizontal/>
      </border>
    </dxf>
    <dxf>
      <fill>
        <patternFill>
          <bgColor rgb="FFF8F8DE"/>
        </patternFill>
      </fill>
      <border>
        <left/>
        <right/>
        <top/>
        <bottom/>
        <vertical/>
        <horizontal/>
      </border>
    </dxf>
    <dxf>
      <fill>
        <patternFill>
          <bgColor rgb="FFF8F8DE"/>
        </patternFill>
      </fill>
      <border>
        <left/>
        <right/>
        <top/>
        <bottom/>
        <vertical/>
        <horizontal/>
      </border>
    </dxf>
    <dxf>
      <border>
        <left/>
        <right/>
        <top/>
        <bottom/>
        <vertical/>
        <horizontal/>
      </border>
    </dxf>
    <dxf>
      <border>
        <left/>
        <right/>
        <top/>
        <bottom/>
        <vertical/>
        <horizontal/>
      </border>
    </dxf>
    <dxf>
      <fill>
        <patternFill>
          <bgColor rgb="FFFFCCCC"/>
        </patternFill>
      </fill>
    </dxf>
    <dxf>
      <fill>
        <patternFill patternType="none">
          <bgColor auto="1"/>
        </patternFill>
      </fill>
    </dxf>
    <dxf>
      <fill>
        <patternFill>
          <bgColor rgb="FFF9F9F3"/>
        </patternFill>
      </fill>
      <border>
        <left/>
        <right/>
        <top/>
        <bottom/>
        <vertical/>
        <horizontal/>
      </border>
    </dxf>
    <dxf>
      <font>
        <color rgb="FFF9F9F3"/>
      </font>
      <fill>
        <patternFill>
          <bgColor rgb="FFF9F9F3"/>
        </patternFill>
      </fill>
    </dxf>
    <dxf>
      <fill>
        <patternFill>
          <bgColor rgb="FFF9F9F3"/>
        </patternFill>
      </fill>
      <border>
        <left/>
        <right/>
        <top/>
        <bottom/>
      </border>
    </dxf>
    <dxf>
      <font>
        <color rgb="FFF9F9F3"/>
      </font>
      <fill>
        <patternFill>
          <fgColor auto="1"/>
          <bgColor rgb="FFF9F9F3"/>
        </patternFill>
      </fill>
    </dxf>
    <dxf>
      <fill>
        <patternFill>
          <bgColor rgb="FFFFCCCC"/>
        </patternFill>
      </fill>
    </dxf>
    <dxf>
      <font>
        <color theme="0" tint="-0.34998626667073579"/>
      </font>
    </dxf>
    <dxf>
      <fill>
        <patternFill>
          <bgColor rgb="FFFFCCCC"/>
        </patternFill>
      </fill>
    </dxf>
    <dxf>
      <font>
        <color theme="0" tint="-0.34998626667073579"/>
      </font>
    </dxf>
  </dxfs>
  <tableStyles count="0" defaultTableStyle="TableStyleMedium2" defaultPivotStyle="PivotStyleLight16"/>
  <colors>
    <mruColors>
      <color rgb="FFF8F8DE"/>
      <color rgb="FFFFCCCC"/>
      <color rgb="FFF9F9F3"/>
      <color rgb="FFFF9999"/>
      <color rgb="FFFFFFFF"/>
      <color rgb="FFFF7C80"/>
      <color rgb="FFF9F8F3"/>
      <color rgb="FFF9F8F1"/>
      <color rgb="FF9C0027"/>
      <color rgb="FFEBEA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7.19978362646614E-2"/>
          <c:y val="0.20711826684282877"/>
          <c:w val="0.89920211485532586"/>
          <c:h val="0.63632301253217882"/>
        </c:manualLayout>
      </c:layout>
      <c:areaChart>
        <c:grouping val="stacked"/>
        <c:varyColors val="0"/>
        <c:ser>
          <c:idx val="1"/>
          <c:order val="0"/>
          <c:tx>
            <c:v>1</c:v>
          </c:tx>
          <c:spPr>
            <a:solidFill>
              <a:srgbClr val="C3D69B"/>
            </a:solidFill>
            <a:ln w="25400">
              <a:noFill/>
            </a:ln>
            <a:effectLst/>
            <a:extLst>
              <a:ext uri="{91240B29-F687-4F45-9708-019B960494DF}">
                <a14:hiddenLine xmlns:a14="http://schemas.microsoft.com/office/drawing/2010/main" w="25400">
                  <a:solidFill>
                    <a:srgbClr val="024C17"/>
                  </a:solidFill>
                </a14:hiddenLine>
              </a:ext>
            </a:extLst>
          </c:spPr>
          <c:cat>
            <c:numLit>
              <c:formatCode>General</c:formatCode>
              <c:ptCount val="2"/>
              <c:pt idx="0">
                <c:v>2</c:v>
              </c:pt>
              <c:pt idx="1">
                <c:v>1</c:v>
              </c:pt>
            </c:numLit>
          </c:cat>
          <c:val>
            <c:numLit>
              <c:formatCode>General</c:formatCode>
              <c:ptCount val="2"/>
              <c:pt idx="0">
                <c:v>2</c:v>
              </c:pt>
              <c:pt idx="1">
                <c:v>1</c:v>
              </c:pt>
            </c:numLit>
          </c:val>
          <c:extLst>
            <c:ext xmlns:c16="http://schemas.microsoft.com/office/drawing/2014/chart" uri="{C3380CC4-5D6E-409C-BE32-E72D297353CC}">
              <c16:uniqueId val="{00000000-4D46-450C-9AA8-CE16753EB776}"/>
            </c:ext>
          </c:extLst>
        </c:ser>
        <c:dLbls>
          <c:showLegendKey val="0"/>
          <c:showVal val="0"/>
          <c:showCatName val="0"/>
          <c:showSerName val="0"/>
          <c:showPercent val="0"/>
          <c:showBubbleSize val="0"/>
        </c:dLbls>
        <c:axId val="445673952"/>
        <c:axId val="445674280"/>
      </c:areaChart>
      <c:barChart>
        <c:barDir val="col"/>
        <c:grouping val="clustered"/>
        <c:varyColors val="0"/>
        <c:ser>
          <c:idx val="0"/>
          <c:order val="1"/>
          <c:tx>
            <c:v>1</c:v>
          </c:tx>
          <c:spPr>
            <a:solidFill>
              <a:srgbClr val="017024"/>
            </a:solidFill>
            <a:ln w="25400">
              <a:noFill/>
            </a:ln>
            <a:effectLst/>
            <a:extLst>
              <a:ext uri="{91240B29-F687-4F45-9708-019B960494DF}">
                <a14:hiddenLine xmlns:a14="http://schemas.microsoft.com/office/drawing/2010/main" w="25400">
                  <a:solidFill>
                    <a:srgbClr val="017024"/>
                  </a:solidFill>
                </a14:hiddenLine>
              </a:ext>
            </a:extLst>
          </c:spPr>
          <c:invertIfNegative val="0"/>
          <c:cat>
            <c:numLit>
              <c:formatCode>General</c:formatCode>
              <c:ptCount val="2"/>
              <c:pt idx="0">
                <c:v>1</c:v>
              </c:pt>
              <c:pt idx="1">
                <c:v>2</c:v>
              </c:pt>
            </c:numLit>
          </c:cat>
          <c:val>
            <c:numLit>
              <c:formatCode>General</c:formatCode>
              <c:ptCount val="2"/>
              <c:pt idx="0">
                <c:v>1</c:v>
              </c:pt>
              <c:pt idx="1">
                <c:v>2</c:v>
              </c:pt>
            </c:numLit>
          </c:val>
          <c:extLst>
            <c:ext xmlns:c16="http://schemas.microsoft.com/office/drawing/2014/chart" uri="{C3380CC4-5D6E-409C-BE32-E72D297353CC}">
              <c16:uniqueId val="{00000001-4D46-450C-9AA8-CE16753EB776}"/>
            </c:ext>
          </c:extLst>
        </c:ser>
        <c:dLbls>
          <c:showLegendKey val="0"/>
          <c:showVal val="0"/>
          <c:showCatName val="0"/>
          <c:showSerName val="0"/>
          <c:showPercent val="0"/>
          <c:showBubbleSize val="0"/>
        </c:dLbls>
        <c:gapWidth val="300"/>
        <c:axId val="445673952"/>
        <c:axId val="445674280"/>
      </c:barChart>
      <c:catAx>
        <c:axId val="445673952"/>
        <c:scaling>
          <c:orientation val="minMax"/>
        </c:scaling>
        <c:delete val="0"/>
        <c:axPos val="b"/>
        <c:numFmt formatCode="General" sourceLinked="1"/>
        <c:majorTickMark val="none"/>
        <c:minorTickMark val="none"/>
        <c:tickLblPos val="low"/>
        <c:spPr>
          <a:noFill/>
          <a:ln w="12700" cap="flat" cmpd="sng" algn="ctr">
            <a:solidFill>
              <a:schemeClr val="accent2">
                <a:lumMod val="20000"/>
                <a:lumOff val="80000"/>
              </a:schemeClr>
            </a:solidFill>
            <a:round/>
          </a:ln>
          <a:effectLst/>
        </c:spPr>
        <c:txPr>
          <a:bodyPr rot="-60000000" spcFirstLastPara="1" vertOverflow="ellipsis" vert="horz" wrap="square" anchor="t" anchorCtr="0"/>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445674280"/>
        <c:crosses val="autoZero"/>
        <c:auto val="1"/>
        <c:lblAlgn val="ctr"/>
        <c:lblOffset val="100"/>
        <c:noMultiLvlLbl val="0"/>
      </c:catAx>
      <c:valAx>
        <c:axId val="445674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900" b="1">
                    <a:solidFill>
                      <a:sysClr val="windowText" lastClr="000000"/>
                    </a:solidFill>
                    <a:latin typeface="Arial" panose="020B0604020202020204" pitchFamily="34" charset="0"/>
                    <a:cs typeface="Arial" panose="020B0604020202020204" pitchFamily="34" charset="0"/>
                  </a:rPr>
                  <a:t>Mio. kr.</a:t>
                </a:r>
              </a:p>
            </c:rich>
          </c:tx>
          <c:layout>
            <c:manualLayout>
              <c:xMode val="edge"/>
              <c:yMode val="edge"/>
              <c:x val="8.5245382063091173E-3"/>
              <c:y val="0"/>
            </c:manualLayout>
          </c:layout>
          <c:overlay val="0"/>
          <c:spPr>
            <a:noFill/>
            <a:ln>
              <a:noFill/>
            </a:ln>
            <a:effectLst/>
          </c:spPr>
          <c:txPr>
            <a:bodyPr rot="0" spcFirstLastPara="1" vertOverflow="ellipsis"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445673952"/>
        <c:crosses val="autoZero"/>
        <c:crossBetween val="between"/>
      </c:valAx>
      <c:spPr>
        <a:noFill/>
        <a:ln>
          <a:noFill/>
        </a:ln>
        <a:effectLst/>
      </c:spPr>
    </c:plotArea>
    <c:legend>
      <c:legendPos val="t"/>
      <c:layout>
        <c:manualLayout>
          <c:xMode val="edge"/>
          <c:yMode val="edge"/>
          <c:x val="0.35713958224311165"/>
          <c:y val="2.5449099796540791E-2"/>
          <c:w val="0.29849390953856331"/>
          <c:h val="0.14315218828860482"/>
        </c:manualLayout>
      </c:layout>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gap"/>
    <c:showDLblsOverMax val="0"/>
  </c:chart>
  <c:spPr>
    <a:noFill/>
    <a:ln w="9525" cap="flat" cmpd="sng" algn="ctr">
      <a:noFill/>
      <a:round/>
    </a:ln>
    <a:effectLst/>
  </c:spPr>
  <c:txPr>
    <a:bodyPr/>
    <a:lstStyle/>
    <a:p>
      <a:pPr>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9978362646614E-2"/>
          <c:y val="0.15622038531054946"/>
          <c:w val="0.89920211485532586"/>
          <c:h val="0.69692188795143573"/>
        </c:manualLayout>
      </c:layout>
      <c:lineChart>
        <c:grouping val="standard"/>
        <c:varyColors val="0"/>
        <c:ser>
          <c:idx val="0"/>
          <c:order val="0"/>
          <c:tx>
            <c:v>1</c:v>
          </c:tx>
          <c:spPr>
            <a:ln w="25400" cap="rnd">
              <a:solidFill>
                <a:srgbClr val="2686AC"/>
              </a:solidFill>
              <a:round/>
            </a:ln>
            <a:effectLst/>
          </c:spPr>
          <c:marker>
            <c:symbol val="none"/>
          </c:marker>
          <c:cat>
            <c:numLit>
              <c:formatCode>General</c:formatCode>
              <c:ptCount val="2"/>
              <c:pt idx="0">
                <c:v>2</c:v>
              </c:pt>
              <c:pt idx="1">
                <c:v>1</c:v>
              </c:pt>
            </c:numLit>
          </c:cat>
          <c:val>
            <c:numLit>
              <c:formatCode>General</c:formatCode>
              <c:ptCount val="2"/>
              <c:pt idx="0">
                <c:v>1</c:v>
              </c:pt>
              <c:pt idx="1">
                <c:v>2</c:v>
              </c:pt>
            </c:numLit>
          </c:val>
          <c:smooth val="0"/>
          <c:extLst>
            <c:ext xmlns:c16="http://schemas.microsoft.com/office/drawing/2014/chart" uri="{C3380CC4-5D6E-409C-BE32-E72D297353CC}">
              <c16:uniqueId val="{00000000-157B-443D-8051-4F24B96A2306}"/>
            </c:ext>
          </c:extLst>
        </c:ser>
        <c:ser>
          <c:idx val="1"/>
          <c:order val="1"/>
          <c:tx>
            <c:v>1</c:v>
          </c:tx>
          <c:spPr>
            <a:ln w="25400" cap="rnd">
              <a:solidFill>
                <a:srgbClr val="9C0027"/>
              </a:solidFill>
              <a:round/>
            </a:ln>
            <a:effectLst/>
          </c:spPr>
          <c:marker>
            <c:symbol val="none"/>
          </c:marker>
          <c:cat>
            <c:numLit>
              <c:formatCode>General</c:formatCode>
              <c:ptCount val="2"/>
              <c:pt idx="0">
                <c:v>2</c:v>
              </c:pt>
              <c:pt idx="1">
                <c:v>1</c:v>
              </c:pt>
            </c:numLit>
          </c:cat>
          <c:val>
            <c:numLit>
              <c:formatCode>General</c:formatCode>
              <c:ptCount val="2"/>
              <c:pt idx="0">
                <c:v>2</c:v>
              </c:pt>
              <c:pt idx="1">
                <c:v>1</c:v>
              </c:pt>
            </c:numLit>
          </c:val>
          <c:smooth val="0"/>
          <c:extLst>
            <c:ext xmlns:c16="http://schemas.microsoft.com/office/drawing/2014/chart" uri="{C3380CC4-5D6E-409C-BE32-E72D297353CC}">
              <c16:uniqueId val="{00000001-157B-443D-8051-4F24B96A2306}"/>
            </c:ext>
          </c:extLst>
        </c:ser>
        <c:dLbls>
          <c:showLegendKey val="0"/>
          <c:showVal val="0"/>
          <c:showCatName val="0"/>
          <c:showSerName val="0"/>
          <c:showPercent val="0"/>
          <c:showBubbleSize val="0"/>
        </c:dLbls>
        <c:smooth val="0"/>
        <c:axId val="445673952"/>
        <c:axId val="445674280"/>
      </c:lineChart>
      <c:catAx>
        <c:axId val="445673952"/>
        <c:scaling>
          <c:orientation val="minMax"/>
        </c:scaling>
        <c:delete val="0"/>
        <c:axPos val="b"/>
        <c:numFmt formatCode="General" sourceLinked="1"/>
        <c:majorTickMark val="none"/>
        <c:minorTickMark val="none"/>
        <c:tickLblPos val="low"/>
        <c:spPr>
          <a:noFill/>
          <a:ln w="12700" cap="flat" cmpd="sng" algn="ctr">
            <a:solidFill>
              <a:schemeClr val="accent2">
                <a:lumMod val="20000"/>
                <a:lumOff val="80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445674280"/>
        <c:crosses val="autoZero"/>
        <c:auto val="1"/>
        <c:lblAlgn val="ctr"/>
        <c:lblOffset val="100"/>
        <c:noMultiLvlLbl val="0"/>
      </c:catAx>
      <c:valAx>
        <c:axId val="445674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Mio. kr.</a:t>
                </a:r>
              </a:p>
            </c:rich>
          </c:tx>
          <c:layout>
            <c:manualLayout>
              <c:xMode val="edge"/>
              <c:yMode val="edge"/>
              <c:x val="1.1861932352795524E-2"/>
              <c:y val="0"/>
            </c:manualLayout>
          </c:layout>
          <c:overlay val="0"/>
          <c:spPr>
            <a:noFill/>
            <a:ln>
              <a:noFill/>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445673952"/>
        <c:crossesAt val="1"/>
        <c:crossBetween val="midCat"/>
      </c:valAx>
      <c:spPr>
        <a:noFill/>
        <a:ln>
          <a:noFill/>
        </a:ln>
        <a:effectLst/>
      </c:spPr>
    </c:plotArea>
    <c:legend>
      <c:legendPos val="t"/>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legend>
    <c:plotVisOnly val="1"/>
    <c:dispBlanksAs val="gap"/>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3.543165975220839E-2"/>
          <c:y val="4.7607819514363985E-2"/>
          <c:w val="0.94426792691969208"/>
          <c:h val="0.81253485893678745"/>
        </c:manualLayout>
      </c:layout>
      <c:barChart>
        <c:barDir val="bar"/>
        <c:grouping val="clustered"/>
        <c:varyColors val="0"/>
        <c:ser>
          <c:idx val="1"/>
          <c:order val="0"/>
          <c:tx>
            <c:v>bla</c:v>
          </c:tx>
          <c:spPr>
            <a:solidFill>
              <a:schemeClr val="accent5">
                <a:lumMod val="60000"/>
                <a:lumOff val="40000"/>
              </a:schemeClr>
            </a:solidFill>
            <a:ln w="25400">
              <a:noFill/>
            </a:ln>
            <a:effectLst/>
          </c:spPr>
          <c:invertIfNegative val="0"/>
          <c:dLbls>
            <c:dLbl>
              <c:idx val="9"/>
              <c:dLblPos val="inBase"/>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E8-4F0C-B9AD-805F7713CC09}"/>
                </c:ext>
              </c:extLst>
            </c:dLbl>
            <c:spPr>
              <a:noFill/>
              <a:ln>
                <a:no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da-DK"/>
              </a:p>
            </c:txPr>
            <c:dLblPos val="inBase"/>
            <c:showLegendKey val="0"/>
            <c:showVal val="0"/>
            <c:showCatName val="1"/>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Lit>
              <c:ptCount val="11"/>
              <c:pt idx="0">
                <c:v>Andre</c:v>
              </c:pt>
              <c:pt idx="1">
                <c:v>a</c:v>
              </c:pt>
              <c:pt idx="2">
                <c:v>b</c:v>
              </c:pt>
              <c:pt idx="3">
                <c:v>c</c:v>
              </c:pt>
              <c:pt idx="4">
                <c:v>d</c:v>
              </c:pt>
              <c:pt idx="5">
                <c:v>e</c:v>
              </c:pt>
              <c:pt idx="6">
                <c:v>f</c:v>
              </c:pt>
              <c:pt idx="7">
                <c:v>g</c:v>
              </c:pt>
              <c:pt idx="8">
                <c:v>h</c:v>
              </c:pt>
              <c:pt idx="9">
                <c:v>i</c:v>
              </c:pt>
              <c:pt idx="10">
                <c:v>j</c:v>
              </c:pt>
            </c:strLit>
          </c:cat>
          <c:val>
            <c:numLit>
              <c:formatCode>General</c:formatCode>
              <c:ptCount val="11"/>
              <c:pt idx="0">
                <c:v>15</c:v>
              </c:pt>
              <c:pt idx="1">
                <c:v>2</c:v>
              </c:pt>
              <c:pt idx="2">
                <c:v>3</c:v>
              </c:pt>
              <c:pt idx="3">
                <c:v>5</c:v>
              </c:pt>
              <c:pt idx="4">
                <c:v>2</c:v>
              </c:pt>
              <c:pt idx="5">
                <c:v>3</c:v>
              </c:pt>
              <c:pt idx="6">
                <c:v>4</c:v>
              </c:pt>
              <c:pt idx="7">
                <c:v>12</c:v>
              </c:pt>
              <c:pt idx="8">
                <c:v>14</c:v>
              </c:pt>
              <c:pt idx="9">
                <c:v>2</c:v>
              </c:pt>
              <c:pt idx="10">
                <c:v>4</c:v>
              </c:pt>
            </c:numLit>
          </c:val>
          <c:extLst>
            <c:ext xmlns:c16="http://schemas.microsoft.com/office/drawing/2014/chart" uri="{C3380CC4-5D6E-409C-BE32-E72D297353CC}">
              <c16:uniqueId val="{00000001-B1E8-4F0C-B9AD-805F7713CC09}"/>
            </c:ext>
          </c:extLst>
        </c:ser>
        <c:dLbls>
          <c:showLegendKey val="0"/>
          <c:showVal val="0"/>
          <c:showCatName val="0"/>
          <c:showSerName val="0"/>
          <c:showPercent val="0"/>
          <c:showBubbleSize val="0"/>
        </c:dLbls>
        <c:gapWidth val="10"/>
        <c:axId val="445673952"/>
        <c:axId val="445674280"/>
      </c:barChart>
      <c:catAx>
        <c:axId val="445673952"/>
        <c:scaling>
          <c:orientation val="minMax"/>
        </c:scaling>
        <c:delete val="1"/>
        <c:axPos val="l"/>
        <c:numFmt formatCode="General" sourceLinked="1"/>
        <c:majorTickMark val="none"/>
        <c:minorTickMark val="none"/>
        <c:tickLblPos val="low"/>
        <c:crossAx val="445674280"/>
        <c:crosses val="autoZero"/>
        <c:auto val="1"/>
        <c:lblAlgn val="ctr"/>
        <c:lblOffset val="100"/>
        <c:noMultiLvlLbl val="0"/>
      </c:catAx>
      <c:valAx>
        <c:axId val="445674280"/>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Mio. kr.</a:t>
                </a:r>
              </a:p>
            </c:rich>
          </c:tx>
          <c:layout>
            <c:manualLayout>
              <c:xMode val="edge"/>
              <c:yMode val="edge"/>
              <c:x val="8.0253031372222589E-3"/>
              <c:y val="0.88194939575345843"/>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title>
        <c:numFmt formatCode="#;#;" sourceLinked="0"/>
        <c:majorTickMark val="none"/>
        <c:minorTickMark val="none"/>
        <c:tickLblPos val="nextTo"/>
        <c:spPr>
          <a:noFill/>
          <a:ln>
            <a:solidFill>
              <a:schemeClr val="bg1">
                <a:lumMod val="85000"/>
              </a:schemeClr>
            </a:solidFill>
          </a:ln>
          <a:effectLst/>
        </c:spPr>
        <c:txPr>
          <a:bodyPr rot="0" spcFirstLastPara="1" vertOverflow="ellipsis"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a-DK"/>
          </a:p>
        </c:txPr>
        <c:crossAx val="44567395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7.19978362646614E-2"/>
          <c:y val="0.2002342796939115"/>
          <c:w val="0.89920211485532586"/>
          <c:h val="0.63956970167461458"/>
        </c:manualLayout>
      </c:layout>
      <c:barChart>
        <c:barDir val="col"/>
        <c:grouping val="stacked"/>
        <c:varyColors val="0"/>
        <c:ser>
          <c:idx val="1"/>
          <c:order val="0"/>
          <c:tx>
            <c:v>1</c:v>
          </c:tx>
          <c:spPr>
            <a:solidFill>
              <a:srgbClr val="2686AC"/>
            </a:solidFill>
            <a:ln>
              <a:noFill/>
            </a:ln>
            <a:effectLst/>
          </c:spPr>
          <c:invertIfNegative val="0"/>
          <c:cat>
            <c:numLit>
              <c:formatCode>General</c:formatCode>
              <c:ptCount val="2"/>
              <c:pt idx="0">
                <c:v>2</c:v>
              </c:pt>
              <c:pt idx="1">
                <c:v>1</c:v>
              </c:pt>
            </c:numLit>
          </c:cat>
          <c:val>
            <c:numLit>
              <c:formatCode>General</c:formatCode>
              <c:ptCount val="2"/>
              <c:pt idx="0">
                <c:v>1</c:v>
              </c:pt>
              <c:pt idx="1">
                <c:v>2</c:v>
              </c:pt>
            </c:numLit>
          </c:val>
          <c:extLst>
            <c:ext xmlns:c16="http://schemas.microsoft.com/office/drawing/2014/chart" uri="{C3380CC4-5D6E-409C-BE32-E72D297353CC}">
              <c16:uniqueId val="{00000000-BA01-42E4-BC84-DD0A31A33727}"/>
            </c:ext>
          </c:extLst>
        </c:ser>
        <c:ser>
          <c:idx val="2"/>
          <c:order val="1"/>
          <c:tx>
            <c:v>1</c:v>
          </c:tx>
          <c:spPr>
            <a:solidFill>
              <a:schemeClr val="accent5"/>
            </a:solidFill>
            <a:ln>
              <a:noFill/>
            </a:ln>
            <a:effectLst/>
          </c:spPr>
          <c:invertIfNegative val="0"/>
          <c:cat>
            <c:numLit>
              <c:formatCode>General</c:formatCode>
              <c:ptCount val="2"/>
              <c:pt idx="0">
                <c:v>2</c:v>
              </c:pt>
              <c:pt idx="1">
                <c:v>1</c:v>
              </c:pt>
            </c:numLit>
          </c:cat>
          <c:val>
            <c:numLit>
              <c:formatCode>General</c:formatCode>
              <c:ptCount val="2"/>
              <c:pt idx="0">
                <c:v>1</c:v>
              </c:pt>
              <c:pt idx="1">
                <c:v>2</c:v>
              </c:pt>
            </c:numLit>
          </c:val>
          <c:extLst>
            <c:ext xmlns:c16="http://schemas.microsoft.com/office/drawing/2014/chart" uri="{C3380CC4-5D6E-409C-BE32-E72D297353CC}">
              <c16:uniqueId val="{00000001-BA01-42E4-BC84-DD0A31A33727}"/>
            </c:ext>
          </c:extLst>
        </c:ser>
        <c:ser>
          <c:idx val="4"/>
          <c:order val="2"/>
          <c:tx>
            <c:v>1</c:v>
          </c:tx>
          <c:spPr>
            <a:solidFill>
              <a:schemeClr val="accent5">
                <a:tint val="54000"/>
              </a:schemeClr>
            </a:solidFill>
            <a:ln>
              <a:noFill/>
            </a:ln>
            <a:effectLst/>
          </c:spPr>
          <c:invertIfNegative val="0"/>
          <c:cat>
            <c:numLit>
              <c:formatCode>General</c:formatCode>
              <c:ptCount val="2"/>
              <c:pt idx="0">
                <c:v>2</c:v>
              </c:pt>
              <c:pt idx="1">
                <c:v>1</c:v>
              </c:pt>
            </c:numLit>
          </c:cat>
          <c:val>
            <c:numLit>
              <c:formatCode>General</c:formatCode>
              <c:ptCount val="2"/>
              <c:pt idx="0">
                <c:v>1</c:v>
              </c:pt>
              <c:pt idx="1">
                <c:v>2</c:v>
              </c:pt>
            </c:numLit>
          </c:val>
          <c:extLst>
            <c:ext xmlns:c16="http://schemas.microsoft.com/office/drawing/2014/chart" uri="{C3380CC4-5D6E-409C-BE32-E72D297353CC}">
              <c16:uniqueId val="{00000002-BA01-42E4-BC84-DD0A31A33727}"/>
            </c:ext>
          </c:extLst>
        </c:ser>
        <c:ser>
          <c:idx val="0"/>
          <c:order val="3"/>
          <c:tx>
            <c:v>1</c:v>
          </c:tx>
          <c:spPr>
            <a:solidFill>
              <a:schemeClr val="bg1">
                <a:lumMod val="50000"/>
              </a:schemeClr>
            </a:solidFill>
            <a:ln>
              <a:noFill/>
            </a:ln>
            <a:effectLst/>
          </c:spPr>
          <c:invertIfNegative val="0"/>
          <c:cat>
            <c:numLit>
              <c:formatCode>General</c:formatCode>
              <c:ptCount val="2"/>
              <c:pt idx="0">
                <c:v>2</c:v>
              </c:pt>
              <c:pt idx="1">
                <c:v>1</c:v>
              </c:pt>
            </c:numLit>
          </c:cat>
          <c:val>
            <c:numLit>
              <c:formatCode>General</c:formatCode>
              <c:ptCount val="2"/>
              <c:pt idx="0">
                <c:v>1</c:v>
              </c:pt>
              <c:pt idx="1">
                <c:v>2</c:v>
              </c:pt>
            </c:numLit>
          </c:val>
          <c:extLst>
            <c:ext xmlns:c16="http://schemas.microsoft.com/office/drawing/2014/chart" uri="{C3380CC4-5D6E-409C-BE32-E72D297353CC}">
              <c16:uniqueId val="{00000003-BA01-42E4-BC84-DD0A31A33727}"/>
            </c:ext>
          </c:extLst>
        </c:ser>
        <c:dLbls>
          <c:showLegendKey val="0"/>
          <c:showVal val="0"/>
          <c:showCatName val="0"/>
          <c:showSerName val="0"/>
          <c:showPercent val="0"/>
          <c:showBubbleSize val="0"/>
        </c:dLbls>
        <c:gapWidth val="300"/>
        <c:overlap val="100"/>
        <c:axId val="445673952"/>
        <c:axId val="445674280"/>
      </c:barChart>
      <c:catAx>
        <c:axId val="445673952"/>
        <c:scaling>
          <c:orientation val="minMax"/>
        </c:scaling>
        <c:delete val="0"/>
        <c:axPos val="b"/>
        <c:numFmt formatCode="General" sourceLinked="1"/>
        <c:majorTickMark val="none"/>
        <c:minorTickMark val="none"/>
        <c:tickLblPos val="low"/>
        <c:spPr>
          <a:noFill/>
          <a:ln w="12700" cap="flat" cmpd="sng" algn="ctr">
            <a:solidFill>
              <a:schemeClr val="accent2">
                <a:lumMod val="20000"/>
                <a:lumOff val="80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da-DK"/>
          </a:p>
        </c:txPr>
        <c:crossAx val="445674280"/>
        <c:crosses val="autoZero"/>
        <c:auto val="1"/>
        <c:lblAlgn val="ctr"/>
        <c:lblOffset val="100"/>
        <c:noMultiLvlLbl val="0"/>
      </c:catAx>
      <c:valAx>
        <c:axId val="445674280"/>
        <c:scaling>
          <c:orientation val="minMax"/>
        </c:scaling>
        <c:delete val="0"/>
        <c:axPos val="l"/>
        <c:majorGridlines>
          <c:spPr>
            <a:ln w="9525" cap="flat" cmpd="sng" algn="ctr">
              <a:solidFill>
                <a:schemeClr val="tx1">
                  <a:lumMod val="15000"/>
                  <a:lumOff val="85000"/>
                </a:schemeClr>
              </a:solidFill>
              <a:prstDash val="solid"/>
              <a:round/>
            </a:ln>
            <a:effectLst/>
          </c:spPr>
        </c:majorGridlines>
        <c:title>
          <c:tx>
            <c:rich>
              <a:bodyPr rot="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r>
                  <a:rPr lang="en-US" sz="900"/>
                  <a:t>Mio. kr.</a:t>
                </a:r>
              </a:p>
            </c:rich>
          </c:tx>
          <c:layout>
            <c:manualLayout>
              <c:xMode val="edge"/>
              <c:yMode val="edge"/>
              <c:x val="4.4667775506091172E-3"/>
              <c:y val="1.7386361736631083E-5"/>
            </c:manualLayout>
          </c:layout>
          <c:overlay val="0"/>
          <c:spPr>
            <a:noFill/>
            <a:ln>
              <a:noFill/>
            </a:ln>
            <a:effectLst/>
          </c:spPr>
          <c:txPr>
            <a:bodyPr rot="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da-DK"/>
            </a:p>
          </c:txPr>
        </c:title>
        <c:numFmt formatCode="General" sourceLinked="1"/>
        <c:majorTickMark val="none"/>
        <c:minorTickMark val="none"/>
        <c:tickLblPos val="nextTo"/>
        <c:spPr>
          <a:noFill/>
          <a:ln w="9525" cap="rnd" cmpd="sng" algn="ctr">
            <a:noFill/>
            <a:prstDash val="solid"/>
            <a:round/>
          </a:ln>
          <a:effectLst/>
        </c:spPr>
        <c:txPr>
          <a:bodyPr rot="-60000000" spcFirstLastPara="1" vertOverflow="ellipsis" vert="horz"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da-DK"/>
          </a:p>
        </c:txPr>
        <c:crossAx val="445673952"/>
        <c:crosses val="autoZero"/>
        <c:crossBetween val="between"/>
      </c:valAx>
      <c:spPr>
        <a:noFill/>
        <a:ln>
          <a:noFill/>
        </a:ln>
        <a:effectLst/>
      </c:spPr>
    </c:plotArea>
    <c:legend>
      <c:legendPos val="t"/>
      <c:overlay val="1"/>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da-DK"/>
        </a:p>
      </c:txPr>
    </c:legend>
    <c:plotVisOnly val="1"/>
    <c:dispBlanksAs val="gap"/>
    <c:showDLblsOverMax val="0"/>
  </c:chart>
  <c:spPr>
    <a:noFill/>
    <a:ln w="9525" cap="flat" cmpd="sng" algn="ctr">
      <a:noFill/>
      <a:prstDash val="solid"/>
      <a:round/>
    </a:ln>
    <a:effectLst/>
  </c:spPr>
  <c:txPr>
    <a:bodyPr/>
    <a:lstStyle/>
    <a:p>
      <a:pPr>
        <a:defRPr>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4.png"/><Relationship Id="rId7" Type="http://schemas.openxmlformats.org/officeDocument/2006/relationships/chart" Target="../charts/chart4.xml"/><Relationship Id="rId2" Type="http://schemas.microsoft.com/office/2007/relationships/hdphoto" Target="../media/hdphoto1.wdp"/><Relationship Id="rId1" Type="http://schemas.openxmlformats.org/officeDocument/2006/relationships/image" Target="../media/image3.png"/><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47625</xdr:rowOff>
    </xdr:from>
    <xdr:to>
      <xdr:col>2</xdr:col>
      <xdr:colOff>1200149</xdr:colOff>
      <xdr:row>0</xdr:row>
      <xdr:rowOff>524740</xdr:rowOff>
    </xdr:to>
    <xdr:pic>
      <xdr:nvPicPr>
        <xdr:cNvPr id="4" name="g0+J/Xhz78jw0/qGEagnxg==" descr="s_0_##md_0_model_scenario-assumptions|md_2_scenarios_start|md_2_start_0_1#_______#md_0_model_scenario-assumptions__logo#s_2_rLogo">
          <a:extLst>
            <a:ext uri="{FF2B5EF4-FFF2-40B4-BE49-F238E27FC236}">
              <a16:creationId xmlns:a16="http://schemas.microsoft.com/office/drawing/2014/main" id="{00000000-0008-0000-0100-000004000000}"/>
            </a:ext>
          </a:extLst>
        </xdr:cNvPr>
        <xdr:cNvPicPr>
          <a:picLocks/>
        </xdr:cNvPicPr>
      </xdr:nvPicPr>
      <xdr:blipFill>
        <a:blip xmlns:r="http://schemas.openxmlformats.org/officeDocument/2006/relationships" r:embed="rId1" cstate="print">
          <a:biLevel thresh="25000"/>
          <a:extLst>
            <a:ext uri="{28A0092B-C50C-407E-A947-70E740481C1C}">
              <a14:useLocalDpi xmlns:a14="http://schemas.microsoft.com/office/drawing/2010/main" val="0"/>
            </a:ext>
          </a:extLst>
        </a:blip>
        <a:stretch>
          <a:fillRect/>
        </a:stretch>
      </xdr:blipFill>
      <xdr:spPr>
        <a:xfrm>
          <a:off x="361950" y="47625"/>
          <a:ext cx="1257299" cy="2770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1</xdr:row>
      <xdr:rowOff>152277</xdr:rowOff>
    </xdr:from>
    <xdr:to>
      <xdr:col>14</xdr:col>
      <xdr:colOff>0</xdr:colOff>
      <xdr:row>1</xdr:row>
      <xdr:rowOff>426597</xdr:rowOff>
    </xdr:to>
    <xdr:sp macro="" textlink="">
      <xdr:nvSpPr>
        <xdr:cNvPr id="3" name="svg_title">
          <a:extLst>
            <a:ext uri="{FF2B5EF4-FFF2-40B4-BE49-F238E27FC236}">
              <a16:creationId xmlns:a16="http://schemas.microsoft.com/office/drawing/2014/main" id="{00000000-0008-0000-0200-000003000000}"/>
            </a:ext>
          </a:extLst>
        </xdr:cNvPr>
        <xdr:cNvSpPr/>
      </xdr:nvSpPr>
      <xdr:spPr>
        <a:xfrm>
          <a:off x="8743950" y="0"/>
          <a:ext cx="328373" cy="0"/>
        </a:xfrm>
        <a:custGeom>
          <a:avLst/>
          <a:gdLst>
            <a:gd name="connsiteX0" fmla="*/ 4998043 w 6662057"/>
            <a:gd name="connsiteY0" fmla="*/ 3332528 h 6662057"/>
            <a:gd name="connsiteX1" fmla="*/ 4959007 w 6662057"/>
            <a:gd name="connsiteY1" fmla="*/ 3432285 h 6662057"/>
            <a:gd name="connsiteX2" fmla="*/ 3571078 w 6662057"/>
            <a:gd name="connsiteY2" fmla="*/ 4820214 h 6662057"/>
            <a:gd name="connsiteX3" fmla="*/ 3471321 w 6662057"/>
            <a:gd name="connsiteY3" fmla="*/ 4859250 h 6662057"/>
            <a:gd name="connsiteX4" fmla="*/ 3373732 w 6662057"/>
            <a:gd name="connsiteY4" fmla="*/ 4818046 h 6662057"/>
            <a:gd name="connsiteX5" fmla="*/ 3332528 w 6662057"/>
            <a:gd name="connsiteY5" fmla="*/ 4720457 h 6662057"/>
            <a:gd name="connsiteX6" fmla="*/ 3332528 w 6662057"/>
            <a:gd name="connsiteY6" fmla="*/ 3887700 h 6662057"/>
            <a:gd name="connsiteX7" fmla="*/ 1805807 w 6662057"/>
            <a:gd name="connsiteY7" fmla="*/ 3887700 h 6662057"/>
            <a:gd name="connsiteX8" fmla="*/ 1708218 w 6662057"/>
            <a:gd name="connsiteY8" fmla="*/ 3846495 h 6662057"/>
            <a:gd name="connsiteX9" fmla="*/ 1667014 w 6662057"/>
            <a:gd name="connsiteY9" fmla="*/ 3748907 h 6662057"/>
            <a:gd name="connsiteX10" fmla="*/ 1667014 w 6662057"/>
            <a:gd name="connsiteY10" fmla="*/ 2916150 h 6662057"/>
            <a:gd name="connsiteX11" fmla="*/ 1708218 w 6662057"/>
            <a:gd name="connsiteY11" fmla="*/ 2818561 h 6662057"/>
            <a:gd name="connsiteX12" fmla="*/ 1805807 w 6662057"/>
            <a:gd name="connsiteY12" fmla="*/ 2777357 h 6662057"/>
            <a:gd name="connsiteX13" fmla="*/ 3332528 w 6662057"/>
            <a:gd name="connsiteY13" fmla="*/ 2777357 h 6662057"/>
            <a:gd name="connsiteX14" fmla="*/ 3332528 w 6662057"/>
            <a:gd name="connsiteY14" fmla="*/ 1944599 h 6662057"/>
            <a:gd name="connsiteX15" fmla="*/ 3371564 w 6662057"/>
            <a:gd name="connsiteY15" fmla="*/ 1844842 h 6662057"/>
            <a:gd name="connsiteX16" fmla="*/ 3471321 w 6662057"/>
            <a:gd name="connsiteY16" fmla="*/ 1805807 h 6662057"/>
            <a:gd name="connsiteX17" fmla="*/ 3575416 w 6662057"/>
            <a:gd name="connsiteY17" fmla="*/ 1849179 h 6662057"/>
            <a:gd name="connsiteX18" fmla="*/ 4959007 w 6662057"/>
            <a:gd name="connsiteY18" fmla="*/ 3232771 h 6662057"/>
            <a:gd name="connsiteX19" fmla="*/ 4998043 w 6662057"/>
            <a:gd name="connsiteY19" fmla="*/ 3332528 h 6662057"/>
            <a:gd name="connsiteX20" fmla="*/ 5692007 w 6662057"/>
            <a:gd name="connsiteY20" fmla="*/ 3332528 h 6662057"/>
            <a:gd name="connsiteX21" fmla="*/ 5375386 w 6662057"/>
            <a:gd name="connsiteY21" fmla="*/ 2148452 h 6662057"/>
            <a:gd name="connsiteX22" fmla="*/ 4516605 w 6662057"/>
            <a:gd name="connsiteY22" fmla="*/ 1289671 h 6662057"/>
            <a:gd name="connsiteX23" fmla="*/ 3332528 w 6662057"/>
            <a:gd name="connsiteY23" fmla="*/ 973049 h 6662057"/>
            <a:gd name="connsiteX24" fmla="*/ 2148452 w 6662057"/>
            <a:gd name="connsiteY24" fmla="*/ 1289671 h 6662057"/>
            <a:gd name="connsiteX25" fmla="*/ 1289671 w 6662057"/>
            <a:gd name="connsiteY25" fmla="*/ 2148452 h 6662057"/>
            <a:gd name="connsiteX26" fmla="*/ 973049 w 6662057"/>
            <a:gd name="connsiteY26" fmla="*/ 3332528 h 6662057"/>
            <a:gd name="connsiteX27" fmla="*/ 1289671 w 6662057"/>
            <a:gd name="connsiteY27" fmla="*/ 4516605 h 6662057"/>
            <a:gd name="connsiteX28" fmla="*/ 2148452 w 6662057"/>
            <a:gd name="connsiteY28" fmla="*/ 5375386 h 6662057"/>
            <a:gd name="connsiteX29" fmla="*/ 3332528 w 6662057"/>
            <a:gd name="connsiteY29" fmla="*/ 5692007 h 6662057"/>
            <a:gd name="connsiteX30" fmla="*/ 4516605 w 6662057"/>
            <a:gd name="connsiteY30" fmla="*/ 5375386 h 6662057"/>
            <a:gd name="connsiteX31" fmla="*/ 5375386 w 6662057"/>
            <a:gd name="connsiteY31" fmla="*/ 4516605 h 6662057"/>
            <a:gd name="connsiteX32" fmla="*/ 5692007 w 6662057"/>
            <a:gd name="connsiteY32" fmla="*/ 3332528 h 6662057"/>
            <a:gd name="connsiteX33" fmla="*/ 6663557 w 6662057"/>
            <a:gd name="connsiteY33" fmla="*/ 3332528 h 6662057"/>
            <a:gd name="connsiteX34" fmla="*/ 6216817 w 6662057"/>
            <a:gd name="connsiteY34" fmla="*/ 5004548 h 6662057"/>
            <a:gd name="connsiteX35" fmla="*/ 5004548 w 6662057"/>
            <a:gd name="connsiteY35" fmla="*/ 6216817 h 6662057"/>
            <a:gd name="connsiteX36" fmla="*/ 3332528 w 6662057"/>
            <a:gd name="connsiteY36" fmla="*/ 6663557 h 6662057"/>
            <a:gd name="connsiteX37" fmla="*/ 1660508 w 6662057"/>
            <a:gd name="connsiteY37" fmla="*/ 6216817 h 6662057"/>
            <a:gd name="connsiteX38" fmla="*/ 448239 w 6662057"/>
            <a:gd name="connsiteY38" fmla="*/ 5004548 h 6662057"/>
            <a:gd name="connsiteX39" fmla="*/ 1499 w 6662057"/>
            <a:gd name="connsiteY39" fmla="*/ 3332528 h 6662057"/>
            <a:gd name="connsiteX40" fmla="*/ 448239 w 6662057"/>
            <a:gd name="connsiteY40" fmla="*/ 1660508 h 6662057"/>
            <a:gd name="connsiteX41" fmla="*/ 1660508 w 6662057"/>
            <a:gd name="connsiteY41" fmla="*/ 448239 h 6662057"/>
            <a:gd name="connsiteX42" fmla="*/ 3332528 w 6662057"/>
            <a:gd name="connsiteY42" fmla="*/ 1499 h 6662057"/>
            <a:gd name="connsiteX43" fmla="*/ 5004548 w 6662057"/>
            <a:gd name="connsiteY43" fmla="*/ 448239 h 6662057"/>
            <a:gd name="connsiteX44" fmla="*/ 6216817 w 6662057"/>
            <a:gd name="connsiteY44" fmla="*/ 1660508 h 6662057"/>
            <a:gd name="connsiteX45" fmla="*/ 6663557 w 6662057"/>
            <a:gd name="connsiteY45" fmla="*/ 3332528 h 6662057"/>
            <a:gd name="connsiteX0" fmla="*/ 4996545 w 6662058"/>
            <a:gd name="connsiteY0" fmla="*/ 3331030 h 6662058"/>
            <a:gd name="connsiteX1" fmla="*/ 4957509 w 6662058"/>
            <a:gd name="connsiteY1" fmla="*/ 3430787 h 6662058"/>
            <a:gd name="connsiteX2" fmla="*/ 3569580 w 6662058"/>
            <a:gd name="connsiteY2" fmla="*/ 4818716 h 6662058"/>
            <a:gd name="connsiteX3" fmla="*/ 3469823 w 6662058"/>
            <a:gd name="connsiteY3" fmla="*/ 4857752 h 6662058"/>
            <a:gd name="connsiteX4" fmla="*/ 3372234 w 6662058"/>
            <a:gd name="connsiteY4" fmla="*/ 4816548 h 6662058"/>
            <a:gd name="connsiteX5" fmla="*/ 3331030 w 6662058"/>
            <a:gd name="connsiteY5" fmla="*/ 4718959 h 6662058"/>
            <a:gd name="connsiteX6" fmla="*/ 3331030 w 6662058"/>
            <a:gd name="connsiteY6" fmla="*/ 3886202 h 6662058"/>
            <a:gd name="connsiteX7" fmla="*/ 1804309 w 6662058"/>
            <a:gd name="connsiteY7" fmla="*/ 3886202 h 6662058"/>
            <a:gd name="connsiteX8" fmla="*/ 1706720 w 6662058"/>
            <a:gd name="connsiteY8" fmla="*/ 3844997 h 6662058"/>
            <a:gd name="connsiteX9" fmla="*/ 1665516 w 6662058"/>
            <a:gd name="connsiteY9" fmla="*/ 3747409 h 6662058"/>
            <a:gd name="connsiteX10" fmla="*/ 1665516 w 6662058"/>
            <a:gd name="connsiteY10" fmla="*/ 2914652 h 6662058"/>
            <a:gd name="connsiteX11" fmla="*/ 1706720 w 6662058"/>
            <a:gd name="connsiteY11" fmla="*/ 2817063 h 6662058"/>
            <a:gd name="connsiteX12" fmla="*/ 1804309 w 6662058"/>
            <a:gd name="connsiteY12" fmla="*/ 2775859 h 6662058"/>
            <a:gd name="connsiteX13" fmla="*/ 3331030 w 6662058"/>
            <a:gd name="connsiteY13" fmla="*/ 2775859 h 6662058"/>
            <a:gd name="connsiteX14" fmla="*/ 3331030 w 6662058"/>
            <a:gd name="connsiteY14" fmla="*/ 1943101 h 6662058"/>
            <a:gd name="connsiteX15" fmla="*/ 3370066 w 6662058"/>
            <a:gd name="connsiteY15" fmla="*/ 1843344 h 6662058"/>
            <a:gd name="connsiteX16" fmla="*/ 3469823 w 6662058"/>
            <a:gd name="connsiteY16" fmla="*/ 1804309 h 6662058"/>
            <a:gd name="connsiteX17" fmla="*/ 3573918 w 6662058"/>
            <a:gd name="connsiteY17" fmla="*/ 1847681 h 6662058"/>
            <a:gd name="connsiteX18" fmla="*/ 4957509 w 6662058"/>
            <a:gd name="connsiteY18" fmla="*/ 3231273 h 6662058"/>
            <a:gd name="connsiteX19" fmla="*/ 4996545 w 6662058"/>
            <a:gd name="connsiteY19" fmla="*/ 3331030 h 6662058"/>
            <a:gd name="connsiteX20" fmla="*/ 5690509 w 6662058"/>
            <a:gd name="connsiteY20" fmla="*/ 3331030 h 6662058"/>
            <a:gd name="connsiteX21" fmla="*/ 5373888 w 6662058"/>
            <a:gd name="connsiteY21" fmla="*/ 2146954 h 6662058"/>
            <a:gd name="connsiteX22" fmla="*/ 4769560 w 6662058"/>
            <a:gd name="connsiteY22" fmla="*/ 871794 h 6662058"/>
            <a:gd name="connsiteX23" fmla="*/ 3331030 w 6662058"/>
            <a:gd name="connsiteY23" fmla="*/ 971551 h 6662058"/>
            <a:gd name="connsiteX24" fmla="*/ 2146954 w 6662058"/>
            <a:gd name="connsiteY24" fmla="*/ 1288173 h 6662058"/>
            <a:gd name="connsiteX25" fmla="*/ 1288173 w 6662058"/>
            <a:gd name="connsiteY25" fmla="*/ 2146954 h 6662058"/>
            <a:gd name="connsiteX26" fmla="*/ 971551 w 6662058"/>
            <a:gd name="connsiteY26" fmla="*/ 3331030 h 6662058"/>
            <a:gd name="connsiteX27" fmla="*/ 1288173 w 6662058"/>
            <a:gd name="connsiteY27" fmla="*/ 4515107 h 6662058"/>
            <a:gd name="connsiteX28" fmla="*/ 2146954 w 6662058"/>
            <a:gd name="connsiteY28" fmla="*/ 5373888 h 6662058"/>
            <a:gd name="connsiteX29" fmla="*/ 3331030 w 6662058"/>
            <a:gd name="connsiteY29" fmla="*/ 5690509 h 6662058"/>
            <a:gd name="connsiteX30" fmla="*/ 4515107 w 6662058"/>
            <a:gd name="connsiteY30" fmla="*/ 5373888 h 6662058"/>
            <a:gd name="connsiteX31" fmla="*/ 5373888 w 6662058"/>
            <a:gd name="connsiteY31" fmla="*/ 4515107 h 6662058"/>
            <a:gd name="connsiteX32" fmla="*/ 5690509 w 6662058"/>
            <a:gd name="connsiteY32" fmla="*/ 3331030 h 6662058"/>
            <a:gd name="connsiteX33" fmla="*/ 6662059 w 6662058"/>
            <a:gd name="connsiteY33" fmla="*/ 3331030 h 6662058"/>
            <a:gd name="connsiteX34" fmla="*/ 6215319 w 6662058"/>
            <a:gd name="connsiteY34" fmla="*/ 5003050 h 6662058"/>
            <a:gd name="connsiteX35" fmla="*/ 5003050 w 6662058"/>
            <a:gd name="connsiteY35" fmla="*/ 6215319 h 6662058"/>
            <a:gd name="connsiteX36" fmla="*/ 3331030 w 6662058"/>
            <a:gd name="connsiteY36" fmla="*/ 6662059 h 6662058"/>
            <a:gd name="connsiteX37" fmla="*/ 1659010 w 6662058"/>
            <a:gd name="connsiteY37" fmla="*/ 6215319 h 6662058"/>
            <a:gd name="connsiteX38" fmla="*/ 446741 w 6662058"/>
            <a:gd name="connsiteY38" fmla="*/ 5003050 h 6662058"/>
            <a:gd name="connsiteX39" fmla="*/ 1 w 6662058"/>
            <a:gd name="connsiteY39" fmla="*/ 3331030 h 6662058"/>
            <a:gd name="connsiteX40" fmla="*/ 446741 w 6662058"/>
            <a:gd name="connsiteY40" fmla="*/ 1659010 h 6662058"/>
            <a:gd name="connsiteX41" fmla="*/ 1659010 w 6662058"/>
            <a:gd name="connsiteY41" fmla="*/ 446741 h 6662058"/>
            <a:gd name="connsiteX42" fmla="*/ 3331030 w 6662058"/>
            <a:gd name="connsiteY42" fmla="*/ 1 h 6662058"/>
            <a:gd name="connsiteX43" fmla="*/ 5003050 w 6662058"/>
            <a:gd name="connsiteY43" fmla="*/ 446741 h 6662058"/>
            <a:gd name="connsiteX44" fmla="*/ 6215319 w 6662058"/>
            <a:gd name="connsiteY44" fmla="*/ 1659010 h 6662058"/>
            <a:gd name="connsiteX45" fmla="*/ 6662059 w 6662058"/>
            <a:gd name="connsiteY45" fmla="*/ 3331030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5690508 w 6662058"/>
            <a:gd name="connsiteY20" fmla="*/ 3331029 h 6662058"/>
            <a:gd name="connsiteX21" fmla="*/ 5373887 w 6662058"/>
            <a:gd name="connsiteY21" fmla="*/ 2146953 h 6662058"/>
            <a:gd name="connsiteX22" fmla="*/ 4769559 w 6662058"/>
            <a:gd name="connsiteY22" fmla="*/ 871793 h 6662058"/>
            <a:gd name="connsiteX23" fmla="*/ 3342595 w 6662058"/>
            <a:gd name="connsiteY23" fmla="*/ 983116 h 6662058"/>
            <a:gd name="connsiteX24" fmla="*/ 2146953 w 6662058"/>
            <a:gd name="connsiteY24" fmla="*/ 1288172 h 6662058"/>
            <a:gd name="connsiteX25" fmla="*/ 1288172 w 6662058"/>
            <a:gd name="connsiteY25" fmla="*/ 2146953 h 6662058"/>
            <a:gd name="connsiteX26" fmla="*/ 971550 w 6662058"/>
            <a:gd name="connsiteY26" fmla="*/ 3331029 h 6662058"/>
            <a:gd name="connsiteX27" fmla="*/ 1288172 w 6662058"/>
            <a:gd name="connsiteY27" fmla="*/ 4515106 h 6662058"/>
            <a:gd name="connsiteX28" fmla="*/ 2146953 w 6662058"/>
            <a:gd name="connsiteY28" fmla="*/ 5373887 h 6662058"/>
            <a:gd name="connsiteX29" fmla="*/ 3331029 w 6662058"/>
            <a:gd name="connsiteY29" fmla="*/ 5690508 h 6662058"/>
            <a:gd name="connsiteX30" fmla="*/ 4515106 w 6662058"/>
            <a:gd name="connsiteY30" fmla="*/ 5373887 h 6662058"/>
            <a:gd name="connsiteX31" fmla="*/ 5373887 w 6662058"/>
            <a:gd name="connsiteY31" fmla="*/ 4515106 h 6662058"/>
            <a:gd name="connsiteX32" fmla="*/ 5690508 w 6662058"/>
            <a:gd name="connsiteY32" fmla="*/ 3331029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5690508 w 6662058"/>
            <a:gd name="connsiteY20" fmla="*/ 3331029 h 6662058"/>
            <a:gd name="connsiteX21" fmla="*/ 5373887 w 6662058"/>
            <a:gd name="connsiteY21" fmla="*/ 2146953 h 6662058"/>
            <a:gd name="connsiteX22" fmla="*/ 4769559 w 6662058"/>
            <a:gd name="connsiteY22" fmla="*/ 871793 h 6662058"/>
            <a:gd name="connsiteX23" fmla="*/ 3342595 w 6662058"/>
            <a:gd name="connsiteY23" fmla="*/ 983116 h 6662058"/>
            <a:gd name="connsiteX24" fmla="*/ 1927198 w 6662058"/>
            <a:gd name="connsiteY24" fmla="*/ 894926 h 6662058"/>
            <a:gd name="connsiteX25" fmla="*/ 1288172 w 6662058"/>
            <a:gd name="connsiteY25" fmla="*/ 2146953 h 6662058"/>
            <a:gd name="connsiteX26" fmla="*/ 971550 w 6662058"/>
            <a:gd name="connsiteY26" fmla="*/ 3331029 h 6662058"/>
            <a:gd name="connsiteX27" fmla="*/ 1288172 w 6662058"/>
            <a:gd name="connsiteY27" fmla="*/ 4515106 h 6662058"/>
            <a:gd name="connsiteX28" fmla="*/ 2146953 w 6662058"/>
            <a:gd name="connsiteY28" fmla="*/ 5373887 h 6662058"/>
            <a:gd name="connsiteX29" fmla="*/ 3331029 w 6662058"/>
            <a:gd name="connsiteY29" fmla="*/ 5690508 h 6662058"/>
            <a:gd name="connsiteX30" fmla="*/ 4515106 w 6662058"/>
            <a:gd name="connsiteY30" fmla="*/ 5373887 h 6662058"/>
            <a:gd name="connsiteX31" fmla="*/ 5373887 w 6662058"/>
            <a:gd name="connsiteY31" fmla="*/ 4515106 h 6662058"/>
            <a:gd name="connsiteX32" fmla="*/ 5690508 w 6662058"/>
            <a:gd name="connsiteY32" fmla="*/ 3331029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5690508 w 6662058"/>
            <a:gd name="connsiteY20" fmla="*/ 3331029 h 6662058"/>
            <a:gd name="connsiteX21" fmla="*/ 5373887 w 6662058"/>
            <a:gd name="connsiteY21" fmla="*/ 2146953 h 6662058"/>
            <a:gd name="connsiteX22" fmla="*/ 4769559 w 6662058"/>
            <a:gd name="connsiteY22" fmla="*/ 871793 h 6662058"/>
            <a:gd name="connsiteX23" fmla="*/ 3342595 w 6662058"/>
            <a:gd name="connsiteY23" fmla="*/ 983116 h 6662058"/>
            <a:gd name="connsiteX24" fmla="*/ 1927198 w 6662058"/>
            <a:gd name="connsiteY24" fmla="*/ 894926 h 6662058"/>
            <a:gd name="connsiteX25" fmla="*/ 1288172 w 6662058"/>
            <a:gd name="connsiteY25" fmla="*/ 2146953 h 6662058"/>
            <a:gd name="connsiteX26" fmla="*/ 508907 w 6662058"/>
            <a:gd name="connsiteY26" fmla="*/ 3331030 h 6662058"/>
            <a:gd name="connsiteX27" fmla="*/ 1288172 w 6662058"/>
            <a:gd name="connsiteY27" fmla="*/ 4515106 h 6662058"/>
            <a:gd name="connsiteX28" fmla="*/ 2146953 w 6662058"/>
            <a:gd name="connsiteY28" fmla="*/ 5373887 h 6662058"/>
            <a:gd name="connsiteX29" fmla="*/ 3331029 w 6662058"/>
            <a:gd name="connsiteY29" fmla="*/ 5690508 h 6662058"/>
            <a:gd name="connsiteX30" fmla="*/ 4515106 w 6662058"/>
            <a:gd name="connsiteY30" fmla="*/ 5373887 h 6662058"/>
            <a:gd name="connsiteX31" fmla="*/ 5373887 w 6662058"/>
            <a:gd name="connsiteY31" fmla="*/ 4515106 h 6662058"/>
            <a:gd name="connsiteX32" fmla="*/ 5690508 w 6662058"/>
            <a:gd name="connsiteY32" fmla="*/ 3331029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5690508 w 6662058"/>
            <a:gd name="connsiteY20" fmla="*/ 3331029 h 6662058"/>
            <a:gd name="connsiteX21" fmla="*/ 5373887 w 6662058"/>
            <a:gd name="connsiteY21" fmla="*/ 2146953 h 6662058"/>
            <a:gd name="connsiteX22" fmla="*/ 4769559 w 6662058"/>
            <a:gd name="connsiteY22" fmla="*/ 871793 h 6662058"/>
            <a:gd name="connsiteX23" fmla="*/ 3342595 w 6662058"/>
            <a:gd name="connsiteY23" fmla="*/ 983116 h 6662058"/>
            <a:gd name="connsiteX24" fmla="*/ 1927198 w 6662058"/>
            <a:gd name="connsiteY24" fmla="*/ 894926 h 6662058"/>
            <a:gd name="connsiteX25" fmla="*/ 1288172 w 6662058"/>
            <a:gd name="connsiteY25" fmla="*/ 2146953 h 6662058"/>
            <a:gd name="connsiteX26" fmla="*/ 508907 w 6662058"/>
            <a:gd name="connsiteY26" fmla="*/ 3331030 h 6662058"/>
            <a:gd name="connsiteX27" fmla="*/ 1288172 w 6662058"/>
            <a:gd name="connsiteY27" fmla="*/ 4515106 h 6662058"/>
            <a:gd name="connsiteX28" fmla="*/ 1927198 w 6662058"/>
            <a:gd name="connsiteY28" fmla="*/ 5790265 h 6662058"/>
            <a:gd name="connsiteX29" fmla="*/ 3331029 w 6662058"/>
            <a:gd name="connsiteY29" fmla="*/ 5690508 h 6662058"/>
            <a:gd name="connsiteX30" fmla="*/ 4515106 w 6662058"/>
            <a:gd name="connsiteY30" fmla="*/ 5373887 h 6662058"/>
            <a:gd name="connsiteX31" fmla="*/ 5373887 w 6662058"/>
            <a:gd name="connsiteY31" fmla="*/ 4515106 h 6662058"/>
            <a:gd name="connsiteX32" fmla="*/ 5690508 w 6662058"/>
            <a:gd name="connsiteY32" fmla="*/ 3331029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5690508 w 6662058"/>
            <a:gd name="connsiteY20" fmla="*/ 3331029 h 6662058"/>
            <a:gd name="connsiteX21" fmla="*/ 5373887 w 6662058"/>
            <a:gd name="connsiteY21" fmla="*/ 2146953 h 6662058"/>
            <a:gd name="connsiteX22" fmla="*/ 4769559 w 6662058"/>
            <a:gd name="connsiteY22" fmla="*/ 871793 h 6662058"/>
            <a:gd name="connsiteX23" fmla="*/ 3342595 w 6662058"/>
            <a:gd name="connsiteY23" fmla="*/ 983116 h 6662058"/>
            <a:gd name="connsiteX24" fmla="*/ 1927198 w 6662058"/>
            <a:gd name="connsiteY24" fmla="*/ 894926 h 6662058"/>
            <a:gd name="connsiteX25" fmla="*/ 1288172 w 6662058"/>
            <a:gd name="connsiteY25" fmla="*/ 2146953 h 6662058"/>
            <a:gd name="connsiteX26" fmla="*/ 508907 w 6662058"/>
            <a:gd name="connsiteY26" fmla="*/ 3331030 h 6662058"/>
            <a:gd name="connsiteX27" fmla="*/ 1288172 w 6662058"/>
            <a:gd name="connsiteY27" fmla="*/ 4515106 h 6662058"/>
            <a:gd name="connsiteX28" fmla="*/ 1927198 w 6662058"/>
            <a:gd name="connsiteY28" fmla="*/ 5790265 h 6662058"/>
            <a:gd name="connsiteX29" fmla="*/ 3331029 w 6662058"/>
            <a:gd name="connsiteY29" fmla="*/ 5690508 h 6662058"/>
            <a:gd name="connsiteX30" fmla="*/ 4757994 w 6662058"/>
            <a:gd name="connsiteY30" fmla="*/ 5778699 h 6662058"/>
            <a:gd name="connsiteX31" fmla="*/ 5373887 w 6662058"/>
            <a:gd name="connsiteY31" fmla="*/ 4515106 h 6662058"/>
            <a:gd name="connsiteX32" fmla="*/ 5690508 w 6662058"/>
            <a:gd name="connsiteY32" fmla="*/ 3331029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6199415 w 6662058"/>
            <a:gd name="connsiteY20" fmla="*/ 3331030 h 6662058"/>
            <a:gd name="connsiteX21" fmla="*/ 5373887 w 6662058"/>
            <a:gd name="connsiteY21" fmla="*/ 2146953 h 6662058"/>
            <a:gd name="connsiteX22" fmla="*/ 4769559 w 6662058"/>
            <a:gd name="connsiteY22" fmla="*/ 871793 h 6662058"/>
            <a:gd name="connsiteX23" fmla="*/ 3342595 w 6662058"/>
            <a:gd name="connsiteY23" fmla="*/ 983116 h 6662058"/>
            <a:gd name="connsiteX24" fmla="*/ 1927198 w 6662058"/>
            <a:gd name="connsiteY24" fmla="*/ 894926 h 6662058"/>
            <a:gd name="connsiteX25" fmla="*/ 1288172 w 6662058"/>
            <a:gd name="connsiteY25" fmla="*/ 2146953 h 6662058"/>
            <a:gd name="connsiteX26" fmla="*/ 508907 w 6662058"/>
            <a:gd name="connsiteY26" fmla="*/ 3331030 h 6662058"/>
            <a:gd name="connsiteX27" fmla="*/ 1288172 w 6662058"/>
            <a:gd name="connsiteY27" fmla="*/ 4515106 h 6662058"/>
            <a:gd name="connsiteX28" fmla="*/ 1927198 w 6662058"/>
            <a:gd name="connsiteY28" fmla="*/ 5790265 h 6662058"/>
            <a:gd name="connsiteX29" fmla="*/ 3331029 w 6662058"/>
            <a:gd name="connsiteY29" fmla="*/ 5690508 h 6662058"/>
            <a:gd name="connsiteX30" fmla="*/ 4757994 w 6662058"/>
            <a:gd name="connsiteY30" fmla="*/ 5778699 h 6662058"/>
            <a:gd name="connsiteX31" fmla="*/ 5373887 w 6662058"/>
            <a:gd name="connsiteY31" fmla="*/ 4515106 h 6662058"/>
            <a:gd name="connsiteX32" fmla="*/ 6199415 w 6662058"/>
            <a:gd name="connsiteY32" fmla="*/ 3331030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6199415 w 6662058"/>
            <a:gd name="connsiteY20" fmla="*/ 3331030 h 6662058"/>
            <a:gd name="connsiteX21" fmla="*/ 5373887 w 6662058"/>
            <a:gd name="connsiteY21" fmla="*/ 2146953 h 6662058"/>
            <a:gd name="connsiteX22" fmla="*/ 4769559 w 6662058"/>
            <a:gd name="connsiteY22" fmla="*/ 871793 h 6662058"/>
            <a:gd name="connsiteX23" fmla="*/ 3342596 w 6662058"/>
            <a:gd name="connsiteY23" fmla="*/ 497341 h 6662058"/>
            <a:gd name="connsiteX24" fmla="*/ 1927198 w 6662058"/>
            <a:gd name="connsiteY24" fmla="*/ 894926 h 6662058"/>
            <a:gd name="connsiteX25" fmla="*/ 1288172 w 6662058"/>
            <a:gd name="connsiteY25" fmla="*/ 2146953 h 6662058"/>
            <a:gd name="connsiteX26" fmla="*/ 508907 w 6662058"/>
            <a:gd name="connsiteY26" fmla="*/ 3331030 h 6662058"/>
            <a:gd name="connsiteX27" fmla="*/ 1288172 w 6662058"/>
            <a:gd name="connsiteY27" fmla="*/ 4515106 h 6662058"/>
            <a:gd name="connsiteX28" fmla="*/ 1927198 w 6662058"/>
            <a:gd name="connsiteY28" fmla="*/ 5790265 h 6662058"/>
            <a:gd name="connsiteX29" fmla="*/ 3331029 w 6662058"/>
            <a:gd name="connsiteY29" fmla="*/ 5690508 h 6662058"/>
            <a:gd name="connsiteX30" fmla="*/ 4757994 w 6662058"/>
            <a:gd name="connsiteY30" fmla="*/ 5778699 h 6662058"/>
            <a:gd name="connsiteX31" fmla="*/ 5373887 w 6662058"/>
            <a:gd name="connsiteY31" fmla="*/ 4515106 h 6662058"/>
            <a:gd name="connsiteX32" fmla="*/ 6199415 w 6662058"/>
            <a:gd name="connsiteY32" fmla="*/ 3331030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6199415 w 6662058"/>
            <a:gd name="connsiteY20" fmla="*/ 3331030 h 6662058"/>
            <a:gd name="connsiteX21" fmla="*/ 5790265 w 6662058"/>
            <a:gd name="connsiteY21" fmla="*/ 1892499 h 6662058"/>
            <a:gd name="connsiteX22" fmla="*/ 4769559 w 6662058"/>
            <a:gd name="connsiteY22" fmla="*/ 871793 h 6662058"/>
            <a:gd name="connsiteX23" fmla="*/ 3342596 w 6662058"/>
            <a:gd name="connsiteY23" fmla="*/ 497341 h 6662058"/>
            <a:gd name="connsiteX24" fmla="*/ 1927198 w 6662058"/>
            <a:gd name="connsiteY24" fmla="*/ 894926 h 6662058"/>
            <a:gd name="connsiteX25" fmla="*/ 1288172 w 6662058"/>
            <a:gd name="connsiteY25" fmla="*/ 2146953 h 6662058"/>
            <a:gd name="connsiteX26" fmla="*/ 508907 w 6662058"/>
            <a:gd name="connsiteY26" fmla="*/ 3331030 h 6662058"/>
            <a:gd name="connsiteX27" fmla="*/ 1288172 w 6662058"/>
            <a:gd name="connsiteY27" fmla="*/ 4515106 h 6662058"/>
            <a:gd name="connsiteX28" fmla="*/ 1927198 w 6662058"/>
            <a:gd name="connsiteY28" fmla="*/ 5790265 h 6662058"/>
            <a:gd name="connsiteX29" fmla="*/ 3331029 w 6662058"/>
            <a:gd name="connsiteY29" fmla="*/ 5690508 h 6662058"/>
            <a:gd name="connsiteX30" fmla="*/ 4757994 w 6662058"/>
            <a:gd name="connsiteY30" fmla="*/ 5778699 h 6662058"/>
            <a:gd name="connsiteX31" fmla="*/ 5373887 w 6662058"/>
            <a:gd name="connsiteY31" fmla="*/ 4515106 h 6662058"/>
            <a:gd name="connsiteX32" fmla="*/ 6199415 w 6662058"/>
            <a:gd name="connsiteY32" fmla="*/ 3331030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6199415 w 6662058"/>
            <a:gd name="connsiteY20" fmla="*/ 3331030 h 6662058"/>
            <a:gd name="connsiteX21" fmla="*/ 5790265 w 6662058"/>
            <a:gd name="connsiteY21" fmla="*/ 1892499 h 6662058"/>
            <a:gd name="connsiteX22" fmla="*/ 4769559 w 6662058"/>
            <a:gd name="connsiteY22" fmla="*/ 871793 h 6662058"/>
            <a:gd name="connsiteX23" fmla="*/ 3342596 w 6662058"/>
            <a:gd name="connsiteY23" fmla="*/ 497341 h 6662058"/>
            <a:gd name="connsiteX24" fmla="*/ 1927198 w 6662058"/>
            <a:gd name="connsiteY24" fmla="*/ 894926 h 6662058"/>
            <a:gd name="connsiteX25" fmla="*/ 1288172 w 6662058"/>
            <a:gd name="connsiteY25" fmla="*/ 2146953 h 6662058"/>
            <a:gd name="connsiteX26" fmla="*/ 508907 w 6662058"/>
            <a:gd name="connsiteY26" fmla="*/ 3331030 h 6662058"/>
            <a:gd name="connsiteX27" fmla="*/ 1288172 w 6662058"/>
            <a:gd name="connsiteY27" fmla="*/ 4515106 h 6662058"/>
            <a:gd name="connsiteX28" fmla="*/ 1927198 w 6662058"/>
            <a:gd name="connsiteY28" fmla="*/ 5790265 h 6662058"/>
            <a:gd name="connsiteX29" fmla="*/ 3331029 w 6662058"/>
            <a:gd name="connsiteY29" fmla="*/ 5690508 h 6662058"/>
            <a:gd name="connsiteX30" fmla="*/ 4757994 w 6662058"/>
            <a:gd name="connsiteY30" fmla="*/ 5778699 h 6662058"/>
            <a:gd name="connsiteX31" fmla="*/ 5813397 w 6662058"/>
            <a:gd name="connsiteY31" fmla="*/ 4734862 h 6662058"/>
            <a:gd name="connsiteX32" fmla="*/ 6199415 w 6662058"/>
            <a:gd name="connsiteY32" fmla="*/ 3331030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6199415 w 6662058"/>
            <a:gd name="connsiteY20" fmla="*/ 3331030 h 6662058"/>
            <a:gd name="connsiteX21" fmla="*/ 5790265 w 6662058"/>
            <a:gd name="connsiteY21" fmla="*/ 1892499 h 6662058"/>
            <a:gd name="connsiteX22" fmla="*/ 4769559 w 6662058"/>
            <a:gd name="connsiteY22" fmla="*/ 871793 h 6662058"/>
            <a:gd name="connsiteX23" fmla="*/ 3342596 w 6662058"/>
            <a:gd name="connsiteY23" fmla="*/ 497341 h 6662058"/>
            <a:gd name="connsiteX24" fmla="*/ 1927198 w 6662058"/>
            <a:gd name="connsiteY24" fmla="*/ 894926 h 6662058"/>
            <a:gd name="connsiteX25" fmla="*/ 1288172 w 6662058"/>
            <a:gd name="connsiteY25" fmla="*/ 2146953 h 6662058"/>
            <a:gd name="connsiteX26" fmla="*/ 508907 w 6662058"/>
            <a:gd name="connsiteY26" fmla="*/ 3331030 h 6662058"/>
            <a:gd name="connsiteX27" fmla="*/ 1288172 w 6662058"/>
            <a:gd name="connsiteY27" fmla="*/ 4515106 h 6662058"/>
            <a:gd name="connsiteX28" fmla="*/ 1927198 w 6662058"/>
            <a:gd name="connsiteY28" fmla="*/ 5790265 h 6662058"/>
            <a:gd name="connsiteX29" fmla="*/ 3342596 w 6662058"/>
            <a:gd name="connsiteY29" fmla="*/ 6164717 h 6662058"/>
            <a:gd name="connsiteX30" fmla="*/ 4757994 w 6662058"/>
            <a:gd name="connsiteY30" fmla="*/ 5778699 h 6662058"/>
            <a:gd name="connsiteX31" fmla="*/ 5813397 w 6662058"/>
            <a:gd name="connsiteY31" fmla="*/ 4734862 h 6662058"/>
            <a:gd name="connsiteX32" fmla="*/ 6199415 w 6662058"/>
            <a:gd name="connsiteY32" fmla="*/ 3331030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6199415 w 6662058"/>
            <a:gd name="connsiteY20" fmla="*/ 3331030 h 6662058"/>
            <a:gd name="connsiteX21" fmla="*/ 5790265 w 6662058"/>
            <a:gd name="connsiteY21" fmla="*/ 1892499 h 6662058"/>
            <a:gd name="connsiteX22" fmla="*/ 4769559 w 6662058"/>
            <a:gd name="connsiteY22" fmla="*/ 871793 h 6662058"/>
            <a:gd name="connsiteX23" fmla="*/ 3342596 w 6662058"/>
            <a:gd name="connsiteY23" fmla="*/ 497341 h 6662058"/>
            <a:gd name="connsiteX24" fmla="*/ 1927198 w 6662058"/>
            <a:gd name="connsiteY24" fmla="*/ 894926 h 6662058"/>
            <a:gd name="connsiteX25" fmla="*/ 1288172 w 6662058"/>
            <a:gd name="connsiteY25" fmla="*/ 2146953 h 6662058"/>
            <a:gd name="connsiteX26" fmla="*/ 508907 w 6662058"/>
            <a:gd name="connsiteY26" fmla="*/ 3331030 h 6662058"/>
            <a:gd name="connsiteX27" fmla="*/ 860228 w 6662058"/>
            <a:gd name="connsiteY27" fmla="*/ 4734862 h 6662058"/>
            <a:gd name="connsiteX28" fmla="*/ 1927198 w 6662058"/>
            <a:gd name="connsiteY28" fmla="*/ 5790265 h 6662058"/>
            <a:gd name="connsiteX29" fmla="*/ 3342596 w 6662058"/>
            <a:gd name="connsiteY29" fmla="*/ 6164717 h 6662058"/>
            <a:gd name="connsiteX30" fmla="*/ 4757994 w 6662058"/>
            <a:gd name="connsiteY30" fmla="*/ 5778699 h 6662058"/>
            <a:gd name="connsiteX31" fmla="*/ 5813397 w 6662058"/>
            <a:gd name="connsiteY31" fmla="*/ 4734862 h 6662058"/>
            <a:gd name="connsiteX32" fmla="*/ 6199415 w 6662058"/>
            <a:gd name="connsiteY32" fmla="*/ 3331030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 name="connsiteX0" fmla="*/ 4996544 w 6662058"/>
            <a:gd name="connsiteY0" fmla="*/ 3331029 h 6662058"/>
            <a:gd name="connsiteX1" fmla="*/ 4957508 w 6662058"/>
            <a:gd name="connsiteY1" fmla="*/ 3430786 h 6662058"/>
            <a:gd name="connsiteX2" fmla="*/ 3569579 w 6662058"/>
            <a:gd name="connsiteY2" fmla="*/ 4818715 h 6662058"/>
            <a:gd name="connsiteX3" fmla="*/ 3469822 w 6662058"/>
            <a:gd name="connsiteY3" fmla="*/ 4857751 h 6662058"/>
            <a:gd name="connsiteX4" fmla="*/ 3372233 w 6662058"/>
            <a:gd name="connsiteY4" fmla="*/ 4816547 h 6662058"/>
            <a:gd name="connsiteX5" fmla="*/ 3331029 w 6662058"/>
            <a:gd name="connsiteY5" fmla="*/ 4718958 h 6662058"/>
            <a:gd name="connsiteX6" fmla="*/ 3331029 w 6662058"/>
            <a:gd name="connsiteY6" fmla="*/ 3886201 h 6662058"/>
            <a:gd name="connsiteX7" fmla="*/ 1804308 w 6662058"/>
            <a:gd name="connsiteY7" fmla="*/ 3886201 h 6662058"/>
            <a:gd name="connsiteX8" fmla="*/ 1706719 w 6662058"/>
            <a:gd name="connsiteY8" fmla="*/ 3844996 h 6662058"/>
            <a:gd name="connsiteX9" fmla="*/ 1665515 w 6662058"/>
            <a:gd name="connsiteY9" fmla="*/ 3747408 h 6662058"/>
            <a:gd name="connsiteX10" fmla="*/ 1665515 w 6662058"/>
            <a:gd name="connsiteY10" fmla="*/ 2914651 h 6662058"/>
            <a:gd name="connsiteX11" fmla="*/ 1706719 w 6662058"/>
            <a:gd name="connsiteY11" fmla="*/ 2817062 h 6662058"/>
            <a:gd name="connsiteX12" fmla="*/ 1804308 w 6662058"/>
            <a:gd name="connsiteY12" fmla="*/ 2775858 h 6662058"/>
            <a:gd name="connsiteX13" fmla="*/ 3331029 w 6662058"/>
            <a:gd name="connsiteY13" fmla="*/ 2775858 h 6662058"/>
            <a:gd name="connsiteX14" fmla="*/ 3331029 w 6662058"/>
            <a:gd name="connsiteY14" fmla="*/ 1943100 h 6662058"/>
            <a:gd name="connsiteX15" fmla="*/ 3370065 w 6662058"/>
            <a:gd name="connsiteY15" fmla="*/ 1843343 h 6662058"/>
            <a:gd name="connsiteX16" fmla="*/ 3469822 w 6662058"/>
            <a:gd name="connsiteY16" fmla="*/ 1804308 h 6662058"/>
            <a:gd name="connsiteX17" fmla="*/ 3573917 w 6662058"/>
            <a:gd name="connsiteY17" fmla="*/ 1847680 h 6662058"/>
            <a:gd name="connsiteX18" fmla="*/ 4957508 w 6662058"/>
            <a:gd name="connsiteY18" fmla="*/ 3231272 h 6662058"/>
            <a:gd name="connsiteX19" fmla="*/ 4996544 w 6662058"/>
            <a:gd name="connsiteY19" fmla="*/ 3331029 h 6662058"/>
            <a:gd name="connsiteX20" fmla="*/ 6199415 w 6662058"/>
            <a:gd name="connsiteY20" fmla="*/ 3331030 h 6662058"/>
            <a:gd name="connsiteX21" fmla="*/ 5790265 w 6662058"/>
            <a:gd name="connsiteY21" fmla="*/ 1892499 h 6662058"/>
            <a:gd name="connsiteX22" fmla="*/ 4769559 w 6662058"/>
            <a:gd name="connsiteY22" fmla="*/ 871793 h 6662058"/>
            <a:gd name="connsiteX23" fmla="*/ 3342596 w 6662058"/>
            <a:gd name="connsiteY23" fmla="*/ 497341 h 6662058"/>
            <a:gd name="connsiteX24" fmla="*/ 1927198 w 6662058"/>
            <a:gd name="connsiteY24" fmla="*/ 894926 h 6662058"/>
            <a:gd name="connsiteX25" fmla="*/ 883360 w 6662058"/>
            <a:gd name="connsiteY25" fmla="*/ 1892499 h 6662058"/>
            <a:gd name="connsiteX26" fmla="*/ 508907 w 6662058"/>
            <a:gd name="connsiteY26" fmla="*/ 3331030 h 6662058"/>
            <a:gd name="connsiteX27" fmla="*/ 860228 w 6662058"/>
            <a:gd name="connsiteY27" fmla="*/ 4734862 h 6662058"/>
            <a:gd name="connsiteX28" fmla="*/ 1927198 w 6662058"/>
            <a:gd name="connsiteY28" fmla="*/ 5790265 h 6662058"/>
            <a:gd name="connsiteX29" fmla="*/ 3342596 w 6662058"/>
            <a:gd name="connsiteY29" fmla="*/ 6164717 h 6662058"/>
            <a:gd name="connsiteX30" fmla="*/ 4757994 w 6662058"/>
            <a:gd name="connsiteY30" fmla="*/ 5778699 h 6662058"/>
            <a:gd name="connsiteX31" fmla="*/ 5813397 w 6662058"/>
            <a:gd name="connsiteY31" fmla="*/ 4734862 h 6662058"/>
            <a:gd name="connsiteX32" fmla="*/ 6199415 w 6662058"/>
            <a:gd name="connsiteY32" fmla="*/ 3331030 h 6662058"/>
            <a:gd name="connsiteX33" fmla="*/ 6662058 w 6662058"/>
            <a:gd name="connsiteY33" fmla="*/ 3331029 h 6662058"/>
            <a:gd name="connsiteX34" fmla="*/ 6215318 w 6662058"/>
            <a:gd name="connsiteY34" fmla="*/ 5003049 h 6662058"/>
            <a:gd name="connsiteX35" fmla="*/ 5003049 w 6662058"/>
            <a:gd name="connsiteY35" fmla="*/ 6215318 h 6662058"/>
            <a:gd name="connsiteX36" fmla="*/ 3331029 w 6662058"/>
            <a:gd name="connsiteY36" fmla="*/ 6662058 h 6662058"/>
            <a:gd name="connsiteX37" fmla="*/ 1659009 w 6662058"/>
            <a:gd name="connsiteY37" fmla="*/ 6215318 h 6662058"/>
            <a:gd name="connsiteX38" fmla="*/ 446740 w 6662058"/>
            <a:gd name="connsiteY38" fmla="*/ 5003049 h 6662058"/>
            <a:gd name="connsiteX39" fmla="*/ 0 w 6662058"/>
            <a:gd name="connsiteY39" fmla="*/ 3331029 h 6662058"/>
            <a:gd name="connsiteX40" fmla="*/ 446740 w 6662058"/>
            <a:gd name="connsiteY40" fmla="*/ 1659009 h 6662058"/>
            <a:gd name="connsiteX41" fmla="*/ 1659009 w 6662058"/>
            <a:gd name="connsiteY41" fmla="*/ 446740 h 6662058"/>
            <a:gd name="connsiteX42" fmla="*/ 3331029 w 6662058"/>
            <a:gd name="connsiteY42" fmla="*/ 0 h 6662058"/>
            <a:gd name="connsiteX43" fmla="*/ 5003049 w 6662058"/>
            <a:gd name="connsiteY43" fmla="*/ 446740 h 6662058"/>
            <a:gd name="connsiteX44" fmla="*/ 6215318 w 6662058"/>
            <a:gd name="connsiteY44" fmla="*/ 1659009 h 6662058"/>
            <a:gd name="connsiteX45" fmla="*/ 6662058 w 6662058"/>
            <a:gd name="connsiteY45" fmla="*/ 3331029 h 66620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Lst>
          <a:rect l="l" t="t" r="r" b="b"/>
          <a:pathLst>
            <a:path w="6662058" h="6662058">
              <a:moveTo>
                <a:pt x="4996544" y="3331029"/>
              </a:moveTo>
              <a:cubicBezTo>
                <a:pt x="4996544" y="3371510"/>
                <a:pt x="4983532" y="3404763"/>
                <a:pt x="4957508" y="3430786"/>
              </a:cubicBezTo>
              <a:lnTo>
                <a:pt x="3569579" y="4818715"/>
              </a:lnTo>
              <a:cubicBezTo>
                <a:pt x="3543556" y="4844739"/>
                <a:pt x="3510303" y="4857751"/>
                <a:pt x="3469822" y="4857751"/>
              </a:cubicBezTo>
              <a:cubicBezTo>
                <a:pt x="3432232" y="4857751"/>
                <a:pt x="3399703" y="4844016"/>
                <a:pt x="3372233" y="4816547"/>
              </a:cubicBezTo>
              <a:cubicBezTo>
                <a:pt x="3344764" y="4789077"/>
                <a:pt x="3331029" y="4756547"/>
                <a:pt x="3331029" y="4718958"/>
              </a:cubicBezTo>
              <a:lnTo>
                <a:pt x="3331029" y="3886201"/>
              </a:lnTo>
              <a:lnTo>
                <a:pt x="1804308" y="3886201"/>
              </a:lnTo>
              <a:cubicBezTo>
                <a:pt x="1766718" y="3886201"/>
                <a:pt x="1734188" y="3872466"/>
                <a:pt x="1706719" y="3844996"/>
              </a:cubicBezTo>
              <a:cubicBezTo>
                <a:pt x="1679250" y="3817527"/>
                <a:pt x="1665515" y="3784997"/>
                <a:pt x="1665515" y="3747408"/>
              </a:cubicBezTo>
              <a:lnTo>
                <a:pt x="1665515" y="2914651"/>
              </a:lnTo>
              <a:cubicBezTo>
                <a:pt x="1665515" y="2877061"/>
                <a:pt x="1679250" y="2844531"/>
                <a:pt x="1706719" y="2817062"/>
              </a:cubicBezTo>
              <a:cubicBezTo>
                <a:pt x="1734188" y="2789592"/>
                <a:pt x="1766718" y="2775858"/>
                <a:pt x="1804308" y="2775858"/>
              </a:cubicBezTo>
              <a:lnTo>
                <a:pt x="3331029" y="2775858"/>
              </a:lnTo>
              <a:lnTo>
                <a:pt x="3331029" y="1943100"/>
              </a:lnTo>
              <a:cubicBezTo>
                <a:pt x="3331029" y="1902619"/>
                <a:pt x="3344041" y="1869367"/>
                <a:pt x="3370065" y="1843343"/>
              </a:cubicBezTo>
              <a:cubicBezTo>
                <a:pt x="3396088" y="1817319"/>
                <a:pt x="3429341" y="1804308"/>
                <a:pt x="3469822" y="1804308"/>
              </a:cubicBezTo>
              <a:cubicBezTo>
                <a:pt x="3504520" y="1804308"/>
                <a:pt x="3539218" y="1818765"/>
                <a:pt x="3573917" y="1847680"/>
              </a:cubicBezTo>
              <a:lnTo>
                <a:pt x="4957508" y="3231272"/>
              </a:lnTo>
              <a:cubicBezTo>
                <a:pt x="4983532" y="3257295"/>
                <a:pt x="4996544" y="3290548"/>
                <a:pt x="4996544" y="3331029"/>
              </a:cubicBezTo>
              <a:close/>
              <a:moveTo>
                <a:pt x="6199415" y="3331030"/>
              </a:moveTo>
              <a:cubicBezTo>
                <a:pt x="6195560" y="2857303"/>
                <a:pt x="6028574" y="2302372"/>
                <a:pt x="5790265" y="1892499"/>
              </a:cubicBezTo>
              <a:cubicBezTo>
                <a:pt x="5551956" y="1482626"/>
                <a:pt x="5177504" y="1104319"/>
                <a:pt x="4769559" y="871793"/>
              </a:cubicBezTo>
              <a:cubicBezTo>
                <a:pt x="4361614" y="639267"/>
                <a:pt x="3816323" y="493486"/>
                <a:pt x="3342596" y="497341"/>
              </a:cubicBezTo>
              <a:cubicBezTo>
                <a:pt x="2868869" y="501196"/>
                <a:pt x="2337071" y="662400"/>
                <a:pt x="1927198" y="894926"/>
              </a:cubicBezTo>
              <a:cubicBezTo>
                <a:pt x="1517325" y="1127452"/>
                <a:pt x="1119742" y="1486482"/>
                <a:pt x="883360" y="1892499"/>
              </a:cubicBezTo>
              <a:cubicBezTo>
                <a:pt x="646978" y="2298516"/>
                <a:pt x="512762" y="2857303"/>
                <a:pt x="508907" y="3331030"/>
              </a:cubicBezTo>
              <a:cubicBezTo>
                <a:pt x="505052" y="3804757"/>
                <a:pt x="623846" y="4324990"/>
                <a:pt x="860228" y="4734862"/>
              </a:cubicBezTo>
              <a:cubicBezTo>
                <a:pt x="1096610" y="5144735"/>
                <a:pt x="1513470" y="5551956"/>
                <a:pt x="1927198" y="5790265"/>
              </a:cubicBezTo>
              <a:cubicBezTo>
                <a:pt x="2340926" y="6028574"/>
                <a:pt x="2870797" y="6166645"/>
                <a:pt x="3342596" y="6164717"/>
              </a:cubicBezTo>
              <a:cubicBezTo>
                <a:pt x="3814395" y="6162789"/>
                <a:pt x="4346194" y="6017008"/>
                <a:pt x="4757994" y="5778699"/>
              </a:cubicBezTo>
              <a:cubicBezTo>
                <a:pt x="5169794" y="5540390"/>
                <a:pt x="5573160" y="5142807"/>
                <a:pt x="5813397" y="4734862"/>
              </a:cubicBezTo>
              <a:cubicBezTo>
                <a:pt x="6053634" y="4326917"/>
                <a:pt x="6203270" y="3804757"/>
                <a:pt x="6199415" y="3331030"/>
              </a:cubicBezTo>
              <a:close/>
              <a:moveTo>
                <a:pt x="6662058" y="3331029"/>
              </a:moveTo>
              <a:cubicBezTo>
                <a:pt x="6662058" y="3935357"/>
                <a:pt x="6513144" y="4492697"/>
                <a:pt x="6215318" y="5003049"/>
              </a:cubicBezTo>
              <a:cubicBezTo>
                <a:pt x="5917492" y="5513402"/>
                <a:pt x="5513402" y="5917492"/>
                <a:pt x="5003049" y="6215318"/>
              </a:cubicBezTo>
              <a:cubicBezTo>
                <a:pt x="4492697" y="6513144"/>
                <a:pt x="3935357" y="6662058"/>
                <a:pt x="3331029" y="6662058"/>
              </a:cubicBezTo>
              <a:cubicBezTo>
                <a:pt x="2726702" y="6662058"/>
                <a:pt x="2169362" y="6513144"/>
                <a:pt x="1659009" y="6215318"/>
              </a:cubicBezTo>
              <a:cubicBezTo>
                <a:pt x="1148656" y="5917492"/>
                <a:pt x="744566" y="5513402"/>
                <a:pt x="446740" y="5003049"/>
              </a:cubicBezTo>
              <a:cubicBezTo>
                <a:pt x="148914" y="4492697"/>
                <a:pt x="0" y="3935357"/>
                <a:pt x="0" y="3331029"/>
              </a:cubicBezTo>
              <a:cubicBezTo>
                <a:pt x="0" y="2726702"/>
                <a:pt x="148914" y="2169362"/>
                <a:pt x="446740" y="1659009"/>
              </a:cubicBezTo>
              <a:cubicBezTo>
                <a:pt x="744566" y="1148656"/>
                <a:pt x="1148656" y="744566"/>
                <a:pt x="1659009" y="446740"/>
              </a:cubicBezTo>
              <a:cubicBezTo>
                <a:pt x="2169362" y="148914"/>
                <a:pt x="2726702" y="0"/>
                <a:pt x="3331029" y="0"/>
              </a:cubicBezTo>
              <a:cubicBezTo>
                <a:pt x="3935357" y="0"/>
                <a:pt x="4492697" y="148914"/>
                <a:pt x="5003049" y="446740"/>
              </a:cubicBezTo>
              <a:cubicBezTo>
                <a:pt x="5513402" y="744566"/>
                <a:pt x="5917492" y="1148656"/>
                <a:pt x="6215318" y="1659009"/>
              </a:cubicBezTo>
              <a:cubicBezTo>
                <a:pt x="6513144" y="2169362"/>
                <a:pt x="6662058" y="2726702"/>
                <a:pt x="6662058" y="3331029"/>
              </a:cubicBezTo>
              <a:close/>
            </a:path>
          </a:pathLst>
        </a:custGeom>
        <a:solidFill>
          <a:sysClr val="window" lastClr="FFFFFF"/>
        </a:solidFill>
        <a:ln w="4390" cap="flat">
          <a:noFill/>
          <a:prstDash val="solid"/>
          <a:miter/>
        </a:ln>
      </xdr:spPr>
      <xdr:txBody>
        <a:bodyPr rtlCol="0" anchor="ctr"/>
        <a:lstStyle/>
        <a:p>
          <a:endParaRPr lang="en-US"/>
        </a:p>
      </xdr:txBody>
    </xdr:sp>
    <xdr:clientData/>
  </xdr:twoCellAnchor>
  <xdr:twoCellAnchor>
    <xdr:from>
      <xdr:col>14</xdr:col>
      <xdr:colOff>0</xdr:colOff>
      <xdr:row>1</xdr:row>
      <xdr:rowOff>693420</xdr:rowOff>
    </xdr:from>
    <xdr:to>
      <xdr:col>14</xdr:col>
      <xdr:colOff>0</xdr:colOff>
      <xdr:row>1</xdr:row>
      <xdr:rowOff>1112524</xdr:rowOff>
    </xdr:to>
    <xdr:sp macro="" textlink="">
      <xdr:nvSpPr>
        <xdr:cNvPr id="37" name="svg_cancel">
          <a:extLst>
            <a:ext uri="{FF2B5EF4-FFF2-40B4-BE49-F238E27FC236}">
              <a16:creationId xmlns:a16="http://schemas.microsoft.com/office/drawing/2014/main" id="{00000000-0008-0000-0200-000025000000}"/>
            </a:ext>
          </a:extLst>
        </xdr:cNvPr>
        <xdr:cNvSpPr/>
      </xdr:nvSpPr>
      <xdr:spPr>
        <a:xfrm>
          <a:off x="9048750" y="0"/>
          <a:ext cx="419100" cy="0"/>
        </a:xfrm>
        <a:custGeom>
          <a:avLst/>
          <a:gdLst>
            <a:gd name="connsiteX0" fmla="*/ 2357866 w 4724400"/>
            <a:gd name="connsiteY0" fmla="*/ 4 h 4724403"/>
            <a:gd name="connsiteX1" fmla="*/ 730425 w 4724400"/>
            <a:gd name="connsiteY1" fmla="*/ 654228 h 4724403"/>
            <a:gd name="connsiteX2" fmla="*/ 390249 w 4724400"/>
            <a:gd name="connsiteY2" fmla="*/ 314053 h 4724403"/>
            <a:gd name="connsiteX3" fmla="*/ 0 w 4724400"/>
            <a:gd name="connsiteY3" fmla="*/ 475692 h 4724403"/>
            <a:gd name="connsiteX4" fmla="*/ 0 w 4724400"/>
            <a:gd name="connsiteY4" fmla="*/ 1752604 h 4724403"/>
            <a:gd name="connsiteX5" fmla="*/ 228600 w 4724400"/>
            <a:gd name="connsiteY5" fmla="*/ 1981204 h 4724403"/>
            <a:gd name="connsiteX6" fmla="*/ 1505512 w 4724400"/>
            <a:gd name="connsiteY6" fmla="*/ 1981204 h 4724403"/>
            <a:gd name="connsiteX7" fmla="*/ 1667161 w 4724400"/>
            <a:gd name="connsiteY7" fmla="*/ 1590955 h 4724403"/>
            <a:gd name="connsiteX8" fmla="*/ 1269492 w 4724400"/>
            <a:gd name="connsiteY8" fmla="*/ 1193286 h 4724403"/>
            <a:gd name="connsiteX9" fmla="*/ 2348008 w 4724400"/>
            <a:gd name="connsiteY9" fmla="*/ 762061 h 4724403"/>
            <a:gd name="connsiteX10" fmla="*/ 3962343 w 4724400"/>
            <a:gd name="connsiteY10" fmla="*/ 2375996 h 4724403"/>
            <a:gd name="connsiteX11" fmla="*/ 2362200 w 4724400"/>
            <a:gd name="connsiteY11" fmla="*/ 3962404 h 4724403"/>
            <a:gd name="connsiteX12" fmla="*/ 1308449 w 4724400"/>
            <a:gd name="connsiteY12" fmla="*/ 3566583 h 4724403"/>
            <a:gd name="connsiteX13" fmla="*/ 1152544 w 4724400"/>
            <a:gd name="connsiteY13" fmla="*/ 3571850 h 4724403"/>
            <a:gd name="connsiteX14" fmla="*/ 774763 w 4724400"/>
            <a:gd name="connsiteY14" fmla="*/ 3949631 h 4724403"/>
            <a:gd name="connsiteX15" fmla="*/ 779355 w 4724400"/>
            <a:gd name="connsiteY15" fmla="*/ 4115680 h 4724403"/>
            <a:gd name="connsiteX16" fmla="*/ 2362200 w 4724400"/>
            <a:gd name="connsiteY16" fmla="*/ 4724404 h 4724403"/>
            <a:gd name="connsiteX17" fmla="*/ 4724400 w 4724400"/>
            <a:gd name="connsiteY17" fmla="*/ 2362223 h 4724403"/>
            <a:gd name="connsiteX18" fmla="*/ 2357866 w 4724400"/>
            <a:gd name="connsiteY18" fmla="*/ 4 h 47244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724400" h="4724403">
              <a:moveTo>
                <a:pt x="2357866" y="4"/>
              </a:moveTo>
              <a:cubicBezTo>
                <a:pt x="1726654" y="1137"/>
                <a:pt x="1153544" y="249873"/>
                <a:pt x="730425" y="654228"/>
              </a:cubicBezTo>
              <a:lnTo>
                <a:pt x="390249" y="314053"/>
              </a:lnTo>
              <a:cubicBezTo>
                <a:pt x="246231" y="170035"/>
                <a:pt x="0" y="272028"/>
                <a:pt x="0" y="475692"/>
              </a:cubicBezTo>
              <a:lnTo>
                <a:pt x="0" y="1752604"/>
              </a:lnTo>
              <a:cubicBezTo>
                <a:pt x="0" y="1878858"/>
                <a:pt x="102346" y="1981204"/>
                <a:pt x="228600" y="1981204"/>
              </a:cubicBezTo>
              <a:lnTo>
                <a:pt x="1505512" y="1981204"/>
              </a:lnTo>
              <a:cubicBezTo>
                <a:pt x="1709176" y="1981204"/>
                <a:pt x="1811169" y="1734973"/>
                <a:pt x="1667161" y="1590955"/>
              </a:cubicBezTo>
              <a:lnTo>
                <a:pt x="1269492" y="1193286"/>
              </a:lnTo>
              <a:cubicBezTo>
                <a:pt x="1563472" y="918023"/>
                <a:pt x="1943872" y="765547"/>
                <a:pt x="2348008" y="762061"/>
              </a:cubicBezTo>
              <a:cubicBezTo>
                <a:pt x="3228099" y="754460"/>
                <a:pt x="3969953" y="1466692"/>
                <a:pt x="3962343" y="2375996"/>
              </a:cubicBezTo>
              <a:cubicBezTo>
                <a:pt x="3955123" y="3238590"/>
                <a:pt x="3255798" y="3962404"/>
                <a:pt x="2362200" y="3962404"/>
              </a:cubicBezTo>
              <a:cubicBezTo>
                <a:pt x="1970465" y="3962404"/>
                <a:pt x="1600229" y="3822596"/>
                <a:pt x="1308449" y="3566583"/>
              </a:cubicBezTo>
              <a:cubicBezTo>
                <a:pt x="1263272" y="3526949"/>
                <a:pt x="1195045" y="3529359"/>
                <a:pt x="1152544" y="3571850"/>
              </a:cubicBezTo>
              <a:lnTo>
                <a:pt x="774763" y="3949631"/>
              </a:lnTo>
              <a:cubicBezTo>
                <a:pt x="728358" y="3996037"/>
                <a:pt x="730653" y="4071694"/>
                <a:pt x="779355" y="4115680"/>
              </a:cubicBezTo>
              <a:cubicBezTo>
                <a:pt x="1198226" y="4494023"/>
                <a:pt x="1753305" y="4724404"/>
                <a:pt x="2362200" y="4724404"/>
              </a:cubicBezTo>
              <a:cubicBezTo>
                <a:pt x="3666801" y="4724404"/>
                <a:pt x="4724391" y="3666815"/>
                <a:pt x="4724400" y="2362223"/>
              </a:cubicBezTo>
              <a:cubicBezTo>
                <a:pt x="4724410" y="1059117"/>
                <a:pt x="3660972" y="-2330"/>
                <a:pt x="2357866" y="4"/>
              </a:cubicBezTo>
              <a:close/>
            </a:path>
          </a:pathLst>
        </a:custGeom>
        <a:solidFill>
          <a:schemeClr val="bg1"/>
        </a:solidFill>
        <a:ln w="9525" cap="flat">
          <a:noFill/>
          <a:prstDash val="solid"/>
          <a:miter/>
        </a:ln>
      </xdr:spPr>
      <xdr:txBody>
        <a:bodyPr rtlCol="0" anchor="ctr"/>
        <a:lstStyle/>
        <a:p>
          <a:endParaRPr lang="en-US"/>
        </a:p>
      </xdr:txBody>
    </xdr:sp>
    <xdr:clientData/>
  </xdr:twoCellAnchor>
  <xdr:twoCellAnchor editAs="oneCell">
    <xdr:from>
      <xdr:col>16</xdr:col>
      <xdr:colOff>44824</xdr:colOff>
      <xdr:row>6</xdr:row>
      <xdr:rowOff>201706</xdr:rowOff>
    </xdr:from>
    <xdr:to>
      <xdr:col>17</xdr:col>
      <xdr:colOff>1359087</xdr:colOff>
      <xdr:row>6</xdr:row>
      <xdr:rowOff>598581</xdr:rowOff>
    </xdr:to>
    <xdr:pic>
      <xdr:nvPicPr>
        <xdr:cNvPr id="45" name="VIIM804d1bxeTO0SUmb33A==" descr="s_0_##md_0_model_frontpage_header|md_1_header_0_0#______#md_0_model_frontpage_header#s_0_fpLogo">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88899" y="201706"/>
          <a:ext cx="1692088"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38</xdr:col>
      <xdr:colOff>228601</xdr:colOff>
      <xdr:row>12</xdr:row>
      <xdr:rowOff>34637</xdr:rowOff>
    </xdr:from>
    <xdr:to>
      <xdr:col>41</xdr:col>
      <xdr:colOff>723900</xdr:colOff>
      <xdr:row>12</xdr:row>
      <xdr:rowOff>311727</xdr:rowOff>
    </xdr:to>
    <xdr:pic>
      <xdr:nvPicPr>
        <xdr:cNvPr id="4" name="g0+J/Xhz78jw0/qGEagnxg==" descr="s_0_##md_0_model_scenario-assumptions|md_2_scenarios_start|md_2_start_0_1#_______#md_0_model_scenario-assumptions__logo#s_2_rLogo">
          <a:extLst>
            <a:ext uri="{FF2B5EF4-FFF2-40B4-BE49-F238E27FC236}">
              <a16:creationId xmlns:a16="http://schemas.microsoft.com/office/drawing/2014/main" id="{00000000-0008-0000-0300-000004000000}"/>
            </a:ext>
          </a:extLst>
        </xdr:cNvPr>
        <xdr:cNvPicPr>
          <a:picLocks/>
        </xdr:cNvPicPr>
      </xdr:nvPicPr>
      <xdr:blipFill>
        <a:blip xmlns:r="http://schemas.openxmlformats.org/officeDocument/2006/relationships" r:embed="rId1" cstate="print">
          <a:biLevel thresh="25000"/>
          <a:extLst>
            <a:ext uri="{28A0092B-C50C-407E-A947-70E740481C1C}">
              <a14:useLocalDpi xmlns:a14="http://schemas.microsoft.com/office/drawing/2010/main" val="0"/>
            </a:ext>
          </a:extLst>
        </a:blip>
        <a:stretch>
          <a:fillRect/>
        </a:stretch>
      </xdr:blipFill>
      <xdr:spPr>
        <a:xfrm>
          <a:off x="228601" y="34637"/>
          <a:ext cx="1257299" cy="277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123825</xdr:colOff>
      <xdr:row>1</xdr:row>
      <xdr:rowOff>171451</xdr:rowOff>
    </xdr:from>
    <xdr:to>
      <xdr:col>9</xdr:col>
      <xdr:colOff>22860</xdr:colOff>
      <xdr:row>1</xdr:row>
      <xdr:rowOff>411481</xdr:rowOff>
    </xdr:to>
    <xdr:pic>
      <xdr:nvPicPr>
        <xdr:cNvPr id="2" name="img_logo">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biLevel thresh="25000"/>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0" y="0"/>
          <a:ext cx="22860" cy="0"/>
        </a:xfrm>
        <a:prstGeom prst="rect">
          <a:avLst/>
        </a:prstGeom>
      </xdr:spPr>
    </xdr:pic>
    <xdr:clientData/>
  </xdr:twoCellAnchor>
  <xdr:twoCellAnchor>
    <xdr:from>
      <xdr:col>8</xdr:col>
      <xdr:colOff>126423</xdr:colOff>
      <xdr:row>1</xdr:row>
      <xdr:rowOff>787978</xdr:rowOff>
    </xdr:from>
    <xdr:to>
      <xdr:col>10</xdr:col>
      <xdr:colOff>100541</xdr:colOff>
      <xdr:row>1</xdr:row>
      <xdr:rowOff>1126644</xdr:rowOff>
    </xdr:to>
    <xdr:pic>
      <xdr:nvPicPr>
        <xdr:cNvPr id="3" name="img_clipboard">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05316" cy="0"/>
        </a:xfrm>
        <a:prstGeom prst="rect">
          <a:avLst/>
        </a:prstGeom>
      </xdr:spPr>
    </xdr:pic>
    <xdr:clientData/>
  </xdr:twoCellAnchor>
  <xdr:twoCellAnchor>
    <xdr:from>
      <xdr:col>24</xdr:col>
      <xdr:colOff>119742</xdr:colOff>
      <xdr:row>0</xdr:row>
      <xdr:rowOff>0</xdr:rowOff>
    </xdr:from>
    <xdr:to>
      <xdr:col>39</xdr:col>
      <xdr:colOff>101558</xdr:colOff>
      <xdr:row>0</xdr:row>
      <xdr:rowOff>0</xdr:rowOff>
    </xdr:to>
    <xdr:grpSp>
      <xdr:nvGrpSpPr>
        <xdr:cNvPr id="4" name="svg_risks" descr="s_0_##md_0_model_reporting_header|md_3_header_title|md_3_start_line1b_0|md_3_risks-matrix_0#__________#md_0_model_reporting_dashboard_l1b#s_0_risks">
          <a:extLst>
            <a:ext uri="{FF2B5EF4-FFF2-40B4-BE49-F238E27FC236}">
              <a16:creationId xmlns:a16="http://schemas.microsoft.com/office/drawing/2014/main" id="{00000000-0008-0000-0400-000004000000}"/>
            </a:ext>
          </a:extLst>
        </xdr:cNvPr>
        <xdr:cNvGrpSpPr/>
      </xdr:nvGrpSpPr>
      <xdr:grpSpPr>
        <a:xfrm>
          <a:off x="8349342" y="0"/>
          <a:ext cx="6782666" cy="0"/>
          <a:chOff x="16803092" y="1691915"/>
          <a:chExt cx="7907480" cy="4227192"/>
        </a:xfrm>
      </xdr:grpSpPr>
      <xdr:cxnSp macro="">
        <xdr:nvCxnSpPr>
          <xdr:cNvPr id="5" name="risks_0_0">
            <a:extLst>
              <a:ext uri="{FF2B5EF4-FFF2-40B4-BE49-F238E27FC236}">
                <a16:creationId xmlns:a16="http://schemas.microsoft.com/office/drawing/2014/main" id="{00000000-0008-0000-0400-000005000000}"/>
              </a:ext>
            </a:extLst>
          </xdr:cNvPr>
          <xdr:cNvCxnSpPr>
            <a:stCxn id="33" idx="0"/>
            <a:endCxn id="38" idx="0"/>
          </xdr:cNvCxnSpPr>
        </xdr:nvCxnSpPr>
        <xdr:spPr>
          <a:xfrm rot="10800000" flipH="1" flipV="1">
            <a:off x="17436190" y="2185262"/>
            <a:ext cx="7172919" cy="3198143"/>
          </a:xfrm>
          <a:prstGeom prst="bentConnector3">
            <a:avLst>
              <a:gd name="adj1" fmla="val -70"/>
            </a:avLst>
          </a:prstGeom>
          <a:ln w="12700">
            <a:solidFill>
              <a:srgbClr val="CDCDCD"/>
            </a:solidFill>
          </a:ln>
        </xdr:spPr>
        <xdr:style>
          <a:lnRef idx="1">
            <a:schemeClr val="dk1"/>
          </a:lnRef>
          <a:fillRef idx="0">
            <a:schemeClr val="dk1"/>
          </a:fillRef>
          <a:effectRef idx="0">
            <a:schemeClr val="dk1"/>
          </a:effectRef>
          <a:fontRef idx="minor">
            <a:schemeClr val="tx1"/>
          </a:fontRef>
        </xdr:style>
      </xdr:cxnSp>
      <xdr:sp macro="" textlink="">
        <xdr:nvSpPr>
          <xdr:cNvPr id="6" name="risks_5_5">
            <a:extLst>
              <a:ext uri="{FF2B5EF4-FFF2-40B4-BE49-F238E27FC236}">
                <a16:creationId xmlns:a16="http://schemas.microsoft.com/office/drawing/2014/main" id="{00000000-0008-0000-0400-000006000000}"/>
              </a:ext>
            </a:extLst>
          </xdr:cNvPr>
          <xdr:cNvSpPr/>
        </xdr:nvSpPr>
        <xdr:spPr>
          <a:xfrm flipH="1">
            <a:off x="23300214" y="2185681"/>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80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0"/>
              <a:satOff val="0"/>
              <a:lumOff val="0"/>
              <a:alphaOff val="0"/>
            </a:schemeClr>
          </a:fillRef>
          <a:effectRef idx="3">
            <a:schemeClr val="accent2">
              <a:hueOff val="0"/>
              <a:satOff val="0"/>
              <a:lumOff val="0"/>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7" name="risks_4_5">
            <a:extLst>
              <a:ext uri="{FF2B5EF4-FFF2-40B4-BE49-F238E27FC236}">
                <a16:creationId xmlns:a16="http://schemas.microsoft.com/office/drawing/2014/main" id="{00000000-0008-0000-0400-000007000000}"/>
              </a:ext>
            </a:extLst>
          </xdr:cNvPr>
          <xdr:cNvSpPr/>
        </xdr:nvSpPr>
        <xdr:spPr>
          <a:xfrm flipH="1">
            <a:off x="21855567" y="2185681"/>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80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195063"/>
              <a:satOff val="-243"/>
              <a:lumOff val="57"/>
              <a:alphaOff val="0"/>
            </a:schemeClr>
          </a:fillRef>
          <a:effectRef idx="3">
            <a:schemeClr val="accent2">
              <a:hueOff val="195063"/>
              <a:satOff val="-243"/>
              <a:lumOff val="57"/>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8" name="risks_3_5">
            <a:extLst>
              <a:ext uri="{FF2B5EF4-FFF2-40B4-BE49-F238E27FC236}">
                <a16:creationId xmlns:a16="http://schemas.microsoft.com/office/drawing/2014/main" id="{00000000-0008-0000-0400-000008000000}"/>
              </a:ext>
            </a:extLst>
          </xdr:cNvPr>
          <xdr:cNvSpPr/>
        </xdr:nvSpPr>
        <xdr:spPr>
          <a:xfrm flipH="1">
            <a:off x="20410918" y="2185681"/>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8080"/>
          </a:solidFill>
          <a:ln>
            <a:noFill/>
          </a:ln>
          <a:effectLst>
            <a:innerShdw blurRad="25400" dist="25145" dir="18900000">
              <a:scrgbClr r="0" g="0" b="0">
                <a:alpha val="30000"/>
              </a:scrgbClr>
            </a:innerShdw>
          </a:effectLst>
          <a:extLs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195063"/>
              <a:satOff val="-243"/>
              <a:lumOff val="57"/>
              <a:alphaOff val="0"/>
            </a:schemeClr>
          </a:fillRef>
          <a:effectRef idx="3">
            <a:schemeClr val="accent2">
              <a:hueOff val="195063"/>
              <a:satOff val="-243"/>
              <a:lumOff val="57"/>
              <a:alphaOff val="0"/>
            </a:schemeClr>
          </a:effectRef>
          <a:fontRef idx="minor">
            <a:schemeClr val="lt1"/>
          </a:fontRef>
        </xdr:style>
        <xdr: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ea typeface="+mn-ea"/>
                <a:cs typeface="Arial" panose="020B0604020202020204" pitchFamily="34" charset="0"/>
              </a:rPr>
              <a:t>R5</a:t>
            </a:r>
          </a:p>
        </xdr:txBody>
      </xdr:sp>
      <xdr:sp macro="" textlink="">
        <xdr:nvSpPr>
          <xdr:cNvPr id="9" name="risks_2_5">
            <a:extLst>
              <a:ext uri="{FF2B5EF4-FFF2-40B4-BE49-F238E27FC236}">
                <a16:creationId xmlns:a16="http://schemas.microsoft.com/office/drawing/2014/main" id="{00000000-0008-0000-0400-000009000000}"/>
              </a:ext>
            </a:extLst>
          </xdr:cNvPr>
          <xdr:cNvSpPr/>
        </xdr:nvSpPr>
        <xdr:spPr>
          <a:xfrm flipH="1">
            <a:off x="18966271" y="2185681"/>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80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585190"/>
              <a:satOff val="-730"/>
              <a:lumOff val="172"/>
              <a:alphaOff val="0"/>
            </a:schemeClr>
          </a:fillRef>
          <a:effectRef idx="3">
            <a:schemeClr val="accent2">
              <a:hueOff val="585190"/>
              <a:satOff val="-730"/>
              <a:lumOff val="172"/>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10" name="risks_1_5">
            <a:extLst>
              <a:ext uri="{FF2B5EF4-FFF2-40B4-BE49-F238E27FC236}">
                <a16:creationId xmlns:a16="http://schemas.microsoft.com/office/drawing/2014/main" id="{00000000-0008-0000-0400-00000A000000}"/>
              </a:ext>
            </a:extLst>
          </xdr:cNvPr>
          <xdr:cNvSpPr/>
        </xdr:nvSpPr>
        <xdr:spPr>
          <a:xfrm flipH="1">
            <a:off x="17521622" y="2185681"/>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FF80"/>
          </a:solidFill>
          <a:ln>
            <a:noFill/>
          </a:ln>
          <a:effectLst>
            <a:innerShdw blurRad="25400" dist="25145" dir="18900000">
              <a:scrgbClr r="0" g="0" b="0">
                <a:alpha val="30000"/>
              </a:scrgbClr>
            </a:innerShdw>
          </a:effectLst>
          <a:extLs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780253"/>
              <a:satOff val="-973"/>
              <a:lumOff val="229"/>
              <a:alphaOff val="0"/>
            </a:schemeClr>
          </a:fillRef>
          <a:effectRef idx="3">
            <a:schemeClr val="accent2">
              <a:hueOff val="780253"/>
              <a:satOff val="-973"/>
              <a:lumOff val="229"/>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R3</a:t>
            </a:r>
          </a:p>
        </xdr:txBody>
      </xdr:sp>
      <xdr:sp macro="" textlink="">
        <xdr:nvSpPr>
          <xdr:cNvPr id="11" name="risks_5_4">
            <a:extLst>
              <a:ext uri="{FF2B5EF4-FFF2-40B4-BE49-F238E27FC236}">
                <a16:creationId xmlns:a16="http://schemas.microsoft.com/office/drawing/2014/main" id="{00000000-0008-0000-0400-00000B000000}"/>
              </a:ext>
            </a:extLst>
          </xdr:cNvPr>
          <xdr:cNvSpPr/>
        </xdr:nvSpPr>
        <xdr:spPr>
          <a:xfrm flipH="1">
            <a:off x="23300214" y="2810674"/>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80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975316"/>
              <a:satOff val="-1216"/>
              <a:lumOff val="286"/>
              <a:alphaOff val="0"/>
            </a:schemeClr>
          </a:fillRef>
          <a:effectRef idx="3">
            <a:schemeClr val="accent2">
              <a:hueOff val="975316"/>
              <a:satOff val="-1216"/>
              <a:lumOff val="286"/>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12" name="risks_4_4">
            <a:extLst>
              <a:ext uri="{FF2B5EF4-FFF2-40B4-BE49-F238E27FC236}">
                <a16:creationId xmlns:a16="http://schemas.microsoft.com/office/drawing/2014/main" id="{00000000-0008-0000-0400-00000C000000}"/>
              </a:ext>
            </a:extLst>
          </xdr:cNvPr>
          <xdr:cNvSpPr/>
        </xdr:nvSpPr>
        <xdr:spPr>
          <a:xfrm flipH="1">
            <a:off x="21855567" y="2810674"/>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80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1170380"/>
              <a:satOff val="-1460"/>
              <a:lumOff val="343"/>
              <a:alphaOff val="0"/>
            </a:schemeClr>
          </a:fillRef>
          <a:effectRef idx="3">
            <a:schemeClr val="accent2">
              <a:hueOff val="1170380"/>
              <a:satOff val="-1460"/>
              <a:lumOff val="343"/>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13" name="risks_3_4">
            <a:extLst>
              <a:ext uri="{FF2B5EF4-FFF2-40B4-BE49-F238E27FC236}">
                <a16:creationId xmlns:a16="http://schemas.microsoft.com/office/drawing/2014/main" id="{00000000-0008-0000-0400-00000D000000}"/>
              </a:ext>
            </a:extLst>
          </xdr:cNvPr>
          <xdr:cNvSpPr/>
        </xdr:nvSpPr>
        <xdr:spPr>
          <a:xfrm flipH="1">
            <a:off x="20410918" y="2810674"/>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80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1365443"/>
              <a:satOff val="-1703"/>
              <a:lumOff val="400"/>
              <a:alphaOff val="0"/>
            </a:schemeClr>
          </a:fillRef>
          <a:effectRef idx="3">
            <a:schemeClr val="accent2">
              <a:hueOff val="1365443"/>
              <a:satOff val="-1703"/>
              <a:lumOff val="400"/>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14" name="risks_2_4">
            <a:extLst>
              <a:ext uri="{FF2B5EF4-FFF2-40B4-BE49-F238E27FC236}">
                <a16:creationId xmlns:a16="http://schemas.microsoft.com/office/drawing/2014/main" id="{00000000-0008-0000-0400-00000E000000}"/>
              </a:ext>
            </a:extLst>
          </xdr:cNvPr>
          <xdr:cNvSpPr/>
        </xdr:nvSpPr>
        <xdr:spPr>
          <a:xfrm flipH="1">
            <a:off x="18966271" y="2810674"/>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FF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1560506"/>
              <a:satOff val="-1946"/>
              <a:lumOff val="458"/>
              <a:alphaOff val="0"/>
            </a:schemeClr>
          </a:fillRef>
          <a:effectRef idx="3">
            <a:schemeClr val="accent2">
              <a:hueOff val="1560506"/>
              <a:satOff val="-1946"/>
              <a:lumOff val="458"/>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15" name="risks_1_4">
            <a:extLst>
              <a:ext uri="{FF2B5EF4-FFF2-40B4-BE49-F238E27FC236}">
                <a16:creationId xmlns:a16="http://schemas.microsoft.com/office/drawing/2014/main" id="{00000000-0008-0000-0400-00000F000000}"/>
              </a:ext>
            </a:extLst>
          </xdr:cNvPr>
          <xdr:cNvSpPr/>
        </xdr:nvSpPr>
        <xdr:spPr>
          <a:xfrm flipH="1">
            <a:off x="17521622" y="2810674"/>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50D092"/>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1755570"/>
              <a:satOff val="-2190"/>
              <a:lumOff val="515"/>
              <a:alphaOff val="0"/>
            </a:schemeClr>
          </a:fillRef>
          <a:effectRef idx="3">
            <a:schemeClr val="accent2">
              <a:hueOff val="1755570"/>
              <a:satOff val="-2190"/>
              <a:lumOff val="515"/>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16" name="risks_5_3">
            <a:extLst>
              <a:ext uri="{FF2B5EF4-FFF2-40B4-BE49-F238E27FC236}">
                <a16:creationId xmlns:a16="http://schemas.microsoft.com/office/drawing/2014/main" id="{00000000-0008-0000-0400-000010000000}"/>
              </a:ext>
            </a:extLst>
          </xdr:cNvPr>
          <xdr:cNvSpPr/>
        </xdr:nvSpPr>
        <xdr:spPr>
          <a:xfrm flipH="1">
            <a:off x="23300214" y="3435670"/>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80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1950633"/>
              <a:satOff val="-2433"/>
              <a:lumOff val="572"/>
              <a:alphaOff val="0"/>
            </a:schemeClr>
          </a:fillRef>
          <a:effectRef idx="3">
            <a:schemeClr val="accent2">
              <a:hueOff val="1950633"/>
              <a:satOff val="-2433"/>
              <a:lumOff val="572"/>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17" name="risks_4_3">
            <a:extLst>
              <a:ext uri="{FF2B5EF4-FFF2-40B4-BE49-F238E27FC236}">
                <a16:creationId xmlns:a16="http://schemas.microsoft.com/office/drawing/2014/main" id="{00000000-0008-0000-0400-000011000000}"/>
              </a:ext>
            </a:extLst>
          </xdr:cNvPr>
          <xdr:cNvSpPr/>
        </xdr:nvSpPr>
        <xdr:spPr>
          <a:xfrm flipH="1">
            <a:off x="21855567" y="3435670"/>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80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2145696"/>
              <a:satOff val="-2676"/>
              <a:lumOff val="629"/>
              <a:alphaOff val="0"/>
            </a:schemeClr>
          </a:fillRef>
          <a:effectRef idx="3">
            <a:schemeClr val="accent2">
              <a:hueOff val="2145696"/>
              <a:satOff val="-2676"/>
              <a:lumOff val="629"/>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18" name="risks_3_3">
            <a:extLst>
              <a:ext uri="{FF2B5EF4-FFF2-40B4-BE49-F238E27FC236}">
                <a16:creationId xmlns:a16="http://schemas.microsoft.com/office/drawing/2014/main" id="{00000000-0008-0000-0400-000012000000}"/>
              </a:ext>
            </a:extLst>
          </xdr:cNvPr>
          <xdr:cNvSpPr/>
        </xdr:nvSpPr>
        <xdr:spPr>
          <a:xfrm flipH="1">
            <a:off x="20410918" y="3435670"/>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FF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2340759"/>
              <a:satOff val="-2919"/>
              <a:lumOff val="686"/>
              <a:alphaOff val="0"/>
            </a:schemeClr>
          </a:fillRef>
          <a:effectRef idx="3">
            <a:schemeClr val="accent2">
              <a:hueOff val="2340759"/>
              <a:satOff val="-2919"/>
              <a:lumOff val="686"/>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19" name="risks_2_3">
            <a:extLst>
              <a:ext uri="{FF2B5EF4-FFF2-40B4-BE49-F238E27FC236}">
                <a16:creationId xmlns:a16="http://schemas.microsoft.com/office/drawing/2014/main" id="{00000000-0008-0000-0400-000013000000}"/>
              </a:ext>
            </a:extLst>
          </xdr:cNvPr>
          <xdr:cNvSpPr/>
        </xdr:nvSpPr>
        <xdr:spPr>
          <a:xfrm flipH="1">
            <a:off x="18966271" y="3435670"/>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FF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2535823"/>
              <a:satOff val="-3163"/>
              <a:lumOff val="744"/>
              <a:alphaOff val="0"/>
            </a:schemeClr>
          </a:fillRef>
          <a:effectRef idx="3">
            <a:schemeClr val="accent2">
              <a:hueOff val="2535823"/>
              <a:satOff val="-3163"/>
              <a:lumOff val="744"/>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20" name="risks_1_3">
            <a:extLst>
              <a:ext uri="{FF2B5EF4-FFF2-40B4-BE49-F238E27FC236}">
                <a16:creationId xmlns:a16="http://schemas.microsoft.com/office/drawing/2014/main" id="{00000000-0008-0000-0400-000014000000}"/>
              </a:ext>
            </a:extLst>
          </xdr:cNvPr>
          <xdr:cNvSpPr/>
        </xdr:nvSpPr>
        <xdr:spPr>
          <a:xfrm flipH="1">
            <a:off x="17521622" y="3435670"/>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50D092"/>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2730886"/>
              <a:satOff val="-3406"/>
              <a:lumOff val="801"/>
              <a:alphaOff val="0"/>
            </a:schemeClr>
          </a:fillRef>
          <a:effectRef idx="3">
            <a:schemeClr val="accent2">
              <a:hueOff val="2730886"/>
              <a:satOff val="-3406"/>
              <a:lumOff val="801"/>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21" name="risks_5_2">
            <a:extLst>
              <a:ext uri="{FF2B5EF4-FFF2-40B4-BE49-F238E27FC236}">
                <a16:creationId xmlns:a16="http://schemas.microsoft.com/office/drawing/2014/main" id="{00000000-0008-0000-0400-000015000000}"/>
              </a:ext>
            </a:extLst>
          </xdr:cNvPr>
          <xdr:cNvSpPr/>
        </xdr:nvSpPr>
        <xdr:spPr>
          <a:xfrm flipH="1">
            <a:off x="23300214" y="4060667"/>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80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2925949"/>
              <a:satOff val="-3649"/>
              <a:lumOff val="858"/>
              <a:alphaOff val="0"/>
            </a:schemeClr>
          </a:fillRef>
          <a:effectRef idx="3">
            <a:schemeClr val="accent2">
              <a:hueOff val="2925949"/>
              <a:satOff val="-3649"/>
              <a:lumOff val="858"/>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22" name="risks_4_2">
            <a:extLst>
              <a:ext uri="{FF2B5EF4-FFF2-40B4-BE49-F238E27FC236}">
                <a16:creationId xmlns:a16="http://schemas.microsoft.com/office/drawing/2014/main" id="{00000000-0008-0000-0400-000016000000}"/>
              </a:ext>
            </a:extLst>
          </xdr:cNvPr>
          <xdr:cNvSpPr/>
        </xdr:nvSpPr>
        <xdr:spPr>
          <a:xfrm flipH="1">
            <a:off x="21855567" y="4060667"/>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FF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3121013"/>
              <a:satOff val="-3893"/>
              <a:lumOff val="915"/>
              <a:alphaOff val="0"/>
            </a:schemeClr>
          </a:fillRef>
          <a:effectRef idx="3">
            <a:schemeClr val="accent2">
              <a:hueOff val="3121013"/>
              <a:satOff val="-3893"/>
              <a:lumOff val="915"/>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23" name="risks_3_2">
            <a:extLst>
              <a:ext uri="{FF2B5EF4-FFF2-40B4-BE49-F238E27FC236}">
                <a16:creationId xmlns:a16="http://schemas.microsoft.com/office/drawing/2014/main" id="{00000000-0008-0000-0400-000017000000}"/>
              </a:ext>
            </a:extLst>
          </xdr:cNvPr>
          <xdr:cNvSpPr/>
        </xdr:nvSpPr>
        <xdr:spPr>
          <a:xfrm flipH="1">
            <a:off x="20410918" y="4060667"/>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FF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3316076"/>
              <a:satOff val="-4136"/>
              <a:lumOff val="973"/>
              <a:alphaOff val="0"/>
            </a:schemeClr>
          </a:fillRef>
          <a:effectRef idx="3">
            <a:schemeClr val="accent2">
              <a:hueOff val="3316076"/>
              <a:satOff val="-4136"/>
              <a:lumOff val="973"/>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24" name="risks_2_2">
            <a:extLst>
              <a:ext uri="{FF2B5EF4-FFF2-40B4-BE49-F238E27FC236}">
                <a16:creationId xmlns:a16="http://schemas.microsoft.com/office/drawing/2014/main" id="{00000000-0008-0000-0400-000018000000}"/>
              </a:ext>
            </a:extLst>
          </xdr:cNvPr>
          <xdr:cNvSpPr/>
        </xdr:nvSpPr>
        <xdr:spPr>
          <a:xfrm flipH="1">
            <a:off x="18966271" y="4060667"/>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50D092"/>
          </a:solidFill>
          <a:ln>
            <a:noFill/>
          </a:ln>
          <a:effectLst>
            <a:innerShdw blurRad="25400" dist="25145" dir="18900000">
              <a:scrgbClr r="0" g="0" b="0">
                <a:alpha val="30000"/>
              </a:scrgbClr>
            </a:innerShdw>
          </a:effectLst>
          <a:extLs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3511139"/>
              <a:satOff val="-4379"/>
              <a:lumOff val="1030"/>
              <a:alphaOff val="0"/>
            </a:schemeClr>
          </a:fillRef>
          <a:effectRef idx="3">
            <a:schemeClr val="accent2">
              <a:hueOff val="3511139"/>
              <a:satOff val="-4379"/>
              <a:lumOff val="1030"/>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R2, R4</a:t>
            </a:r>
          </a:p>
        </xdr:txBody>
      </xdr:sp>
      <xdr:sp macro="" textlink="">
        <xdr:nvSpPr>
          <xdr:cNvPr id="25" name="risks_1_2">
            <a:extLst>
              <a:ext uri="{FF2B5EF4-FFF2-40B4-BE49-F238E27FC236}">
                <a16:creationId xmlns:a16="http://schemas.microsoft.com/office/drawing/2014/main" id="{00000000-0008-0000-0400-000019000000}"/>
              </a:ext>
            </a:extLst>
          </xdr:cNvPr>
          <xdr:cNvSpPr/>
        </xdr:nvSpPr>
        <xdr:spPr>
          <a:xfrm flipH="1">
            <a:off x="17521622" y="4060667"/>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50D092"/>
          </a:solidFill>
          <a:ln>
            <a:noFill/>
          </a:ln>
          <a:effectLst>
            <a:innerShdw blurRad="25400" dist="25145" dir="18900000">
              <a:scrgbClr r="0" g="0" b="0">
                <a:alpha val="30000"/>
              </a:scrgbClr>
            </a:innerShdw>
          </a:effectLst>
          <a:extLs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3706203"/>
              <a:satOff val="-4623"/>
              <a:lumOff val="1087"/>
              <a:alphaOff val="0"/>
            </a:schemeClr>
          </a:fillRef>
          <a:effectRef idx="3">
            <a:schemeClr val="accent2">
              <a:hueOff val="3706203"/>
              <a:satOff val="-4623"/>
              <a:lumOff val="1087"/>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R1</a:t>
            </a:r>
          </a:p>
        </xdr:txBody>
      </xdr:sp>
      <xdr:sp macro="" textlink="">
        <xdr:nvSpPr>
          <xdr:cNvPr id="26" name="risks_5_1">
            <a:extLst>
              <a:ext uri="{FF2B5EF4-FFF2-40B4-BE49-F238E27FC236}">
                <a16:creationId xmlns:a16="http://schemas.microsoft.com/office/drawing/2014/main" id="{00000000-0008-0000-0400-00001A000000}"/>
              </a:ext>
            </a:extLst>
          </xdr:cNvPr>
          <xdr:cNvSpPr/>
        </xdr:nvSpPr>
        <xdr:spPr>
          <a:xfrm flipH="1">
            <a:off x="23300214" y="4685660"/>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FFFF80"/>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3901266"/>
              <a:satOff val="-4866"/>
              <a:lumOff val="1144"/>
              <a:alphaOff val="0"/>
            </a:schemeClr>
          </a:fillRef>
          <a:effectRef idx="3">
            <a:schemeClr val="accent2">
              <a:hueOff val="3901266"/>
              <a:satOff val="-4866"/>
              <a:lumOff val="1144"/>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27" name="risks_4_1">
            <a:extLst>
              <a:ext uri="{FF2B5EF4-FFF2-40B4-BE49-F238E27FC236}">
                <a16:creationId xmlns:a16="http://schemas.microsoft.com/office/drawing/2014/main" id="{00000000-0008-0000-0400-00001B000000}"/>
              </a:ext>
            </a:extLst>
          </xdr:cNvPr>
          <xdr:cNvSpPr/>
        </xdr:nvSpPr>
        <xdr:spPr>
          <a:xfrm flipH="1">
            <a:off x="21855567" y="4685660"/>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50D092"/>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4096329"/>
              <a:satOff val="-5109"/>
              <a:lumOff val="1201"/>
              <a:alphaOff val="0"/>
            </a:schemeClr>
          </a:fillRef>
          <a:effectRef idx="3">
            <a:schemeClr val="accent2">
              <a:hueOff val="4096329"/>
              <a:satOff val="-5109"/>
              <a:lumOff val="1201"/>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28" name="risks_3_1">
            <a:extLst>
              <a:ext uri="{FF2B5EF4-FFF2-40B4-BE49-F238E27FC236}">
                <a16:creationId xmlns:a16="http://schemas.microsoft.com/office/drawing/2014/main" id="{00000000-0008-0000-0400-00001C000000}"/>
              </a:ext>
            </a:extLst>
          </xdr:cNvPr>
          <xdr:cNvSpPr/>
        </xdr:nvSpPr>
        <xdr:spPr>
          <a:xfrm flipH="1">
            <a:off x="20410918" y="4685660"/>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50D092"/>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4291393"/>
              <a:satOff val="-5352"/>
              <a:lumOff val="1259"/>
              <a:alphaOff val="0"/>
            </a:schemeClr>
          </a:fillRef>
          <a:effectRef idx="3">
            <a:schemeClr val="accent2">
              <a:hueOff val="4291393"/>
              <a:satOff val="-5352"/>
              <a:lumOff val="1259"/>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29" name="risks_2_1">
            <a:extLst>
              <a:ext uri="{FF2B5EF4-FFF2-40B4-BE49-F238E27FC236}">
                <a16:creationId xmlns:a16="http://schemas.microsoft.com/office/drawing/2014/main" id="{00000000-0008-0000-0400-00001D000000}"/>
              </a:ext>
            </a:extLst>
          </xdr:cNvPr>
          <xdr:cNvSpPr/>
        </xdr:nvSpPr>
        <xdr:spPr>
          <a:xfrm flipH="1">
            <a:off x="18966271" y="4685660"/>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50D092"/>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4486456"/>
              <a:satOff val="-5596"/>
              <a:lumOff val="1316"/>
              <a:alphaOff val="0"/>
            </a:schemeClr>
          </a:fillRef>
          <a:effectRef idx="3">
            <a:schemeClr val="accent2">
              <a:hueOff val="4486456"/>
              <a:satOff val="-5596"/>
              <a:lumOff val="1316"/>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30" name="risks_1_1">
            <a:extLst>
              <a:ext uri="{FF2B5EF4-FFF2-40B4-BE49-F238E27FC236}">
                <a16:creationId xmlns:a16="http://schemas.microsoft.com/office/drawing/2014/main" id="{00000000-0008-0000-0400-00001E000000}"/>
              </a:ext>
            </a:extLst>
          </xdr:cNvPr>
          <xdr:cNvSpPr/>
        </xdr:nvSpPr>
        <xdr:spPr>
          <a:xfrm flipH="1">
            <a:off x="17521622" y="4685660"/>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solidFill>
            <a:srgbClr val="50D092"/>
          </a:solidFill>
          <a:ln>
            <a:noFill/>
          </a:ln>
          <a:effectLst/>
          <a:extLst>
            <a:ext uri="{91240B29-F687-4F45-9708-019B960494DF}">
              <a14:hiddenLine xmlns:a14="http://schemas.microsoft.com/office/drawing/2010/main">
                <a:noFill/>
              </a14:hiddenLine>
            </a:ext>
            <a:ext uri="{AF507438-7753-43E0-B8FC-AC1667EBCBE1}">
              <a14:hiddenEffects xmlns:a14="http://schemas.microsoft.com/office/drawing/2010/main">
                <a:effectLst>
                  <a:innerShdw blurRad="25400" dist="25145" dir="18900000">
                    <a:scrgbClr r="0" g="0" b="0">
                      <a:alpha val="30000"/>
                    </a:scrgbClr>
                  </a:innerShdw>
                </a:effectLst>
              </a14:hiddenEffects>
            </a:ext>
          </a:extLst>
        </xdr:spPr>
        <xdr:style>
          <a:lnRef idx="0">
            <a:schemeClr val="lt1">
              <a:hueOff val="0"/>
              <a:satOff val="0"/>
              <a:lumOff val="0"/>
              <a:alphaOff val="0"/>
            </a:schemeClr>
          </a:lnRef>
          <a:fillRef idx="3">
            <a:schemeClr val="accent2">
              <a:hueOff val="4681519"/>
              <a:satOff val="-5839"/>
              <a:lumOff val="1373"/>
              <a:alphaOff val="0"/>
            </a:schemeClr>
          </a:fillRef>
          <a:effectRef idx="3">
            <a:schemeClr val="accent2">
              <a:hueOff val="4681519"/>
              <a:satOff val="-5839"/>
              <a:lumOff val="1373"/>
              <a:alphaOff val="0"/>
            </a:schemeClr>
          </a:effectRef>
          <a:fontRef idx="minor">
            <a:schemeClr val="lt1"/>
          </a:fontRef>
        </xdr:style>
        <xdr:txBody>
          <a:bodyPr spcFirstLastPara="0" vert="horz" wrap="square" lIns="38100" tIns="38100" rIns="38100" bIns="38100" numCol="1" spcCol="1270" anchor="ctr" anchorCtr="0">
            <a:noAutofit/>
          </a:bodyPr>
          <a:lstStyle/>
          <a:p>
            <a:pPr lvl="0" indent="0" algn="ctr" defTabSz="444500">
              <a:lnSpc>
                <a:spcPct val="90000"/>
              </a:lnSpc>
              <a:spcBef>
                <a:spcPct val="0"/>
              </a:spcBef>
              <a:spcAft>
                <a:spcPct val="35000"/>
              </a:spcAft>
            </a:pPr>
            <a:r>
              <a:rPr lang="en-US" sz="800" b="1" kern="1200">
                <a:solidFill>
                  <a:srgbClr val="000000"/>
                </a:solidFill>
                <a:latin typeface="Arial" panose="020B0604020202020204" pitchFamily="34" charset="0"/>
                <a:cs typeface="Arial" panose="020B0604020202020204" pitchFamily="34" charset="0"/>
              </a:rPr>
              <a:t> </a:t>
            </a:r>
          </a:p>
        </xdr:txBody>
      </xdr:sp>
      <xdr:sp macro="" textlink="">
        <xdr:nvSpPr>
          <xdr:cNvPr id="31" name="risks_1">
            <a:extLst>
              <a:ext uri="{FF2B5EF4-FFF2-40B4-BE49-F238E27FC236}">
                <a16:creationId xmlns:a16="http://schemas.microsoft.com/office/drawing/2014/main" id="{00000000-0008-0000-0400-00001F000000}"/>
              </a:ext>
            </a:extLst>
          </xdr:cNvPr>
          <xdr:cNvSpPr/>
        </xdr:nvSpPr>
        <xdr:spPr>
          <a:xfrm>
            <a:off x="16803092" y="5421217"/>
            <a:ext cx="1200603" cy="436710"/>
          </a:xfrm>
          <a:prstGeom prst="rect">
            <a:avLst/>
          </a:prstGeom>
          <a:noFill/>
          <a:ln w="12700" cap="flat" cmpd="sng" algn="ctr">
            <a:noFill/>
            <a:prstDash val="solid"/>
            <a:miter lim="800000"/>
          </a:ln>
          <a:effectLst/>
          <a:extLst>
            <a:ext uri="{909E8E84-426E-40DD-AFC4-6F175D3DCCD1}">
              <a14:hiddenFill xmlns:a14="http://schemas.microsoft.com/office/drawing/2010/main">
                <a:noFill/>
              </a14:hiddenFill>
            </a:ext>
            <a:ext uri="{91240B29-F687-4F45-9708-019B960494DF}">
              <a14:hiddenLine xmlns:a14="http://schemas.microsoft.com/office/drawing/2010/main" w="12700" cap="flat" cmpd="sng" algn="ctr">
                <a:no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da-DK" sz="900" b="1" cap="none" spc="0">
                <a:ln w="0"/>
                <a:solidFill>
                  <a:schemeClr val="tx1"/>
                </a:solidFill>
                <a:effectLst/>
                <a:latin typeface="Arial" panose="020B0604020202020204" pitchFamily="34" charset="0"/>
                <a:ea typeface="+mn-ea"/>
                <a:cs typeface="Arial" panose="020B0604020202020204" pitchFamily="34" charset="0"/>
              </a:rPr>
              <a:t>Sandsynlighed</a:t>
            </a:r>
            <a:endParaRPr lang="da-DK" sz="800" b="1" cap="none" spc="0">
              <a:ln w="0"/>
              <a:solidFill>
                <a:schemeClr val="tx1"/>
              </a:solidFill>
              <a:effectLst/>
              <a:latin typeface="Arial" panose="020B0604020202020204" pitchFamily="34" charset="0"/>
              <a:ea typeface="+mn-ea"/>
              <a:cs typeface="Arial" panose="020B0604020202020204" pitchFamily="34" charset="0"/>
            </a:endParaRPr>
          </a:p>
        </xdr:txBody>
      </xdr:sp>
      <xdr:sp macro="" textlink="">
        <xdr:nvSpPr>
          <xdr:cNvPr id="32" name="risks_0">
            <a:extLst>
              <a:ext uri="{FF2B5EF4-FFF2-40B4-BE49-F238E27FC236}">
                <a16:creationId xmlns:a16="http://schemas.microsoft.com/office/drawing/2014/main" id="{00000000-0008-0000-0400-000020000000}"/>
              </a:ext>
            </a:extLst>
          </xdr:cNvPr>
          <xdr:cNvSpPr/>
        </xdr:nvSpPr>
        <xdr:spPr>
          <a:xfrm>
            <a:off x="16829906" y="1713291"/>
            <a:ext cx="1247750" cy="475924"/>
          </a:xfrm>
          <a:prstGeom prst="rect">
            <a:avLst/>
          </a:prstGeom>
          <a:noFill/>
          <a:ln w="12700" cap="flat" cmpd="sng" algn="ctr">
            <a:noFill/>
            <a:prstDash val="solid"/>
            <a:miter lim="800000"/>
          </a:ln>
          <a:effectLst/>
          <a:extLst>
            <a:ext uri="{909E8E84-426E-40DD-AFC4-6F175D3DCCD1}">
              <a14:hiddenFill xmlns:a14="http://schemas.microsoft.com/office/drawing/2010/main">
                <a:noFill/>
              </a14:hiddenFill>
            </a:ext>
            <a:ext uri="{91240B29-F687-4F45-9708-019B960494DF}">
              <a14:hiddenLine xmlns:a14="http://schemas.microsoft.com/office/drawing/2010/main" w="12700" cap="flat" cmpd="sng" algn="ctr">
                <a:no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l"/>
            <a:r>
              <a:rPr lang="da-DK" sz="900" b="1" cap="none" spc="0">
                <a:ln w="0"/>
                <a:solidFill>
                  <a:schemeClr val="tx1"/>
                </a:solidFill>
                <a:effectLst/>
                <a:latin typeface="Arial" panose="020B0604020202020204" pitchFamily="34" charset="0"/>
                <a:cs typeface="Arial" panose="020B0604020202020204" pitchFamily="34" charset="0"/>
              </a:rPr>
              <a:t>Konsekvens</a:t>
            </a:r>
            <a:endParaRPr lang="da-DK" sz="800" b="1" cap="none" spc="0">
              <a:ln w="0"/>
              <a:solidFill>
                <a:schemeClr val="tx1"/>
              </a:solidFill>
              <a:effectLst/>
              <a:latin typeface="Arial" panose="020B0604020202020204" pitchFamily="34" charset="0"/>
              <a:cs typeface="Arial" panose="020B0604020202020204" pitchFamily="34" charset="0"/>
            </a:endParaRPr>
          </a:p>
        </xdr:txBody>
      </xdr:sp>
      <xdr:sp macro="" textlink="">
        <xdr:nvSpPr>
          <xdr:cNvPr id="33" name="Freeform 32">
            <a:extLst>
              <a:ext uri="{FF2B5EF4-FFF2-40B4-BE49-F238E27FC236}">
                <a16:creationId xmlns:a16="http://schemas.microsoft.com/office/drawing/2014/main" id="{00000000-0008-0000-0400-000021000000}"/>
              </a:ext>
            </a:extLst>
          </xdr:cNvPr>
          <xdr:cNvSpPr/>
        </xdr:nvSpPr>
        <xdr:spPr>
          <a:xfrm flipH="1">
            <a:off x="17063555" y="2185259"/>
            <a:ext cx="372639" cy="561121"/>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780253"/>
              <a:satOff val="-973"/>
              <a:lumOff val="229"/>
              <a:alphaOff val="0"/>
            </a:schemeClr>
          </a:fillRef>
          <a:effectRef idx="3">
            <a:schemeClr val="accent2">
              <a:hueOff val="780253"/>
              <a:satOff val="-973"/>
              <a:lumOff val="229"/>
              <a:alphaOff val="0"/>
            </a:schemeClr>
          </a:effectRef>
          <a:fontRef idx="minor">
            <a:schemeClr val="lt1"/>
          </a:fontRef>
        </xdr:style>
        <xdr: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US" sz="800" b="0" kern="1200" cap="none" spc="0">
                <a:ln w="0">
                  <a:noFill/>
                </a:ln>
                <a:solidFill>
                  <a:schemeClr val="tx1"/>
                </a:solidFill>
                <a:effectLst/>
                <a:latin typeface="Arial" panose="020B0604020202020204" pitchFamily="34" charset="0"/>
                <a:cs typeface="Arial" panose="020B0604020202020204" pitchFamily="34" charset="0"/>
              </a:rPr>
              <a:t>5</a:t>
            </a:r>
          </a:p>
        </xdr:txBody>
      </xdr:sp>
      <xdr:sp macro="" textlink="">
        <xdr:nvSpPr>
          <xdr:cNvPr id="34" name="Freeform 33">
            <a:extLst>
              <a:ext uri="{FF2B5EF4-FFF2-40B4-BE49-F238E27FC236}">
                <a16:creationId xmlns:a16="http://schemas.microsoft.com/office/drawing/2014/main" id="{00000000-0008-0000-0400-000022000000}"/>
              </a:ext>
            </a:extLst>
          </xdr:cNvPr>
          <xdr:cNvSpPr/>
        </xdr:nvSpPr>
        <xdr:spPr>
          <a:xfrm flipH="1">
            <a:off x="17063555" y="2810253"/>
            <a:ext cx="372639" cy="561121"/>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1755570"/>
              <a:satOff val="-2190"/>
              <a:lumOff val="515"/>
              <a:alphaOff val="0"/>
            </a:schemeClr>
          </a:fillRef>
          <a:effectRef idx="3">
            <a:schemeClr val="accent2">
              <a:hueOff val="1755570"/>
              <a:satOff val="-2190"/>
              <a:lumOff val="515"/>
              <a:alphaOff val="0"/>
            </a:schemeClr>
          </a:effectRef>
          <a:fontRef idx="minor">
            <a:schemeClr val="lt1"/>
          </a:fontRef>
        </xdr:style>
        <xdr: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US" sz="800" b="0" kern="1200" cap="none" spc="0">
                <a:ln>
                  <a:noFill/>
                </a:ln>
                <a:solidFill>
                  <a:schemeClr val="tx1"/>
                </a:solidFill>
                <a:effectLst/>
                <a:latin typeface="Arial" panose="020B0604020202020204" pitchFamily="34" charset="0"/>
                <a:cs typeface="Arial" panose="020B0604020202020204" pitchFamily="34" charset="0"/>
              </a:rPr>
              <a:t>4</a:t>
            </a:r>
            <a:endParaRPr lang="en-US" sz="800" b="0" kern="120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sp macro="" textlink="">
        <xdr:nvSpPr>
          <xdr:cNvPr id="35" name="Freeform 34">
            <a:extLst>
              <a:ext uri="{FF2B5EF4-FFF2-40B4-BE49-F238E27FC236}">
                <a16:creationId xmlns:a16="http://schemas.microsoft.com/office/drawing/2014/main" id="{00000000-0008-0000-0400-000023000000}"/>
              </a:ext>
            </a:extLst>
          </xdr:cNvPr>
          <xdr:cNvSpPr/>
        </xdr:nvSpPr>
        <xdr:spPr>
          <a:xfrm flipH="1">
            <a:off x="17063555" y="3435250"/>
            <a:ext cx="372639" cy="561121"/>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2730886"/>
              <a:satOff val="-3406"/>
              <a:lumOff val="801"/>
              <a:alphaOff val="0"/>
            </a:schemeClr>
          </a:fillRef>
          <a:effectRef idx="3">
            <a:schemeClr val="accent2">
              <a:hueOff val="2730886"/>
              <a:satOff val="-3406"/>
              <a:lumOff val="801"/>
              <a:alphaOff val="0"/>
            </a:schemeClr>
          </a:effectRef>
          <a:fontRef idx="minor">
            <a:schemeClr val="lt1"/>
          </a:fontRef>
        </xdr:style>
        <xdr: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US" sz="800" b="0" kern="120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3</a:t>
            </a:r>
          </a:p>
        </xdr:txBody>
      </xdr:sp>
      <xdr:sp macro="" textlink="">
        <xdr:nvSpPr>
          <xdr:cNvPr id="36" name="Freeform 35">
            <a:extLst>
              <a:ext uri="{FF2B5EF4-FFF2-40B4-BE49-F238E27FC236}">
                <a16:creationId xmlns:a16="http://schemas.microsoft.com/office/drawing/2014/main" id="{00000000-0008-0000-0400-000024000000}"/>
              </a:ext>
            </a:extLst>
          </xdr:cNvPr>
          <xdr:cNvSpPr/>
        </xdr:nvSpPr>
        <xdr:spPr>
          <a:xfrm flipH="1">
            <a:off x="17063555" y="4060245"/>
            <a:ext cx="372639" cy="561121"/>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3706203"/>
              <a:satOff val="-4623"/>
              <a:lumOff val="1087"/>
              <a:alphaOff val="0"/>
            </a:schemeClr>
          </a:fillRef>
          <a:effectRef idx="3">
            <a:schemeClr val="accent2">
              <a:hueOff val="3706203"/>
              <a:satOff val="-4623"/>
              <a:lumOff val="1087"/>
              <a:alphaOff val="0"/>
            </a:schemeClr>
          </a:effectRef>
          <a:fontRef idx="minor">
            <a:schemeClr val="lt1"/>
          </a:fontRef>
        </xdr:style>
        <xdr: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US" sz="800" b="0" kern="120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2</a:t>
            </a:r>
          </a:p>
        </xdr:txBody>
      </xdr:sp>
      <xdr:sp macro="" textlink="">
        <xdr:nvSpPr>
          <xdr:cNvPr id="37" name="Freeform 36">
            <a:extLst>
              <a:ext uri="{FF2B5EF4-FFF2-40B4-BE49-F238E27FC236}">
                <a16:creationId xmlns:a16="http://schemas.microsoft.com/office/drawing/2014/main" id="{00000000-0008-0000-0400-000025000000}"/>
              </a:ext>
            </a:extLst>
          </xdr:cNvPr>
          <xdr:cNvSpPr/>
        </xdr:nvSpPr>
        <xdr:spPr>
          <a:xfrm flipH="1">
            <a:off x="17063555" y="4685239"/>
            <a:ext cx="372639" cy="561121"/>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4681519"/>
              <a:satOff val="-5839"/>
              <a:lumOff val="1373"/>
              <a:alphaOff val="0"/>
            </a:schemeClr>
          </a:fillRef>
          <a:effectRef idx="3">
            <a:schemeClr val="accent2">
              <a:hueOff val="4681519"/>
              <a:satOff val="-5839"/>
              <a:lumOff val="1373"/>
              <a:alphaOff val="0"/>
            </a:schemeClr>
          </a:effectRef>
          <a:fontRef idx="minor">
            <a:schemeClr val="lt1"/>
          </a:fontRef>
        </xdr:style>
        <xdr: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US" sz="800" b="0" kern="120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1</a:t>
            </a:r>
          </a:p>
        </xdr:txBody>
      </xdr:sp>
      <xdr:sp macro="" textlink="">
        <xdr:nvSpPr>
          <xdr:cNvPr id="38" name="Freeform 37">
            <a:extLst>
              <a:ext uri="{FF2B5EF4-FFF2-40B4-BE49-F238E27FC236}">
                <a16:creationId xmlns:a16="http://schemas.microsoft.com/office/drawing/2014/main" id="{00000000-0008-0000-0400-000026000000}"/>
              </a:ext>
            </a:extLst>
          </xdr:cNvPr>
          <xdr:cNvSpPr/>
        </xdr:nvSpPr>
        <xdr:spPr>
          <a:xfrm flipH="1">
            <a:off x="23295797" y="5383398"/>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3901266"/>
              <a:satOff val="-4866"/>
              <a:lumOff val="1144"/>
              <a:alphaOff val="0"/>
            </a:schemeClr>
          </a:fillRef>
          <a:effectRef idx="3">
            <a:schemeClr val="accent2">
              <a:hueOff val="3901266"/>
              <a:satOff val="-4866"/>
              <a:lumOff val="1144"/>
              <a:alphaOff val="0"/>
            </a:schemeClr>
          </a:effectRef>
          <a:fontRef idx="minor">
            <a:schemeClr val="lt1"/>
          </a:fontRef>
        </xdr:style>
        <xdr: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US" sz="800" b="0" kern="120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5</a:t>
            </a:r>
          </a:p>
        </xdr:txBody>
      </xdr:sp>
      <xdr:sp macro="" textlink="">
        <xdr:nvSpPr>
          <xdr:cNvPr id="39" name="Freeform 38">
            <a:extLst>
              <a:ext uri="{FF2B5EF4-FFF2-40B4-BE49-F238E27FC236}">
                <a16:creationId xmlns:a16="http://schemas.microsoft.com/office/drawing/2014/main" id="{00000000-0008-0000-0400-000027000000}"/>
              </a:ext>
            </a:extLst>
          </xdr:cNvPr>
          <xdr:cNvSpPr/>
        </xdr:nvSpPr>
        <xdr:spPr>
          <a:xfrm flipH="1">
            <a:off x="21851150" y="5383398"/>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4096329"/>
              <a:satOff val="-5109"/>
              <a:lumOff val="1201"/>
              <a:alphaOff val="0"/>
            </a:schemeClr>
          </a:fillRef>
          <a:effectRef idx="3">
            <a:schemeClr val="accent2">
              <a:hueOff val="4096329"/>
              <a:satOff val="-5109"/>
              <a:lumOff val="1201"/>
              <a:alphaOff val="0"/>
            </a:schemeClr>
          </a:effectRef>
          <a:fontRef idx="minor">
            <a:schemeClr val="lt1"/>
          </a:fontRef>
        </xdr:style>
        <xdr: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US" sz="800" b="0" kern="120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4</a:t>
            </a:r>
          </a:p>
        </xdr:txBody>
      </xdr:sp>
      <xdr:sp macro="" textlink="">
        <xdr:nvSpPr>
          <xdr:cNvPr id="40" name="Freeform 39">
            <a:extLst>
              <a:ext uri="{FF2B5EF4-FFF2-40B4-BE49-F238E27FC236}">
                <a16:creationId xmlns:a16="http://schemas.microsoft.com/office/drawing/2014/main" id="{00000000-0008-0000-0400-000028000000}"/>
              </a:ext>
            </a:extLst>
          </xdr:cNvPr>
          <xdr:cNvSpPr/>
        </xdr:nvSpPr>
        <xdr:spPr>
          <a:xfrm flipH="1">
            <a:off x="20406501" y="5383398"/>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4291393"/>
              <a:satOff val="-5352"/>
              <a:lumOff val="1259"/>
              <a:alphaOff val="0"/>
            </a:schemeClr>
          </a:fillRef>
          <a:effectRef idx="3">
            <a:schemeClr val="accent2">
              <a:hueOff val="4291393"/>
              <a:satOff val="-5352"/>
              <a:lumOff val="1259"/>
              <a:alphaOff val="0"/>
            </a:schemeClr>
          </a:effectRef>
          <a:fontRef idx="minor">
            <a:schemeClr val="lt1"/>
          </a:fontRef>
        </xdr:style>
        <xdr: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US" sz="800" b="0" kern="120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3</a:t>
            </a:r>
          </a:p>
        </xdr:txBody>
      </xdr:sp>
      <xdr:sp macro="" textlink="">
        <xdr:nvSpPr>
          <xdr:cNvPr id="41" name="Freeform 40">
            <a:extLst>
              <a:ext uri="{FF2B5EF4-FFF2-40B4-BE49-F238E27FC236}">
                <a16:creationId xmlns:a16="http://schemas.microsoft.com/office/drawing/2014/main" id="{00000000-0008-0000-0400-000029000000}"/>
              </a:ext>
            </a:extLst>
          </xdr:cNvPr>
          <xdr:cNvSpPr/>
        </xdr:nvSpPr>
        <xdr:spPr>
          <a:xfrm flipH="1">
            <a:off x="18961854" y="5383398"/>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4486456"/>
              <a:satOff val="-5596"/>
              <a:lumOff val="1316"/>
              <a:alphaOff val="0"/>
            </a:schemeClr>
          </a:fillRef>
          <a:effectRef idx="3">
            <a:schemeClr val="accent2">
              <a:hueOff val="4486456"/>
              <a:satOff val="-5596"/>
              <a:lumOff val="1316"/>
              <a:alphaOff val="0"/>
            </a:schemeClr>
          </a:effectRef>
          <a:fontRef idx="minor">
            <a:schemeClr val="lt1"/>
          </a:fontRef>
        </xdr:style>
        <xdr: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US" sz="800" b="0" kern="120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2</a:t>
            </a:r>
          </a:p>
        </xdr:txBody>
      </xdr:sp>
      <xdr:sp macro="" textlink="">
        <xdr:nvSpPr>
          <xdr:cNvPr id="42" name="Freeform 41">
            <a:extLst>
              <a:ext uri="{FF2B5EF4-FFF2-40B4-BE49-F238E27FC236}">
                <a16:creationId xmlns:a16="http://schemas.microsoft.com/office/drawing/2014/main" id="{00000000-0008-0000-0400-00002A000000}"/>
              </a:ext>
            </a:extLst>
          </xdr:cNvPr>
          <xdr:cNvSpPr/>
        </xdr:nvSpPr>
        <xdr:spPr>
          <a:xfrm flipH="1">
            <a:off x="17517205" y="5383398"/>
            <a:ext cx="1313317" cy="535709"/>
          </a:xfrm>
          <a:custGeom>
            <a:avLst/>
            <a:gdLst>
              <a:gd name="connsiteX0" fmla="*/ 0 w 401169"/>
              <a:gd name="connsiteY0" fmla="*/ 0 h 240701"/>
              <a:gd name="connsiteX1" fmla="*/ 401169 w 401169"/>
              <a:gd name="connsiteY1" fmla="*/ 0 h 240701"/>
              <a:gd name="connsiteX2" fmla="*/ 401169 w 401169"/>
              <a:gd name="connsiteY2" fmla="*/ 240701 h 240701"/>
              <a:gd name="connsiteX3" fmla="*/ 0 w 401169"/>
              <a:gd name="connsiteY3" fmla="*/ 240701 h 240701"/>
              <a:gd name="connsiteX4" fmla="*/ 0 w 401169"/>
              <a:gd name="connsiteY4" fmla="*/ 0 h 24070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1169" h="240701">
                <a:moveTo>
                  <a:pt x="0" y="0"/>
                </a:moveTo>
                <a:lnTo>
                  <a:pt x="401169" y="0"/>
                </a:lnTo>
                <a:lnTo>
                  <a:pt x="401169" y="240701"/>
                </a:lnTo>
                <a:lnTo>
                  <a:pt x="0" y="240701"/>
                </a:lnTo>
                <a:lnTo>
                  <a:pt x="0" y="0"/>
                </a:lnTo>
                <a:close/>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xdr:spPr>
        <xdr:style>
          <a:lnRef idx="0">
            <a:schemeClr val="lt1">
              <a:hueOff val="0"/>
              <a:satOff val="0"/>
              <a:lumOff val="0"/>
              <a:alphaOff val="0"/>
            </a:schemeClr>
          </a:lnRef>
          <a:fillRef idx="3">
            <a:schemeClr val="accent2">
              <a:hueOff val="4681519"/>
              <a:satOff val="-5839"/>
              <a:lumOff val="1373"/>
              <a:alphaOff val="0"/>
            </a:schemeClr>
          </a:fillRef>
          <a:effectRef idx="3">
            <a:schemeClr val="accent2">
              <a:hueOff val="4681519"/>
              <a:satOff val="-5839"/>
              <a:lumOff val="1373"/>
              <a:alphaOff val="0"/>
            </a:schemeClr>
          </a:effectRef>
          <a:fontRef idx="minor">
            <a:schemeClr val="lt1"/>
          </a:fontRef>
        </xdr:style>
        <xdr: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n-US" sz="800" b="0" kern="1200" cap="none" spc="0">
                <a:ln>
                  <a:noFill/>
                </a:ln>
                <a:solidFill>
                  <a:schemeClr val="tx1"/>
                </a:solidFill>
                <a:effectLst/>
                <a:latin typeface="Arial" panose="020B0604020202020204" pitchFamily="34" charset="0"/>
                <a:cs typeface="Arial" panose="020B0604020202020204" pitchFamily="34" charset="0"/>
              </a:rPr>
              <a:t>1</a:t>
            </a:r>
          </a:p>
        </xdr:txBody>
      </xdr:sp>
      <xdr:sp macro="" textlink="">
        <xdr:nvSpPr>
          <xdr:cNvPr id="43" name="Round Single Corner Rectangle 42">
            <a:extLst>
              <a:ext uri="{FF2B5EF4-FFF2-40B4-BE49-F238E27FC236}">
                <a16:creationId xmlns:a16="http://schemas.microsoft.com/office/drawing/2014/main" id="{00000000-0008-0000-0400-00002B000000}"/>
              </a:ext>
            </a:extLst>
          </xdr:cNvPr>
          <xdr:cNvSpPr/>
        </xdr:nvSpPr>
        <xdr:spPr>
          <a:xfrm flipH="1">
            <a:off x="16840694" y="1691915"/>
            <a:ext cx="7869878" cy="4165019"/>
          </a:xfrm>
          <a:prstGeom prst="round1Rect">
            <a:avLst>
              <a:gd name="adj" fmla="val 5091"/>
            </a:avLst>
          </a:prstGeom>
          <a:noFill/>
          <a:ln w="12700" cap="flat" cmpd="sng" algn="ctr">
            <a:gradFill flip="none" rotWithShape="1">
              <a:gsLst>
                <a:gs pos="34000">
                  <a:schemeClr val="bg1">
                    <a:lumMod val="65000"/>
                  </a:schemeClr>
                </a:gs>
                <a:gs pos="47000">
                  <a:srgbClr val="F8F8DE">
                    <a:alpha val="0"/>
                  </a:srgbClr>
                </a:gs>
              </a:gsLst>
              <a:lin ang="6120000" scaled="0"/>
              <a:tileRect/>
            </a:gra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da-DK" sz="800">
              <a:latin typeface="Arial" panose="020B0604020202020204" pitchFamily="34" charset="0"/>
              <a:cs typeface="Arial" panose="020B0604020202020204" pitchFamily="34" charset="0"/>
            </a:endParaRPr>
          </a:p>
        </xdr:txBody>
      </xdr:sp>
    </xdr:grpSp>
    <xdr:clientData/>
  </xdr:twoCellAnchor>
  <xdr:twoCellAnchor>
    <xdr:from>
      <xdr:col>24</xdr:col>
      <xdr:colOff>219123</xdr:colOff>
      <xdr:row>1</xdr:row>
      <xdr:rowOff>1755865</xdr:rowOff>
    </xdr:from>
    <xdr:to>
      <xdr:col>42</xdr:col>
      <xdr:colOff>4481</xdr:colOff>
      <xdr:row>1</xdr:row>
      <xdr:rowOff>3282363</xdr:rowOff>
    </xdr:to>
    <xdr:graphicFrame macro="">
      <xdr:nvGraphicFramePr>
        <xdr:cNvPr id="44" name="graph_B" descr="s_0_##md_0_model_reporting_header|md_3_header_title|md_3_start_line2b_0|md_3_chart-B_0#__________#md_0_model_reporting_dashboard_l2b#c_0_graphB">
          <a:extLst>
            <a:ext uri="{FF2B5EF4-FFF2-40B4-BE49-F238E27FC236}">
              <a16:creationId xmlns:a16="http://schemas.microsoft.com/office/drawing/2014/main" id="{00000000-0008-0000-04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87086</xdr:colOff>
      <xdr:row>1</xdr:row>
      <xdr:rowOff>3326675</xdr:rowOff>
    </xdr:from>
    <xdr:to>
      <xdr:col>21</xdr:col>
      <xdr:colOff>197352</xdr:colOff>
      <xdr:row>1</xdr:row>
      <xdr:rowOff>5110715</xdr:rowOff>
    </xdr:to>
    <xdr:graphicFrame macro="">
      <xdr:nvGraphicFramePr>
        <xdr:cNvPr id="45" name="graph_A" descr="s_0_##md_0_model_reporting_header|md_3_header_title|md_3_start_line3a_0|md_3_chart-A_0#__________#md_0_model_reporting_dashboard_l3a#c_0_graphA">
          <a:extLst>
            <a:ext uri="{FF2B5EF4-FFF2-40B4-BE49-F238E27FC236}">
              <a16:creationId xmlns:a16="http://schemas.microsoft.com/office/drawing/2014/main" id="{00000000-0008-0000-04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197352</xdr:colOff>
      <xdr:row>1</xdr:row>
      <xdr:rowOff>3326676</xdr:rowOff>
    </xdr:from>
    <xdr:to>
      <xdr:col>40</xdr:col>
      <xdr:colOff>90672</xdr:colOff>
      <xdr:row>1</xdr:row>
      <xdr:rowOff>5110716</xdr:rowOff>
    </xdr:to>
    <xdr:graphicFrame macro="">
      <xdr:nvGraphicFramePr>
        <xdr:cNvPr id="46" name="graph_D" descr="s_0_##md_0_model_reporting_header|md_3_header_title|md_3_start_line3b_0|md_3_chart-D_0a#__________#md_0_model_reporting_dashboard_l3b#c_0_graphD">
          <a:extLst>
            <a:ext uri="{FF2B5EF4-FFF2-40B4-BE49-F238E27FC236}">
              <a16:creationId xmlns:a16="http://schemas.microsoft.com/office/drawing/2014/main" id="{00000000-0008-0000-04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132550</xdr:colOff>
      <xdr:row>0</xdr:row>
      <xdr:rowOff>0</xdr:rowOff>
    </xdr:from>
    <xdr:to>
      <xdr:col>21</xdr:col>
      <xdr:colOff>243939</xdr:colOff>
      <xdr:row>0</xdr:row>
      <xdr:rowOff>0</xdr:rowOff>
    </xdr:to>
    <xdr:grpSp>
      <xdr:nvGrpSpPr>
        <xdr:cNvPr id="47" name="svg_roadmap" descr="s_0_##md_0_model_reporting_header|md_3_header_title|md_3_start_line1a_0|md_3_roadmap_shape#__________#md_0_model_reporting_dashboard_l1a#s_0_roadmap">
          <a:extLst>
            <a:ext uri="{FF2B5EF4-FFF2-40B4-BE49-F238E27FC236}">
              <a16:creationId xmlns:a16="http://schemas.microsoft.com/office/drawing/2014/main" id="{00000000-0008-0000-0400-00002F000000}"/>
            </a:ext>
          </a:extLst>
        </xdr:cNvPr>
        <xdr:cNvGrpSpPr/>
      </xdr:nvGrpSpPr>
      <xdr:grpSpPr>
        <a:xfrm>
          <a:off x="627850" y="0"/>
          <a:ext cx="6502664" cy="0"/>
          <a:chOff x="0" y="0"/>
          <a:chExt cx="5496176" cy="1440572"/>
        </a:xfrm>
      </xdr:grpSpPr>
      <xdr:sp macro="" textlink="">
        <xdr:nvSpPr>
          <xdr:cNvPr id="48" name="roadmap_1_2_0_0">
            <a:extLst>
              <a:ext uri="{FF2B5EF4-FFF2-40B4-BE49-F238E27FC236}">
                <a16:creationId xmlns:a16="http://schemas.microsoft.com/office/drawing/2014/main" id="{00000000-0008-0000-0400-000030000000}"/>
              </a:ext>
            </a:extLst>
          </xdr:cNvPr>
          <xdr:cNvSpPr/>
        </xdr:nvSpPr>
        <xdr:spPr>
          <a:xfrm>
            <a:off x="1657701" y="430103"/>
            <a:ext cx="1879594" cy="471951"/>
          </a:xfrm>
          <a:prstGeom prst="round2SameRect">
            <a:avLst/>
          </a:prstGeom>
          <a:noFill/>
          <a:ln w="12700" cap="flat" cmpd="sng" algn="ctr">
            <a:gradFill flip="none" rotWithShape="1">
              <a:gsLst>
                <a:gs pos="30000">
                  <a:schemeClr val="bg1">
                    <a:lumMod val="65000"/>
                  </a:schemeClr>
                </a:gs>
                <a:gs pos="46000">
                  <a:srgbClr val="F8F8DE">
                    <a:alpha val="0"/>
                  </a:srgbClr>
                </a:gs>
              </a:gsLst>
              <a:lin ang="6060000" scaled="0"/>
              <a:tileRect/>
            </a:gradFill>
            <a:prstDash val="solid"/>
            <a:miter lim="800000"/>
          </a:ln>
          <a:effectLst/>
          <a:extLst>
            <a:ext uri="{909E8E84-426E-40DD-AFC4-6F175D3DCCD1}">
              <a14:hiddenFill xmlns:a14="http://schemas.microsoft.com/office/drawing/2010/main">
                <a:noFill/>
              </a14:hiddenFill>
            </a:ext>
          </a:extLst>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2000" tIns="72000" rIns="0" bIns="136123" numCol="1" spcCol="1270" anchor="t" anchorCtr="0">
            <a:noAutofit/>
          </a:bodyPr>
          <a:lstStyle>
            <a:defPPr>
              <a:defRPr lang="da-DK"/>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0" lvl="0" indent="0" algn="l" defTabSz="755650" rtl="0" eaLnBrk="1" latinLnBrk="0" hangingPunct="1">
              <a:lnSpc>
                <a:spcPct val="90000"/>
              </a:lnSpc>
              <a:spcBef>
                <a:spcPct val="0"/>
              </a:spcBef>
              <a:spcAft>
                <a:spcPct val="35000"/>
              </a:spcAft>
            </a:pPr>
            <a:r>
              <a:rPr lang="en-US" sz="900" b="1" kern="1200">
                <a:solidFill>
                  <a:schemeClr val="dk1">
                    <a:hueOff val="0"/>
                    <a:satOff val="0"/>
                    <a:lumOff val="0"/>
                    <a:alphaOff val="0"/>
                  </a:schemeClr>
                </a:solidFill>
                <a:latin typeface="Arial" panose="020B0604020202020204" pitchFamily="34" charset="0"/>
                <a:ea typeface="+mn-ea"/>
                <a:cs typeface="Arial" panose="020B0604020202020204" pitchFamily="34" charset="0"/>
              </a:rPr>
              <a:t>Uudbud mv.</a:t>
            </a:r>
          </a:p>
        </xdr:txBody>
      </xdr:sp>
      <xdr:sp macro="" textlink="">
        <xdr:nvSpPr>
          <xdr:cNvPr id="49" name="roadmap_0_0">
            <a:extLst>
              <a:ext uri="{FF2B5EF4-FFF2-40B4-BE49-F238E27FC236}">
                <a16:creationId xmlns:a16="http://schemas.microsoft.com/office/drawing/2014/main" id="{00000000-0008-0000-0400-000031000000}"/>
              </a:ext>
            </a:extLst>
          </xdr:cNvPr>
          <xdr:cNvSpPr/>
        </xdr:nvSpPr>
        <xdr:spPr>
          <a:xfrm>
            <a:off x="0" y="1"/>
            <a:ext cx="1618541" cy="1164845"/>
          </a:xfrm>
          <a:prstGeom prst="roundRect">
            <a:avLst>
              <a:gd name="adj" fmla="val 6118"/>
            </a:avLst>
          </a:prstGeom>
          <a:noFill/>
          <a:ln w="12700" cap="flat" cmpd="sng" algn="ctr">
            <a:gradFill flip="none" rotWithShape="1">
              <a:gsLst>
                <a:gs pos="32000">
                  <a:schemeClr val="bg1">
                    <a:lumMod val="65000"/>
                  </a:schemeClr>
                </a:gs>
                <a:gs pos="46000">
                  <a:srgbClr val="F8F8DE">
                    <a:alpha val="0"/>
                  </a:srgbClr>
                </a:gs>
              </a:gsLst>
              <a:lin ang="3840000" scaled="0"/>
              <a:tileRect/>
            </a:gradFill>
            <a:prstDash val="solid"/>
            <a:miter lim="800000"/>
          </a:ln>
          <a:effectLst/>
          <a:extLst>
            <a:ext uri="{909E8E84-426E-40DD-AFC4-6F175D3DCCD1}">
              <a14:hiddenFill xmlns:a14="http://schemas.microsoft.com/office/drawing/2010/main">
                <a:noFill/>
              </a14:hiddenFill>
            </a:ext>
          </a:extLst>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2000" tIns="72000" rIns="136123" bIns="136123" numCol="1" spcCol="1270" anchor="t" anchorCtr="0">
            <a:noAutofit/>
          </a:bodyPr>
          <a:lstStyle>
            <a:defPPr>
              <a:defRPr lang="da-DK"/>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0" lvl="0" indent="0" algn="l" defTabSz="755650">
              <a:lnSpc>
                <a:spcPct val="90000"/>
              </a:lnSpc>
              <a:spcBef>
                <a:spcPct val="0"/>
              </a:spcBef>
              <a:spcAft>
                <a:spcPct val="35000"/>
              </a:spcAft>
            </a:pPr>
            <a:r>
              <a:rPr lang="en-US" sz="900" b="1" kern="1200">
                <a:solidFill>
                  <a:schemeClr val="dk1">
                    <a:hueOff val="0"/>
                    <a:satOff val="0"/>
                    <a:lumOff val="0"/>
                    <a:alphaOff val="0"/>
                  </a:schemeClr>
                </a:solidFill>
                <a:latin typeface="Arial" panose="020B0604020202020204" pitchFamily="34" charset="0"/>
                <a:ea typeface="+mn-ea"/>
                <a:cs typeface="Arial" panose="020B0604020202020204" pitchFamily="34" charset="0"/>
              </a:rPr>
              <a:t>Analysefase</a:t>
            </a:r>
          </a:p>
        </xdr:txBody>
      </xdr:sp>
      <xdr:sp macro="" textlink="">
        <xdr:nvSpPr>
          <xdr:cNvPr id="50" name="roadmap_1_0_0">
            <a:extLst>
              <a:ext uri="{FF2B5EF4-FFF2-40B4-BE49-F238E27FC236}">
                <a16:creationId xmlns:a16="http://schemas.microsoft.com/office/drawing/2014/main" id="{00000000-0008-0000-0400-000032000000}"/>
              </a:ext>
            </a:extLst>
          </xdr:cNvPr>
          <xdr:cNvSpPr/>
        </xdr:nvSpPr>
        <xdr:spPr>
          <a:xfrm>
            <a:off x="1791457" y="245876"/>
            <a:ext cx="1443825" cy="112834"/>
          </a:xfrm>
          <a:prstGeom prst="rect">
            <a:avLst/>
          </a:prstGeom>
          <a:noFill/>
          <a:ln w="12700" cap="flat" cmpd="sng" algn="ctr">
            <a:noFill/>
            <a:prstDash val="solid"/>
            <a:miter lim="800000"/>
          </a:ln>
          <a:effectLst/>
          <a:extLst>
            <a:ext uri="{909E8E84-426E-40DD-AFC4-6F175D3DCCD1}">
              <a14:hiddenFill xmlns:a14="http://schemas.microsoft.com/office/drawing/2010/main">
                <a:noFill/>
              </a14:hiddenFill>
            </a:ext>
          </a:extLst>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0" tIns="0" rIns="0" bIns="0" numCol="1" spcCol="1270" anchor="t" anchorCtr="0">
            <a:noAutofit/>
          </a:bodyPr>
          <a:lstStyle>
            <a:defPPr>
              <a:defRPr lang="da-DK"/>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algn="l"/>
            <a:r>
              <a:rPr lang="en-US" sz="900" b="0">
                <a:solidFill>
                  <a:srgbClr val="000000"/>
                </a:solidFill>
                <a:effectLst/>
                <a:latin typeface="Arial" panose="020B0604020202020204" pitchFamily="34" charset="0"/>
                <a:ea typeface="+mn-ea"/>
                <a:cs typeface="Arial" panose="020B0604020202020204" pitchFamily="34" charset="0"/>
              </a:rPr>
              <a:t>startdato: 02-09-2014</a:t>
            </a:r>
            <a:endParaRPr lang="da-DK" sz="900" b="0">
              <a:solidFill>
                <a:srgbClr val="000000"/>
              </a:solidFill>
              <a:effectLst/>
              <a:latin typeface="Arial" panose="020B0604020202020204" pitchFamily="34" charset="0"/>
              <a:cs typeface="Arial" panose="020B0604020202020204" pitchFamily="34" charset="0"/>
            </a:endParaRPr>
          </a:p>
        </xdr:txBody>
      </xdr:sp>
      <xdr:sp macro="" textlink="">
        <xdr:nvSpPr>
          <xdr:cNvPr id="51" name="roadmap_1_2_0_0_0">
            <a:extLst>
              <a:ext uri="{FF2B5EF4-FFF2-40B4-BE49-F238E27FC236}">
                <a16:creationId xmlns:a16="http://schemas.microsoft.com/office/drawing/2014/main" id="{00000000-0008-0000-0400-000033000000}"/>
              </a:ext>
            </a:extLst>
          </xdr:cNvPr>
          <xdr:cNvSpPr/>
        </xdr:nvSpPr>
        <xdr:spPr>
          <a:xfrm>
            <a:off x="2392069" y="663720"/>
            <a:ext cx="1152670" cy="112834"/>
          </a:xfrm>
          <a:prstGeom prst="rect">
            <a:avLst/>
          </a:prstGeom>
          <a:noFill/>
          <a:ln w="12700" cap="flat" cmpd="sng" algn="ctr">
            <a:noFill/>
            <a:prstDash val="solid"/>
            <a:miter lim="800000"/>
          </a:ln>
          <a:effectLst/>
          <a:extLst>
            <a:ext uri="{909E8E84-426E-40DD-AFC4-6F175D3DCCD1}">
              <a14:hiddenFill xmlns:a14="http://schemas.microsoft.com/office/drawing/2010/main">
                <a:noFill/>
              </a14:hiddenFill>
            </a:ext>
          </a:extLst>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0" tIns="0" rIns="0" bIns="0" numCol="1" spcCol="1270" anchor="t" anchorCtr="0">
            <a:noAutofit/>
          </a:bodyPr>
          <a:lstStyle>
            <a:defPPr>
              <a:defRPr lang="da-DK"/>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algn="l"/>
            <a:r>
              <a:rPr lang="en-US" sz="900" b="0">
                <a:solidFill>
                  <a:srgbClr val="000000"/>
                </a:solidFill>
                <a:effectLst/>
                <a:latin typeface="Arial" panose="020B0604020202020204" pitchFamily="34" charset="0"/>
                <a:ea typeface="+mn-ea"/>
                <a:cs typeface="Arial" panose="020B0604020202020204" pitchFamily="34" charset="0"/>
              </a:rPr>
              <a:t>slutdato: 01-12-2016</a:t>
            </a:r>
          </a:p>
        </xdr:txBody>
      </xdr:sp>
      <xdr:sp macro="" textlink="">
        <xdr:nvSpPr>
          <xdr:cNvPr id="52" name="roadmap_0_0_0">
            <a:extLst>
              <a:ext uri="{FF2B5EF4-FFF2-40B4-BE49-F238E27FC236}">
                <a16:creationId xmlns:a16="http://schemas.microsoft.com/office/drawing/2014/main" id="{00000000-0008-0000-0400-000034000000}"/>
              </a:ext>
            </a:extLst>
          </xdr:cNvPr>
          <xdr:cNvSpPr/>
        </xdr:nvSpPr>
        <xdr:spPr>
          <a:xfrm>
            <a:off x="145372" y="250798"/>
            <a:ext cx="1442819" cy="111740"/>
          </a:xfrm>
          <a:prstGeom prst="rect">
            <a:avLst/>
          </a:prstGeom>
          <a:noFill/>
          <a:ln w="12700" cap="flat" cmpd="sng" algn="ctr">
            <a:noFill/>
            <a:prstDash val="solid"/>
            <a:miter lim="800000"/>
          </a:ln>
          <a:effectLst/>
          <a:extLst>
            <a:ext uri="{909E8E84-426E-40DD-AFC4-6F175D3DCCD1}">
              <a14:hiddenFill xmlns:a14="http://schemas.microsoft.com/office/drawing/2010/main">
                <a:noFill/>
              </a14:hiddenFill>
            </a:ext>
          </a:extLst>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0" tIns="0" rIns="0" bIns="0" numCol="1" spcCol="1270" anchor="t" anchorCtr="0">
            <a:noAutofit/>
          </a:bodyPr>
          <a:lstStyle>
            <a:defPPr>
              <a:defRPr lang="da-DK"/>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algn="l"/>
            <a:r>
              <a:rPr lang="en-US" sz="900" b="0">
                <a:solidFill>
                  <a:srgbClr val="000000"/>
                </a:solidFill>
                <a:effectLst/>
                <a:latin typeface="Arial" panose="020B0604020202020204" pitchFamily="34" charset="0"/>
                <a:ea typeface="+mn-ea"/>
                <a:cs typeface="Arial" panose="020B0604020202020204" pitchFamily="34" charset="0"/>
              </a:rPr>
              <a:t>startdato: 01-05-2011</a:t>
            </a:r>
            <a:endParaRPr lang="da-DK" sz="900" b="0">
              <a:solidFill>
                <a:srgbClr val="000000"/>
              </a:solidFill>
              <a:effectLst/>
              <a:latin typeface="Arial" panose="020B0604020202020204" pitchFamily="34" charset="0"/>
              <a:cs typeface="Arial" panose="020B0604020202020204" pitchFamily="34" charset="0"/>
            </a:endParaRPr>
          </a:p>
        </xdr:txBody>
      </xdr:sp>
      <xdr:sp macro="" textlink="">
        <xdr:nvSpPr>
          <xdr:cNvPr id="53" name="roadmap_1_2_1_0_0">
            <a:extLst>
              <a:ext uri="{FF2B5EF4-FFF2-40B4-BE49-F238E27FC236}">
                <a16:creationId xmlns:a16="http://schemas.microsoft.com/office/drawing/2014/main" id="{00000000-0008-0000-0400-000035000000}"/>
              </a:ext>
            </a:extLst>
          </xdr:cNvPr>
          <xdr:cNvSpPr/>
        </xdr:nvSpPr>
        <xdr:spPr>
          <a:xfrm>
            <a:off x="4342805" y="678020"/>
            <a:ext cx="1153371" cy="113711"/>
          </a:xfrm>
          <a:prstGeom prst="rect">
            <a:avLst/>
          </a:prstGeom>
          <a:noFill/>
          <a:ln w="12700" cap="flat" cmpd="sng" algn="ctr">
            <a:noFill/>
            <a:prstDash val="solid"/>
            <a:miter lim="800000"/>
          </a:ln>
          <a:effectLst/>
          <a:extLst>
            <a:ext uri="{909E8E84-426E-40DD-AFC4-6F175D3DCCD1}">
              <a14:hiddenFill xmlns:a14="http://schemas.microsoft.com/office/drawing/2010/main">
                <a:noFill/>
              </a14:hiddenFill>
            </a:ext>
          </a:extLst>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0" tIns="0" rIns="0" bIns="0" numCol="1" spcCol="1270" anchor="t" anchorCtr="0">
            <a:noAutofit/>
          </a:bodyPr>
          <a:lstStyle>
            <a:defPPr>
              <a:defRPr lang="da-DK"/>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algn="l"/>
            <a:r>
              <a:rPr lang="en-US" sz="900" b="0">
                <a:solidFill>
                  <a:srgbClr val="000000"/>
                </a:solidFill>
                <a:effectLst/>
                <a:latin typeface="Arial" panose="020B0604020202020204" pitchFamily="34" charset="0"/>
                <a:ea typeface="+mn-ea"/>
                <a:cs typeface="Arial" panose="020B0604020202020204" pitchFamily="34" charset="0"/>
              </a:rPr>
              <a:t>slutdato: 01-08-2020</a:t>
            </a:r>
          </a:p>
        </xdr:txBody>
      </xdr:sp>
      <xdr:sp macro="" textlink="">
        <xdr:nvSpPr>
          <xdr:cNvPr id="54" name="roadmap_1_2_1_0">
            <a:extLst>
              <a:ext uri="{FF2B5EF4-FFF2-40B4-BE49-F238E27FC236}">
                <a16:creationId xmlns:a16="http://schemas.microsoft.com/office/drawing/2014/main" id="{00000000-0008-0000-0400-000036000000}"/>
              </a:ext>
            </a:extLst>
          </xdr:cNvPr>
          <xdr:cNvSpPr/>
        </xdr:nvSpPr>
        <xdr:spPr>
          <a:xfrm>
            <a:off x="3576454" y="430102"/>
            <a:ext cx="1901550" cy="479517"/>
          </a:xfrm>
          <a:prstGeom prst="round2SameRect">
            <a:avLst/>
          </a:prstGeom>
          <a:noFill/>
          <a:ln w="12700" cap="flat" cmpd="sng" algn="ctr">
            <a:gradFill flip="none" rotWithShape="1">
              <a:gsLst>
                <a:gs pos="30000">
                  <a:schemeClr val="bg1">
                    <a:lumMod val="65000"/>
                  </a:schemeClr>
                </a:gs>
                <a:gs pos="46000">
                  <a:srgbClr val="F8F8DE">
                    <a:alpha val="0"/>
                  </a:srgbClr>
                </a:gs>
              </a:gsLst>
              <a:lin ang="6060000" scaled="0"/>
              <a:tileRect/>
            </a:gradFill>
            <a:prstDash val="solid"/>
            <a:miter lim="800000"/>
          </a:ln>
          <a:effectLst/>
          <a:extLst>
            <a:ext uri="{909E8E84-426E-40DD-AFC4-6F175D3DCCD1}">
              <a14:hiddenFill xmlns:a14="http://schemas.microsoft.com/office/drawing/2010/main">
                <a:noFill/>
              </a14:hiddenFill>
            </a:ext>
          </a:extLst>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2000" tIns="72000" rIns="0" bIns="136123" numCol="1" spcCol="1270" anchor="t" anchorCtr="0">
            <a:noAutofit/>
          </a:bodyPr>
          <a:lstStyle>
            <a:defPPr>
              <a:defRPr lang="da-DK"/>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defTabSz="755650">
              <a:lnSpc>
                <a:spcPct val="90000"/>
              </a:lnSpc>
              <a:spcBef>
                <a:spcPct val="0"/>
              </a:spcBef>
              <a:spcAft>
                <a:spcPct val="35000"/>
              </a:spcAft>
            </a:pPr>
            <a:r>
              <a:rPr lang="en-US" sz="900" b="1">
                <a:latin typeface="Arial" panose="020B0604020202020204" pitchFamily="34" charset="0"/>
                <a:cs typeface="Arial" panose="020B0604020202020204" pitchFamily="34" charset="0"/>
              </a:rPr>
              <a:t>Udvikling og implementering     </a:t>
            </a:r>
          </a:p>
        </xdr:txBody>
      </xdr:sp>
      <xdr:sp macro="" textlink="">
        <xdr:nvSpPr>
          <xdr:cNvPr id="55" name="roadmap_1_0">
            <a:extLst>
              <a:ext uri="{FF2B5EF4-FFF2-40B4-BE49-F238E27FC236}">
                <a16:creationId xmlns:a16="http://schemas.microsoft.com/office/drawing/2014/main" id="{00000000-0008-0000-0400-000037000000}"/>
              </a:ext>
            </a:extLst>
          </xdr:cNvPr>
          <xdr:cNvSpPr/>
        </xdr:nvSpPr>
        <xdr:spPr>
          <a:xfrm>
            <a:off x="1657700" y="0"/>
            <a:ext cx="3822619" cy="1164846"/>
          </a:xfrm>
          <a:prstGeom prst="round2SameRect">
            <a:avLst>
              <a:gd name="adj1" fmla="val 5269"/>
              <a:gd name="adj2" fmla="val 0"/>
            </a:avLst>
          </a:prstGeom>
          <a:noFill/>
          <a:ln w="12700" cap="flat" cmpd="sng" algn="ctr">
            <a:gradFill flip="none" rotWithShape="1">
              <a:gsLst>
                <a:gs pos="61000">
                  <a:schemeClr val="bg1">
                    <a:lumMod val="65000"/>
                  </a:schemeClr>
                </a:gs>
                <a:gs pos="78000">
                  <a:srgbClr val="F8F8DE">
                    <a:alpha val="0"/>
                  </a:srgbClr>
                </a:gs>
              </a:gsLst>
              <a:lin ang="5640000" scaled="0"/>
              <a:tileRect/>
            </a:gradFill>
            <a:prstDash val="solid"/>
            <a:miter lim="800000"/>
          </a:ln>
          <a:effectLst/>
          <a:extLst>
            <a:ext uri="{909E8E84-426E-40DD-AFC4-6F175D3DCCD1}">
              <a14:hiddenFill xmlns:a14="http://schemas.microsoft.com/office/drawing/2010/main">
                <a:noFill/>
              </a14:hiddenFill>
            </a:ext>
          </a:extLst>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2000" tIns="72000" rIns="0" bIns="136123" numCol="1" spcCol="1270" anchor="t" anchorCtr="0">
            <a:noAutofit/>
          </a:bodyPr>
          <a:lstStyle>
            <a:defPPr>
              <a:defRPr lang="da-DK"/>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0" lvl="0" indent="0" algn="l" defTabSz="755650">
              <a:lnSpc>
                <a:spcPct val="90000"/>
              </a:lnSpc>
              <a:spcBef>
                <a:spcPct val="0"/>
              </a:spcBef>
              <a:spcAft>
                <a:spcPct val="35000"/>
              </a:spcAft>
            </a:pPr>
            <a:r>
              <a:rPr lang="en-US" sz="900" b="1" kern="1200">
                <a:solidFill>
                  <a:schemeClr val="dk1">
                    <a:hueOff val="0"/>
                    <a:satOff val="0"/>
                    <a:lumOff val="0"/>
                    <a:alphaOff val="0"/>
                  </a:schemeClr>
                </a:solidFill>
                <a:latin typeface="Arial" panose="020B0604020202020204" pitchFamily="34" charset="0"/>
                <a:ea typeface="+mn-ea"/>
                <a:cs typeface="Arial" panose="020B0604020202020204" pitchFamily="34" charset="0"/>
              </a:rPr>
              <a:t>Gennemførelsesfase</a:t>
            </a:r>
            <a:endParaRPr lang="en-US" sz="1100" b="1" kern="1200">
              <a:solidFill>
                <a:schemeClr val="dk1">
                  <a:hueOff val="0"/>
                  <a:satOff val="0"/>
                  <a:lumOff val="0"/>
                  <a:alphaOff val="0"/>
                </a:schemeClr>
              </a:solidFill>
              <a:latin typeface="Arial" panose="020B0604020202020204" pitchFamily="34" charset="0"/>
              <a:ea typeface="+mn-ea"/>
              <a:cs typeface="Arial" panose="020B0604020202020204" pitchFamily="34" charset="0"/>
            </a:endParaRPr>
          </a:p>
        </xdr:txBody>
      </xdr:sp>
      <xdr:sp macro="" textlink="">
        <xdr:nvSpPr>
          <xdr:cNvPr id="56" name="roadmap_1_1">
            <a:extLst>
              <a:ext uri="{FF2B5EF4-FFF2-40B4-BE49-F238E27FC236}">
                <a16:creationId xmlns:a16="http://schemas.microsoft.com/office/drawing/2014/main" id="{00000000-0008-0000-0400-000038000000}"/>
              </a:ext>
            </a:extLst>
          </xdr:cNvPr>
          <xdr:cNvSpPr/>
        </xdr:nvSpPr>
        <xdr:spPr>
          <a:xfrm>
            <a:off x="1656763" y="855425"/>
            <a:ext cx="3826601" cy="585147"/>
          </a:xfrm>
          <a:prstGeom prst="chevron">
            <a:avLst>
              <a:gd name="adj" fmla="val 40000"/>
            </a:avLst>
          </a:prstGeom>
          <a:solidFill>
            <a:srgbClr val="506E7A"/>
          </a:solidFill>
          <a:ln w="25400" cap="flat" cmpd="sng" algn="ctr">
            <a:noFill/>
            <a:prstDash val="solid"/>
            <a:miter lim="800000"/>
          </a:ln>
          <a:effectLst/>
          <a:extLst>
            <a:ext uri="{91240B29-F687-4F45-9708-019B960494DF}">
              <a14:hiddenLine xmlns:a14="http://schemas.microsoft.com/office/drawing/2010/main" w="25400" cap="flat" cmpd="sng" algn="ctr">
                <a:noFill/>
                <a:prstDash val="solid"/>
                <a:miter lim="800000"/>
              </a14:hiddenLine>
            </a:ext>
          </a:extLst>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wrap="square" anchor="ctr"/>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lgn="ctr"/>
            <a:r>
              <a:rPr lang="en-US" sz="1100" b="1">
                <a:solidFill>
                  <a:srgbClr val="FFFFFF"/>
                </a:solidFill>
                <a:effectLst/>
                <a:latin typeface="Arial" panose="020B0604020202020204" pitchFamily="34" charset="0"/>
                <a:ea typeface="+mn-ea"/>
                <a:cs typeface="Arial" panose="020B0604020202020204" pitchFamily="34" charset="0"/>
              </a:rPr>
              <a:t> </a:t>
            </a:r>
          </a:p>
        </xdr:txBody>
      </xdr:sp>
      <xdr:sp macro="" textlink="">
        <xdr:nvSpPr>
          <xdr:cNvPr id="57" name="roadmap_1_2_0_1">
            <a:extLst>
              <a:ext uri="{FF2B5EF4-FFF2-40B4-BE49-F238E27FC236}">
                <a16:creationId xmlns:a16="http://schemas.microsoft.com/office/drawing/2014/main" id="{00000000-0008-0000-0400-000039000000}"/>
              </a:ext>
            </a:extLst>
          </xdr:cNvPr>
          <xdr:cNvSpPr/>
        </xdr:nvSpPr>
        <xdr:spPr>
          <a:xfrm>
            <a:off x="1888915" y="919126"/>
            <a:ext cx="1689359" cy="443318"/>
          </a:xfrm>
          <a:prstGeom prst="chevron">
            <a:avLst>
              <a:gd name="adj" fmla="val 40000"/>
            </a:avLst>
          </a:prstGeom>
          <a:solidFill>
            <a:srgbClr val="C5D3D9"/>
          </a:solidFill>
          <a:ln w="25400" cap="flat" cmpd="sng" algn="ctr">
            <a:noFill/>
            <a:prstDash val="solid"/>
            <a:miter lim="800000"/>
          </a:ln>
          <a:effectLst/>
          <a:extLst>
            <a:ext uri="{91240B29-F687-4F45-9708-019B960494DF}">
              <a14:hiddenLine xmlns:a14="http://schemas.microsoft.com/office/drawing/2010/main" w="25400" cap="flat" cmpd="sng" algn="ctr">
                <a:noFill/>
                <a:prstDash val="solid"/>
                <a:miter lim="800000"/>
              </a14:hiddenLine>
            </a:ext>
          </a:extLst>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wrap="square" anchor="ctr"/>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da-DK" sz="1100" b="1">
                <a:solidFill>
                  <a:sysClr val="windowText" lastClr="000000"/>
                </a:solidFill>
                <a:latin typeface="Arial" panose="020B0604020202020204" pitchFamily="34" charset="0"/>
                <a:cs typeface="Arial" panose="020B0604020202020204" pitchFamily="34" charset="0"/>
              </a:rPr>
              <a:t>27 
måneder</a:t>
            </a:r>
          </a:p>
        </xdr:txBody>
      </xdr:sp>
      <xdr:sp macro="" textlink="">
        <xdr:nvSpPr>
          <xdr:cNvPr id="58" name="roadmap_1_2_1_1">
            <a:extLst>
              <a:ext uri="{FF2B5EF4-FFF2-40B4-BE49-F238E27FC236}">
                <a16:creationId xmlns:a16="http://schemas.microsoft.com/office/drawing/2014/main" id="{00000000-0008-0000-0400-00003A000000}"/>
              </a:ext>
            </a:extLst>
          </xdr:cNvPr>
          <xdr:cNvSpPr/>
        </xdr:nvSpPr>
        <xdr:spPr>
          <a:xfrm>
            <a:off x="3534145" y="919126"/>
            <a:ext cx="1765169" cy="443319"/>
          </a:xfrm>
          <a:prstGeom prst="chevron">
            <a:avLst>
              <a:gd name="adj" fmla="val 40000"/>
            </a:avLst>
          </a:prstGeom>
          <a:solidFill>
            <a:srgbClr val="C5D3D9"/>
          </a:solidFill>
          <a:ln w="25400" cap="flat" cmpd="sng" algn="ctr">
            <a:noFill/>
            <a:prstDash val="solid"/>
            <a:miter lim="800000"/>
          </a:ln>
          <a:effectLst/>
          <a:extLst>
            <a:ext uri="{91240B29-F687-4F45-9708-019B960494DF}">
              <a14:hiddenLine xmlns:a14="http://schemas.microsoft.com/office/drawing/2010/main" w="25400" cap="flat" cmpd="sng" algn="ctr">
                <a:noFill/>
                <a:prstDash val="solid"/>
                <a:miter lim="800000"/>
              </a14:hiddenLine>
            </a:ext>
          </a:extLst>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wrap="square" anchor="ctr"/>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da-DK" sz="1100" b="1">
                <a:solidFill>
                  <a:sysClr val="windowText" lastClr="000000"/>
                </a:solidFill>
                <a:latin typeface="Arial" panose="020B0604020202020204" pitchFamily="34" charset="0"/>
                <a:cs typeface="Arial" panose="020B0604020202020204" pitchFamily="34" charset="0"/>
              </a:rPr>
              <a:t>44 
måneder</a:t>
            </a:r>
          </a:p>
        </xdr:txBody>
      </xdr:sp>
      <xdr:sp macro="" textlink="">
        <xdr:nvSpPr>
          <xdr:cNvPr id="59" name="roadmap_0_1">
            <a:extLst>
              <a:ext uri="{FF2B5EF4-FFF2-40B4-BE49-F238E27FC236}">
                <a16:creationId xmlns:a16="http://schemas.microsoft.com/office/drawing/2014/main" id="{00000000-0008-0000-0400-00003B000000}"/>
              </a:ext>
            </a:extLst>
          </xdr:cNvPr>
          <xdr:cNvSpPr/>
        </xdr:nvSpPr>
        <xdr:spPr>
          <a:xfrm>
            <a:off x="9950" y="855424"/>
            <a:ext cx="1747016" cy="584604"/>
          </a:xfrm>
          <a:prstGeom prst="chevron">
            <a:avLst>
              <a:gd name="adj" fmla="val 40000"/>
            </a:avLst>
          </a:prstGeom>
          <a:solidFill>
            <a:srgbClr val="506E7A"/>
          </a:solidFill>
          <a:ln w="25400" cap="flat" cmpd="sng" algn="ctr">
            <a:noFill/>
            <a:prstDash val="solid"/>
            <a:miter lim="800000"/>
          </a:ln>
          <a:effectLst/>
          <a:extLst>
            <a:ext uri="{91240B29-F687-4F45-9708-019B960494DF}">
              <a14:hiddenLine xmlns:a14="http://schemas.microsoft.com/office/drawing/2010/main" w="25400" cap="flat" cmpd="sng" algn="ctr">
                <a:noFill/>
                <a:prstDash val="solid"/>
                <a:miter lim="800000"/>
              </a14:hiddenLine>
            </a:ext>
          </a:extLst>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wrap="square" anchor="ctr"/>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da-DK" sz="1100" b="1">
                <a:solidFill>
                  <a:srgbClr val="FFFFFF"/>
                </a:solidFill>
                <a:latin typeface="Arial" panose="020B0604020202020204" pitchFamily="34" charset="0"/>
                <a:ea typeface="+mn-ea"/>
                <a:cs typeface="Arial" panose="020B0604020202020204" pitchFamily="34" charset="0"/>
              </a:rPr>
              <a:t>40 
måneder</a:t>
            </a:r>
          </a:p>
        </xdr:txBody>
      </xdr:sp>
    </xdr:grpSp>
    <xdr:clientData/>
  </xdr:twoCellAnchor>
  <xdr:twoCellAnchor>
    <xdr:from>
      <xdr:col>16</xdr:col>
      <xdr:colOff>97970</xdr:colOff>
      <xdr:row>1</xdr:row>
      <xdr:rowOff>1676400</xdr:rowOff>
    </xdr:from>
    <xdr:to>
      <xdr:col>21</xdr:col>
      <xdr:colOff>239485</xdr:colOff>
      <xdr:row>1</xdr:row>
      <xdr:rowOff>3222171</xdr:rowOff>
    </xdr:to>
    <xdr:graphicFrame macro="">
      <xdr:nvGraphicFramePr>
        <xdr:cNvPr id="60" name="graph_C" descr="s_0_##md_0_model_reporting_header|md_3_header_title|md_3_start_line2a_0|md_3_chart-C_0#__________#md_0_model_reporting_dashboard_l2a#c_0_graphC">
          <a:extLst>
            <a:ext uri="{FF2B5EF4-FFF2-40B4-BE49-F238E27FC236}">
              <a16:creationId xmlns:a16="http://schemas.microsoft.com/office/drawing/2014/main" id="{00000000-0008-0000-04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27214</xdr:colOff>
      <xdr:row>12</xdr:row>
      <xdr:rowOff>40821</xdr:rowOff>
    </xdr:from>
    <xdr:to>
      <xdr:col>16</xdr:col>
      <xdr:colOff>1004454</xdr:colOff>
      <xdr:row>12</xdr:row>
      <xdr:rowOff>317911</xdr:rowOff>
    </xdr:to>
    <xdr:pic>
      <xdr:nvPicPr>
        <xdr:cNvPr id="119" name="g0+J/Xhz78jw0/qGEagnxg==" descr="s_0_##md_0_model_scenario-assumptions|md_2_scenarios_start|md_2_start_0_1#_______#md_0_model_scenario-assumptions__logo#s_2_rLogo">
          <a:extLst>
            <a:ext uri="{FF2B5EF4-FFF2-40B4-BE49-F238E27FC236}">
              <a16:creationId xmlns:a16="http://schemas.microsoft.com/office/drawing/2014/main" id="{00000000-0008-0000-0400-000077000000}"/>
            </a:ext>
          </a:extLst>
        </xdr:cNvPr>
        <xdr:cNvPicPr>
          <a:picLocks/>
        </xdr:cNvPicPr>
      </xdr:nvPicPr>
      <xdr:blipFill>
        <a:blip xmlns:r="http://schemas.openxmlformats.org/officeDocument/2006/relationships" r:embed="rId8" cstate="print">
          <a:biLevel thresh="25000"/>
          <a:extLst>
            <a:ext uri="{28A0092B-C50C-407E-A947-70E740481C1C}">
              <a14:useLocalDpi xmlns:a14="http://schemas.microsoft.com/office/drawing/2010/main" val="0"/>
            </a:ext>
          </a:extLst>
        </a:blip>
        <a:stretch>
          <a:fillRect/>
        </a:stretch>
      </xdr:blipFill>
      <xdr:spPr>
        <a:xfrm>
          <a:off x="8354785" y="40821"/>
          <a:ext cx="1303812" cy="277090"/>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0.00026</cdr:x>
      <cdr:y>0.00232</cdr:y>
    </cdr:from>
    <cdr:to>
      <cdr:x>0.99217</cdr:x>
      <cdr:y>0.98055</cdr:y>
    </cdr:to>
    <cdr:sp macro="" textlink="">
      <cdr:nvSpPr>
        <cdr:cNvPr id="2" name="Round Single Corner Rectangle 1"/>
        <cdr:cNvSpPr/>
      </cdr:nvSpPr>
      <cdr:spPr>
        <a:xfrm xmlns:a="http://schemas.openxmlformats.org/drawingml/2006/main" flipH="1">
          <a:off x="649" y="1923"/>
          <a:ext cx="2475361" cy="810634"/>
        </a:xfrm>
        <a:prstGeom xmlns:a="http://schemas.openxmlformats.org/drawingml/2006/main" prst="round1Rect">
          <a:avLst>
            <a:gd name="adj" fmla="val 5091"/>
          </a:avLst>
        </a:prstGeom>
        <a:noFill xmlns:a="http://schemas.openxmlformats.org/drawingml/2006/main"/>
        <a:ln xmlns:a="http://schemas.openxmlformats.org/drawingml/2006/main" w="12700" cap="flat" cmpd="sng" algn="ctr">
          <a:gradFill flip="none" rotWithShape="1">
            <a:gsLst>
              <a:gs pos="34000">
                <a:schemeClr val="bg1">
                  <a:lumMod val="65000"/>
                </a:schemeClr>
              </a:gs>
              <a:gs pos="49000">
                <a:srgbClr val="F8F8DE">
                  <a:alpha val="0"/>
                </a:srgbClr>
              </a:gs>
            </a:gsLst>
            <a:lin ang="6120000" scaled="0"/>
            <a:tileRect/>
          </a:gradFill>
          <a:prstDash val="solid"/>
          <a:miter lim="800000"/>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clip" rtlCol="0" anchor="t"/>
        <a:lstStyle xmlns:a="http://schemas.openxmlformats.org/drawingml/2006/main"/>
        <a:p xmlns:a="http://schemas.openxmlformats.org/drawingml/2006/main">
          <a:pPr marL="0" indent="0"/>
          <a:endParaRPr lang="da-DK" sz="900">
            <a:solidFill>
              <a:schemeClr val="lt1"/>
            </a:solidFill>
            <a:latin typeface="Arial" panose="020B0604020202020204" pitchFamily="34" charset="0"/>
            <a:ea typeface="+mn-ea"/>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0.00342</cdr:x>
      <cdr:y>0</cdr:y>
    </cdr:from>
    <cdr:to>
      <cdr:x>0.99504</cdr:x>
      <cdr:y>0.97823</cdr:y>
    </cdr:to>
    <cdr:sp macro="" textlink="">
      <cdr:nvSpPr>
        <cdr:cNvPr id="2" name="Round Single Corner Rectangle 1"/>
        <cdr:cNvSpPr/>
      </cdr:nvSpPr>
      <cdr:spPr>
        <a:xfrm xmlns:a="http://schemas.openxmlformats.org/drawingml/2006/main" flipH="1">
          <a:off x="21799" y="0"/>
          <a:ext cx="6320492" cy="1710060"/>
        </a:xfrm>
        <a:prstGeom xmlns:a="http://schemas.openxmlformats.org/drawingml/2006/main" prst="round1Rect">
          <a:avLst>
            <a:gd name="adj" fmla="val 5091"/>
          </a:avLst>
        </a:prstGeom>
        <a:noFill xmlns:a="http://schemas.openxmlformats.org/drawingml/2006/main"/>
        <a:ln xmlns:a="http://schemas.openxmlformats.org/drawingml/2006/main" w="12700" cap="flat" cmpd="sng" algn="ctr">
          <a:gradFill flip="none" rotWithShape="1">
            <a:gsLst>
              <a:gs pos="38000">
                <a:schemeClr val="bg1">
                  <a:lumMod val="65000"/>
                </a:schemeClr>
              </a:gs>
              <a:gs pos="51000">
                <a:srgbClr val="F8F8DE">
                  <a:alpha val="0"/>
                </a:srgbClr>
              </a:gs>
            </a:gsLst>
            <a:lin ang="6300000" scaled="0"/>
            <a:tileRect/>
          </a:gradFill>
          <a:prstDash val="solid"/>
          <a:miter lim="800000"/>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clip" rtlCol="0" anchor="t"/>
        <a:lstStyle xmlns:a="http://schemas.openxmlformats.org/drawingml/2006/main"/>
        <a:p xmlns:a="http://schemas.openxmlformats.org/drawingml/2006/main">
          <a:pPr marL="0" indent="0"/>
          <a:endParaRPr lang="da-DK" sz="900">
            <a:solidFill>
              <a:schemeClr val="lt1"/>
            </a:solidFill>
            <a:latin typeface="Arial" panose="020B0604020202020204" pitchFamily="34" charset="0"/>
            <a:ea typeface="+mn-ea"/>
            <a:cs typeface="Arial" panose="020B060402020202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0.00252</cdr:x>
      <cdr:y>0.00232</cdr:y>
    </cdr:from>
    <cdr:to>
      <cdr:x>0.99542</cdr:x>
      <cdr:y>1</cdr:y>
    </cdr:to>
    <cdr:sp macro="" textlink="">
      <cdr:nvSpPr>
        <cdr:cNvPr id="2" name="Round Single Corner Rectangle 1"/>
        <cdr:cNvSpPr/>
      </cdr:nvSpPr>
      <cdr:spPr>
        <a:xfrm xmlns:a="http://schemas.openxmlformats.org/drawingml/2006/main" flipH="1">
          <a:off x="15240" y="4101"/>
          <a:ext cx="5999745" cy="1763739"/>
        </a:xfrm>
        <a:prstGeom xmlns:a="http://schemas.openxmlformats.org/drawingml/2006/main" prst="round1Rect">
          <a:avLst>
            <a:gd name="adj" fmla="val 5091"/>
          </a:avLst>
        </a:prstGeom>
        <a:noFill xmlns:a="http://schemas.openxmlformats.org/drawingml/2006/main"/>
        <a:ln xmlns:a="http://schemas.openxmlformats.org/drawingml/2006/main" w="12700" cap="flat" cmpd="sng" algn="ctr">
          <a:gradFill flip="none" rotWithShape="1">
            <a:gsLst>
              <a:gs pos="34000">
                <a:schemeClr val="bg1">
                  <a:lumMod val="65000"/>
                </a:schemeClr>
              </a:gs>
              <a:gs pos="49000">
                <a:srgbClr val="F8F8DE">
                  <a:alpha val="0"/>
                </a:srgbClr>
              </a:gs>
            </a:gsLst>
            <a:lin ang="6300000" scaled="0"/>
            <a:tileRect/>
          </a:gradFill>
          <a:prstDash val="solid"/>
          <a:miter lim="800000"/>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clip" rtlCol="0" anchor="t"/>
        <a:lstStyle xmlns:a="http://schemas.openxmlformats.org/drawingml/2006/main"/>
        <a:p xmlns:a="http://schemas.openxmlformats.org/drawingml/2006/main">
          <a:pPr marL="0" indent="0"/>
          <a:endParaRPr lang="da-DK" sz="1100">
            <a:solidFill>
              <a:schemeClr val="lt1"/>
            </a:solidFill>
            <a:latin typeface="Arial" panose="020B0604020202020204" pitchFamily="34" charset="0"/>
            <a:ea typeface="+mn-ea"/>
            <a:cs typeface="Arial" panose="020B06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0.00026</cdr:x>
      <cdr:y>0.00232</cdr:y>
    </cdr:from>
    <cdr:to>
      <cdr:x>0.99217</cdr:x>
      <cdr:y>0.98055</cdr:y>
    </cdr:to>
    <cdr:sp macro="" textlink="">
      <cdr:nvSpPr>
        <cdr:cNvPr id="5" name="Round Single Corner Rectangle 1"/>
        <cdr:cNvSpPr/>
      </cdr:nvSpPr>
      <cdr:spPr>
        <a:xfrm xmlns:a="http://schemas.openxmlformats.org/drawingml/2006/main" flipH="1">
          <a:off x="1568" y="4124"/>
          <a:ext cx="5981898" cy="1738893"/>
        </a:xfrm>
        <a:prstGeom xmlns:a="http://schemas.openxmlformats.org/drawingml/2006/main" prst="round1Rect">
          <a:avLst>
            <a:gd name="adj" fmla="val 5091"/>
          </a:avLst>
        </a:prstGeom>
        <a:noFill xmlns:a="http://schemas.openxmlformats.org/drawingml/2006/main"/>
        <a:ln xmlns:a="http://schemas.openxmlformats.org/drawingml/2006/main" w="12700" cap="flat" cmpd="sng" algn="ctr">
          <a:gradFill flip="none" rotWithShape="1">
            <a:gsLst>
              <a:gs pos="34000">
                <a:schemeClr val="bg1">
                  <a:lumMod val="65000"/>
                </a:schemeClr>
              </a:gs>
              <a:gs pos="49000">
                <a:srgbClr val="F8F8DE"/>
              </a:gs>
            </a:gsLst>
            <a:lin ang="6180000" scaled="0"/>
            <a:tileRect/>
          </a:gradFill>
          <a:prstDash val="solid"/>
          <a:miter lim="800000"/>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clip" rtlCol="0" anchor="t"/>
        <a:lstStyle xmlns:a="http://schemas.openxmlformats.org/drawingml/2006/main"/>
        <a:p xmlns:a="http://schemas.openxmlformats.org/drawingml/2006/main">
          <a:pPr marL="0" indent="0"/>
          <a:endParaRPr lang="da-DK" sz="1100">
            <a:solidFill>
              <a:schemeClr val="lt1"/>
            </a:solidFill>
            <a:latin typeface="+mn-lt"/>
            <a:ea typeface="+mn-ea"/>
            <a:cs typeface="+mn-cs"/>
          </a:endParaRPr>
        </a:p>
      </cdr:txBody>
    </cdr:sp>
  </cdr:relSizeAnchor>
</c:userShape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1"/>
  <dimension ref="A1:X18"/>
  <sheetViews>
    <sheetView workbookViewId="0">
      <selection activeCell="D5" sqref="D5"/>
    </sheetView>
  </sheetViews>
  <sheetFormatPr defaultColWidth="9.140625" defaultRowHeight="12" x14ac:dyDescent="0.2"/>
  <cols>
    <col min="1" max="1" width="4.85546875" style="153" customWidth="1"/>
    <col min="2" max="2" width="1.42578125" style="153" customWidth="1"/>
    <col min="3" max="3" width="24.140625" style="153" customWidth="1"/>
    <col min="4" max="4" width="78" style="153" customWidth="1"/>
    <col min="5" max="5" width="11.42578125" style="153" customWidth="1"/>
    <col min="6" max="16384" width="9.140625" style="153"/>
  </cols>
  <sheetData>
    <row r="1" spans="1:24" ht="49.5" customHeight="1" x14ac:dyDescent="0.2">
      <c r="A1" s="152"/>
      <c r="B1" s="152"/>
      <c r="C1" s="152"/>
      <c r="D1" s="152"/>
      <c r="E1" s="152"/>
      <c r="F1" s="152"/>
      <c r="G1" s="152"/>
      <c r="H1" s="152"/>
      <c r="I1" s="152"/>
      <c r="J1" s="152"/>
      <c r="K1" s="152"/>
      <c r="L1" s="152"/>
      <c r="M1" s="152"/>
      <c r="N1" s="152"/>
      <c r="O1" s="152"/>
      <c r="P1" s="152"/>
      <c r="Q1" s="152"/>
      <c r="R1" s="152"/>
      <c r="S1" s="152"/>
      <c r="T1" s="152"/>
      <c r="U1" s="152"/>
      <c r="V1" s="152"/>
      <c r="W1" s="152"/>
      <c r="X1" s="152"/>
    </row>
    <row r="3" spans="1:24" ht="28.5" x14ac:dyDescent="0.2">
      <c r="C3" s="220" t="s">
        <v>414</v>
      </c>
    </row>
    <row r="4" spans="1:24" ht="15.75" x14ac:dyDescent="0.2">
      <c r="C4" s="221" t="s">
        <v>374</v>
      </c>
      <c r="D4" s="222" t="s">
        <v>375</v>
      </c>
      <c r="E4" s="222" t="s">
        <v>376</v>
      </c>
    </row>
    <row r="5" spans="1:24" ht="39" customHeight="1" x14ac:dyDescent="0.2">
      <c r="C5" s="205" t="s">
        <v>571</v>
      </c>
      <c r="D5" s="203" t="s">
        <v>575</v>
      </c>
      <c r="E5" s="224" t="s">
        <v>570</v>
      </c>
    </row>
    <row r="6" spans="1:24" ht="39" customHeight="1" x14ac:dyDescent="0.2">
      <c r="C6" s="205" t="s">
        <v>565</v>
      </c>
      <c r="D6" s="203" t="s">
        <v>566</v>
      </c>
      <c r="E6" s="205" t="s">
        <v>377</v>
      </c>
    </row>
    <row r="7" spans="1:24" ht="12.75" x14ac:dyDescent="0.2">
      <c r="C7" s="202" t="s">
        <v>554</v>
      </c>
      <c r="D7" s="206" t="s">
        <v>555</v>
      </c>
      <c r="E7" s="202" t="s">
        <v>556</v>
      </c>
    </row>
    <row r="8" spans="1:24" ht="25.5" x14ac:dyDescent="0.2">
      <c r="C8" s="202">
        <v>45511</v>
      </c>
      <c r="D8" s="207" t="s">
        <v>441</v>
      </c>
      <c r="E8" s="205" t="s">
        <v>439</v>
      </c>
    </row>
    <row r="9" spans="1:24" ht="114.75" x14ac:dyDescent="0.2">
      <c r="C9" s="202">
        <v>45505</v>
      </c>
      <c r="D9" s="208" t="s">
        <v>440</v>
      </c>
      <c r="E9" s="204" t="s">
        <v>439</v>
      </c>
    </row>
    <row r="10" spans="1:24" ht="12.75" x14ac:dyDescent="0.2">
      <c r="C10" s="202">
        <v>45469.122916666704</v>
      </c>
      <c r="D10" s="210" t="s">
        <v>438</v>
      </c>
      <c r="E10" s="202" t="s">
        <v>377</v>
      </c>
    </row>
    <row r="11" spans="1:24" ht="25.5" x14ac:dyDescent="0.2">
      <c r="C11" s="202">
        <v>45454</v>
      </c>
      <c r="D11" s="211" t="s">
        <v>436</v>
      </c>
      <c r="E11" s="213" t="s">
        <v>377</v>
      </c>
    </row>
    <row r="12" spans="1:24" ht="38.25" x14ac:dyDescent="0.2">
      <c r="C12" s="202">
        <v>45412</v>
      </c>
      <c r="D12" s="212" t="s">
        <v>434</v>
      </c>
      <c r="E12" s="204" t="s">
        <v>377</v>
      </c>
    </row>
    <row r="13" spans="1:24" ht="63.75" x14ac:dyDescent="0.2">
      <c r="C13" s="202" t="s">
        <v>431</v>
      </c>
      <c r="D13" s="212" t="s">
        <v>432</v>
      </c>
      <c r="E13" s="213" t="s">
        <v>377</v>
      </c>
    </row>
    <row r="14" spans="1:24" ht="38.25" x14ac:dyDescent="0.2">
      <c r="B14" s="201"/>
      <c r="C14" s="216" t="s">
        <v>428</v>
      </c>
      <c r="D14" s="208" t="s">
        <v>429</v>
      </c>
      <c r="E14" s="214" t="s">
        <v>377</v>
      </c>
    </row>
    <row r="15" spans="1:24" ht="25.5" x14ac:dyDescent="0.2">
      <c r="B15" s="201"/>
      <c r="C15" s="217" t="s">
        <v>426</v>
      </c>
      <c r="D15" s="209" t="s">
        <v>427</v>
      </c>
      <c r="E15" s="215" t="s">
        <v>377</v>
      </c>
    </row>
    <row r="16" spans="1:24" ht="25.5" x14ac:dyDescent="0.2">
      <c r="C16" s="202" t="s">
        <v>415</v>
      </c>
      <c r="D16" s="212" t="s">
        <v>416</v>
      </c>
      <c r="E16" s="219" t="s">
        <v>377</v>
      </c>
    </row>
    <row r="17" spans="2:5" ht="12.75" x14ac:dyDescent="0.2">
      <c r="B17" s="201"/>
      <c r="C17" s="202" t="s">
        <v>411</v>
      </c>
      <c r="D17" s="218" t="s">
        <v>412</v>
      </c>
      <c r="E17" s="213" t="s">
        <v>413</v>
      </c>
    </row>
    <row r="18" spans="2:5" ht="12.75" x14ac:dyDescent="0.2">
      <c r="B18" s="201"/>
      <c r="C18" s="205" t="s">
        <v>379</v>
      </c>
      <c r="D18" s="211" t="s">
        <v>378</v>
      </c>
      <c r="E18" s="204" t="s">
        <v>377</v>
      </c>
    </row>
  </sheetData>
  <pageMargins left="0.7" right="0.7" top="0.75" bottom="0.75" header="0.3" footer="0.3"/>
  <headerFooter>
    <oddFooter>&amp;C_x000D_&amp;1#&amp;"Aptos"&amp;10&amp;K000000 Denne information er følsom og må derfor kun deles inden for staten.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NR_6">
    <tabColor rgb="FF808080"/>
  </sheetPr>
  <dimension ref="A1:U291"/>
  <sheetViews>
    <sheetView zoomScale="85" zoomScaleNormal="85" workbookViewId="0">
      <selection activeCell="B10" sqref="B10"/>
    </sheetView>
  </sheetViews>
  <sheetFormatPr defaultColWidth="9.140625" defaultRowHeight="12.75" x14ac:dyDescent="0.2"/>
  <cols>
    <col min="1" max="1" width="13.140625" customWidth="1"/>
    <col min="2" max="2" width="54" customWidth="1"/>
    <col min="3" max="3" width="17.85546875" customWidth="1"/>
    <col min="4" max="4" width="17.140625" customWidth="1"/>
    <col min="5" max="5" width="23.7109375" customWidth="1"/>
    <col min="6" max="6" width="19.42578125" customWidth="1"/>
    <col min="7" max="10" width="16.85546875" customWidth="1"/>
    <col min="11" max="11" width="19.28515625" customWidth="1"/>
    <col min="12" max="12" width="17.140625" customWidth="1"/>
    <col min="13" max="13" width="19.140625" customWidth="1"/>
    <col min="14" max="14" width="24.140625" customWidth="1"/>
    <col min="15" max="15" width="21" customWidth="1"/>
    <col min="16" max="16" width="23.5703125" customWidth="1"/>
    <col min="17" max="17" width="28" customWidth="1"/>
    <col min="18" max="18" width="21.5703125" customWidth="1"/>
    <col min="19" max="19" width="17.140625" customWidth="1"/>
    <col min="20" max="20" width="15.5703125" customWidth="1"/>
    <col min="21" max="21" width="13.28515625" bestFit="1" customWidth="1"/>
  </cols>
  <sheetData>
    <row r="1" spans="1:21" s="2" customFormat="1" ht="12.75" customHeight="1" x14ac:dyDescent="0.2">
      <c r="A1" s="1" t="s">
        <v>283</v>
      </c>
      <c r="B1" s="1" t="s">
        <v>284</v>
      </c>
      <c r="C1" s="1" t="s">
        <v>285</v>
      </c>
      <c r="D1" s="1" t="s">
        <v>286</v>
      </c>
      <c r="E1" s="1" t="s">
        <v>39</v>
      </c>
      <c r="F1" s="1" t="s">
        <v>40</v>
      </c>
      <c r="G1" s="1" t="s">
        <v>41</v>
      </c>
      <c r="H1" s="1"/>
      <c r="I1" s="1"/>
      <c r="J1" s="1"/>
      <c r="K1" s="1" t="s">
        <v>42</v>
      </c>
      <c r="L1" s="1" t="s">
        <v>43</v>
      </c>
      <c r="M1" s="1" t="s">
        <v>44</v>
      </c>
      <c r="N1" s="1" t="s">
        <v>45</v>
      </c>
      <c r="O1" s="1" t="s">
        <v>274</v>
      </c>
      <c r="P1" s="1" t="s">
        <v>275</v>
      </c>
      <c r="Q1" s="1" t="s">
        <v>276</v>
      </c>
      <c r="R1" s="1" t="s">
        <v>277</v>
      </c>
      <c r="S1" s="1" t="s">
        <v>278</v>
      </c>
      <c r="T1" s="1" t="s">
        <v>279</v>
      </c>
      <c r="U1" s="1" t="s">
        <v>280</v>
      </c>
    </row>
    <row r="2" spans="1:21" x14ac:dyDescent="0.2">
      <c r="A2" t="s">
        <v>288</v>
      </c>
      <c r="B2" t="s">
        <v>287</v>
      </c>
      <c r="C2" s="3" t="s">
        <v>46</v>
      </c>
      <c r="D2" s="3" t="s">
        <v>47</v>
      </c>
      <c r="E2" s="3" t="s">
        <v>48</v>
      </c>
      <c r="F2" s="3" t="s">
        <v>49</v>
      </c>
      <c r="G2" s="3" t="s">
        <v>50</v>
      </c>
      <c r="H2" s="3"/>
      <c r="I2" s="3"/>
      <c r="J2" s="3"/>
      <c r="K2" s="3" t="s">
        <v>51</v>
      </c>
      <c r="L2" s="3" t="s">
        <v>52</v>
      </c>
      <c r="M2" s="3" t="s">
        <v>56</v>
      </c>
      <c r="N2" s="3" t="s">
        <v>57</v>
      </c>
      <c r="O2" s="3" t="s">
        <v>58</v>
      </c>
      <c r="P2" s="3" t="s">
        <v>273</v>
      </c>
      <c r="Q2" s="3" t="s">
        <v>271</v>
      </c>
      <c r="R2" s="3" t="s">
        <v>272</v>
      </c>
      <c r="S2" s="3" t="s">
        <v>53</v>
      </c>
      <c r="T2" s="3" t="s">
        <v>54</v>
      </c>
      <c r="U2" s="3" t="s">
        <v>55</v>
      </c>
    </row>
    <row r="3" spans="1:21" x14ac:dyDescent="0.2">
      <c r="A3" s="130" t="s">
        <v>290</v>
      </c>
      <c r="B3" s="134" t="s">
        <v>289</v>
      </c>
      <c r="C3" s="3" t="s">
        <v>59</v>
      </c>
      <c r="D3">
        <v>0.05</v>
      </c>
      <c r="E3">
        <v>3.5000000000000003E-2</v>
      </c>
      <c r="F3">
        <v>2011</v>
      </c>
      <c r="G3">
        <v>2027</v>
      </c>
      <c r="K3">
        <v>2011</v>
      </c>
      <c r="L3">
        <v>1</v>
      </c>
      <c r="M3">
        <f ca="1">IF(INDEX(Stamoplysninger!K95:O95,2)&lt;&gt;0,INDEX(Stamoplysninger!K95:O95,2),YEAR(NOW()))</f>
        <v>2026</v>
      </c>
      <c r="N3">
        <f ca="1">IF(INDEX(Stamoplysninger!K99:O99,2)&lt;&gt;0,INDEX(Stamoplysninger!K99:O99,2),YEAR(NOW()))</f>
        <v>2026</v>
      </c>
      <c r="O3">
        <f ca="1">INDEX(g_pl_factors,(g_reporting_year-g_pl_years_start)*(g_pl_years_end-g_pl_years_start+1)+(g_pl_year-g_pl_years_start+1))</f>
        <v>1</v>
      </c>
      <c r="P3" s="4">
        <f>INDEX(Stamoplysninger!K29:O29,2)</f>
        <v>0</v>
      </c>
      <c r="Q3">
        <f>INDEX(Stamoplysninger!$K$48:$O$48,4)</f>
        <v>0</v>
      </c>
      <c r="R3" s="4">
        <f>INDEX(Stamoplysninger!$K$48:$O$48,3)</f>
        <v>0</v>
      </c>
      <c r="S3">
        <f ca="1">S5-S4</f>
        <v>3</v>
      </c>
      <c r="T3">
        <f ca="1">T5-T4</f>
        <v>3</v>
      </c>
      <c r="U3" s="3" t="s">
        <v>60</v>
      </c>
    </row>
    <row r="4" spans="1:21" x14ac:dyDescent="0.2">
      <c r="A4" s="130" t="s">
        <v>291</v>
      </c>
      <c r="B4" s="130" t="s">
        <v>146</v>
      </c>
      <c r="C4" s="3" t="s">
        <v>61</v>
      </c>
      <c r="K4">
        <v>2012</v>
      </c>
      <c r="L4">
        <v>0.98425196850393704</v>
      </c>
      <c r="P4" s="4">
        <f>INDEX(Stamoplysninger!K36:O36,2)</f>
        <v>0</v>
      </c>
      <c r="Q4">
        <f>INDEX(Stamoplysninger!$K$50:$O$50,4)</f>
        <v>0</v>
      </c>
      <c r="R4" s="4">
        <f>INDEX(Stamoplysninger!$K$50:$O$50,3)</f>
        <v>0</v>
      </c>
      <c r="S4">
        <f ca="1">MIN(S6:S8)</f>
        <v>2026</v>
      </c>
      <c r="T4">
        <f ca="1">S4</f>
        <v>2026</v>
      </c>
      <c r="U4" s="3" t="s">
        <v>241</v>
      </c>
    </row>
    <row r="5" spans="1:21" x14ac:dyDescent="0.2">
      <c r="A5" s="130" t="s">
        <v>293</v>
      </c>
      <c r="B5" s="130" t="s">
        <v>358</v>
      </c>
      <c r="C5" s="3" t="s">
        <v>62</v>
      </c>
      <c r="K5">
        <v>2013</v>
      </c>
      <c r="L5">
        <v>0.97935519254123082</v>
      </c>
      <c r="P5" s="4">
        <f>INDEX(Stamoplysninger!K38:O38,2)</f>
        <v>0</v>
      </c>
      <c r="Q5">
        <f>INDEX(Stamoplysninger!$K$52:$O$52,4)</f>
        <v>0</v>
      </c>
      <c r="R5" s="4">
        <f>INDEX(Stamoplysninger!$K$52:$O$52,3)</f>
        <v>0</v>
      </c>
      <c r="S5">
        <f ca="1">MAX(S6:S8)</f>
        <v>2029</v>
      </c>
      <c r="T5">
        <f ca="1">MAX(S5,T6:T25)</f>
        <v>2029</v>
      </c>
      <c r="U5" t="str">
        <f>IF(ISBLANK(INDEX(Stamoplysninger!$K$48:$O$48,2)),"",INDEX(Stamoplysninger!$K$48:$O$48,2))</f>
        <v/>
      </c>
    </row>
    <row r="6" spans="1:21" ht="15" x14ac:dyDescent="0.25">
      <c r="A6" s="130" t="s">
        <v>292</v>
      </c>
      <c r="B6" s="130" t="s">
        <v>569</v>
      </c>
      <c r="K6">
        <v>2014</v>
      </c>
      <c r="L6">
        <v>0.9754533790251303</v>
      </c>
      <c r="Q6">
        <f>INDEX(Stamoplysninger!$K$54:$O$54,4)</f>
        <v>0</v>
      </c>
      <c r="R6" s="4">
        <f>INDEX(Stamoplysninger!$K$54:$O$54,3)</f>
        <v>0</v>
      </c>
      <c r="S6" s="72">
        <f ca="1">IF(P3=0,YEAR(NOW()),YEAR(P3))</f>
        <v>2026</v>
      </c>
      <c r="T6" s="189">
        <f>YEAR(R3)+Q3</f>
        <v>1900</v>
      </c>
      <c r="U6" t="str">
        <f>IF(ISBLANK(INDEX(Stamoplysninger!$K$50:$O$50,2)),"",INDEX(Stamoplysninger!$K$50:$O$50,2))</f>
        <v/>
      </c>
    </row>
    <row r="7" spans="1:21" ht="15" x14ac:dyDescent="0.25">
      <c r="A7" s="130" t="s">
        <v>294</v>
      </c>
      <c r="B7" s="130" t="s">
        <v>296</v>
      </c>
      <c r="K7">
        <v>2015</v>
      </c>
      <c r="L7">
        <v>0.97060037713943326</v>
      </c>
      <c r="Q7">
        <f>INDEX(Stamoplysninger!$K$56:$O$56,4)</f>
        <v>0</v>
      </c>
      <c r="R7" s="4">
        <f>INDEX(Stamoplysninger!$K$56:$O$56,3)</f>
        <v>0</v>
      </c>
      <c r="S7" s="72">
        <f ca="1">IF(P4=0,S6,YEAR(P4))</f>
        <v>2026</v>
      </c>
      <c r="T7" s="189">
        <f>YEAR(R4)+Q4</f>
        <v>1900</v>
      </c>
      <c r="U7" t="str">
        <f>IF(ISBLANK(INDEX(Stamoplysninger!$K$52:$O$52,2)),"",INDEX(Stamoplysninger!$K$52:$O$52,2))</f>
        <v/>
      </c>
    </row>
    <row r="8" spans="1:21" ht="15" x14ac:dyDescent="0.25">
      <c r="A8" s="130" t="s">
        <v>295</v>
      </c>
      <c r="B8" s="131" t="s">
        <v>563</v>
      </c>
      <c r="K8">
        <v>2016</v>
      </c>
      <c r="L8">
        <v>0.96577151954172469</v>
      </c>
      <c r="Q8">
        <f>INDEX(Stamoplysninger!$K$58:$O$58,4)</f>
        <v>0</v>
      </c>
      <c r="R8" s="4">
        <f>INDEX(Stamoplysninger!$K$58:$O$58,3)</f>
        <v>0</v>
      </c>
      <c r="S8" s="72">
        <f ca="1">IF(P5=0,S6+3,YEAR(P5))</f>
        <v>2029</v>
      </c>
      <c r="T8" s="189">
        <f>YEAR(R5)+Q5</f>
        <v>1900</v>
      </c>
      <c r="U8" t="str">
        <f>IF(ISBLANK(INDEX(Stamoplysninger!$K$54:$O$54,2)),"",INDEX(Stamoplysninger!$K$54:$O$54,2))</f>
        <v/>
      </c>
    </row>
    <row r="9" spans="1:21" ht="15" x14ac:dyDescent="0.25">
      <c r="A9" s="130" t="s">
        <v>297</v>
      </c>
      <c r="B9" s="130" t="s">
        <v>240</v>
      </c>
      <c r="K9">
        <v>2017</v>
      </c>
      <c r="L9">
        <v>0.95431968334162509</v>
      </c>
      <c r="Q9">
        <f>INDEX(Stamoplysninger!$K$60:$O$60,4)</f>
        <v>0</v>
      </c>
      <c r="R9" s="4">
        <f>INDEX(Stamoplysninger!$K$60:$O$60,3)</f>
        <v>0</v>
      </c>
      <c r="T9" s="189">
        <f>YEAR(R6)+Q6</f>
        <v>1900</v>
      </c>
      <c r="U9" t="str">
        <f>IF(ISBLANK(INDEX(Stamoplysninger!$K56:$O56,2)),"",INDEX(Stamoplysninger!$K56:$O56,2))</f>
        <v/>
      </c>
    </row>
    <row r="10" spans="1:21" ht="15" x14ac:dyDescent="0.25">
      <c r="A10" s="130" t="s">
        <v>298</v>
      </c>
      <c r="B10" s="130" t="s">
        <v>574</v>
      </c>
      <c r="K10">
        <v>2018</v>
      </c>
      <c r="L10">
        <v>0.9365256951340778</v>
      </c>
      <c r="Q10">
        <f>INDEX(Stamoplysninger!$K$62:$O$62,4)</f>
        <v>0</v>
      </c>
      <c r="R10" s="4">
        <f>INDEX(Stamoplysninger!$K$62:$O$62,3)</f>
        <v>0</v>
      </c>
      <c r="T10" s="189">
        <f>YEAR(R7)+Q7</f>
        <v>1900</v>
      </c>
      <c r="U10" t="str">
        <f>IF(ISBLANK(INDEX(Stamoplysninger!$K58:$O58,2)),"",INDEX(Stamoplysninger!$K58:$O58,2))</f>
        <v/>
      </c>
    </row>
    <row r="11" spans="1:21" ht="15" x14ac:dyDescent="0.25">
      <c r="A11" s="130" t="s">
        <v>299</v>
      </c>
      <c r="B11" s="130" t="s">
        <v>96</v>
      </c>
      <c r="K11">
        <v>2019</v>
      </c>
      <c r="L11">
        <v>0.92450710279770765</v>
      </c>
      <c r="Q11">
        <f>INDEX(Stamoplysninger!$K$64:$O$64,4)</f>
        <v>0</v>
      </c>
      <c r="R11" s="4">
        <f>INDEX(Stamoplysninger!$K$64:$O$64,3)</f>
        <v>0</v>
      </c>
      <c r="T11" s="189">
        <f t="shared" ref="T11:T23" si="0">YEAR(R8)+Q8</f>
        <v>1900</v>
      </c>
      <c r="U11" t="str">
        <f>IF(ISBLANK(INDEX(Stamoplysninger!$K60:$O60,2)),"",INDEX(Stamoplysninger!$K60:$O60,2))</f>
        <v/>
      </c>
    </row>
    <row r="12" spans="1:21" ht="15" x14ac:dyDescent="0.25">
      <c r="A12" s="130" t="s">
        <v>300</v>
      </c>
      <c r="B12" s="130" t="s">
        <v>138</v>
      </c>
      <c r="K12">
        <v>2020</v>
      </c>
      <c r="L12">
        <v>0.91444817289585334</v>
      </c>
      <c r="Q12">
        <f>INDEX(Stamoplysninger!$K$66:$O$66,4)</f>
        <v>0</v>
      </c>
      <c r="R12" s="4">
        <f>INDEX(Stamoplysninger!$K$66:$O$66,3)</f>
        <v>0</v>
      </c>
      <c r="T12" s="189">
        <f t="shared" si="0"/>
        <v>1900</v>
      </c>
      <c r="U12" t="str">
        <f>IF(ISBLANK(INDEX(Stamoplysninger!$K62:$O62,2)),"",INDEX(Stamoplysninger!$K62:$O62,2))</f>
        <v/>
      </c>
    </row>
    <row r="13" spans="1:21" ht="15" x14ac:dyDescent="0.25">
      <c r="A13" s="130" t="s">
        <v>301</v>
      </c>
      <c r="B13" s="130" t="s">
        <v>435</v>
      </c>
      <c r="K13">
        <v>2021</v>
      </c>
      <c r="L13">
        <v>0.90360491392870879</v>
      </c>
      <c r="Q13">
        <f>INDEX(Stamoplysninger!$K$68:$O$68,4)</f>
        <v>0</v>
      </c>
      <c r="R13" s="4">
        <f>INDEX(Stamoplysninger!$K$68:$O$68,3)</f>
        <v>0</v>
      </c>
      <c r="T13" s="189">
        <f t="shared" si="0"/>
        <v>1900</v>
      </c>
      <c r="U13" t="str">
        <f>IF(ISBLANK(INDEX(Stamoplysninger!$K64:$O64,2)),"",INDEX(Stamoplysninger!$K64:$O64,2))</f>
        <v/>
      </c>
    </row>
    <row r="14" spans="1:21" ht="15" x14ac:dyDescent="0.25">
      <c r="A14" s="130" t="s">
        <v>302</v>
      </c>
      <c r="B14" s="130" t="s">
        <v>139</v>
      </c>
      <c r="K14">
        <v>2022</v>
      </c>
      <c r="L14">
        <v>0.86635178708409288</v>
      </c>
      <c r="Q14">
        <f>INDEX(Stamoplysninger!$K$70:$O$70,4)</f>
        <v>0</v>
      </c>
      <c r="R14" s="4">
        <f>INDEX(Stamoplysninger!$K$70:$O$70,3)</f>
        <v>0</v>
      </c>
      <c r="T14" s="189">
        <f t="shared" si="0"/>
        <v>1900</v>
      </c>
      <c r="U14" t="str">
        <f>IF(ISBLANK(INDEX(Stamoplysninger!$K66:$O66,2)),"",INDEX(Stamoplysninger!$K66:$O66,2))</f>
        <v/>
      </c>
    </row>
    <row r="15" spans="1:21" ht="15" x14ac:dyDescent="0.25">
      <c r="A15" s="130" t="s">
        <v>303</v>
      </c>
      <c r="B15" s="134" t="s">
        <v>61</v>
      </c>
      <c r="K15">
        <v>2023</v>
      </c>
      <c r="L15">
        <v>0.84522125569179796</v>
      </c>
      <c r="Q15">
        <f>INDEX(Stamoplysninger!$K$72:$O$72,4)</f>
        <v>0</v>
      </c>
      <c r="R15" s="4">
        <f>INDEX(Stamoplysninger!$K$72:$O$72,3)</f>
        <v>0</v>
      </c>
      <c r="T15" s="189">
        <f t="shared" si="0"/>
        <v>1900</v>
      </c>
      <c r="U15" t="str">
        <f>IF(ISBLANK(INDEX(Stamoplysninger!$K68:$O68,2)),"",INDEX(Stamoplysninger!$K68:$O68,2))</f>
        <v/>
      </c>
    </row>
    <row r="16" spans="1:21" ht="15" x14ac:dyDescent="0.25">
      <c r="A16" s="130" t="s">
        <v>304</v>
      </c>
      <c r="B16" s="130" t="s">
        <v>236</v>
      </c>
      <c r="K16">
        <v>2024</v>
      </c>
      <c r="L16">
        <v>0.81506389169893745</v>
      </c>
      <c r="Q16">
        <f>INDEX(Stamoplysninger!$K$74:$O$74,4)</f>
        <v>0</v>
      </c>
      <c r="R16" s="4">
        <f>INDEX(Stamoplysninger!$K$74:$O$74,3)</f>
        <v>0</v>
      </c>
      <c r="T16" s="189">
        <f t="shared" si="0"/>
        <v>1900</v>
      </c>
      <c r="U16" t="str">
        <f>IF(ISBLANK(INDEX(Stamoplysninger!$K70:$O70,2)),"",INDEX(Stamoplysninger!$K70:$O70,2))</f>
        <v/>
      </c>
    </row>
    <row r="17" spans="1:21" ht="15" x14ac:dyDescent="0.25">
      <c r="A17" s="130" t="s">
        <v>305</v>
      </c>
      <c r="B17" s="130" t="s">
        <v>62</v>
      </c>
      <c r="K17">
        <v>2025</v>
      </c>
      <c r="L17">
        <v>0.79596083173724363</v>
      </c>
      <c r="Q17">
        <f>INDEX(Stamoplysninger!$K$76:$O$76,4)</f>
        <v>0</v>
      </c>
      <c r="R17" s="4">
        <f>INDEX(Stamoplysninger!$K$76:$O$76,3)</f>
        <v>0</v>
      </c>
      <c r="T17" s="189">
        <f t="shared" si="0"/>
        <v>1900</v>
      </c>
      <c r="U17" t="str">
        <f>IF(ISBLANK(INDEX(Stamoplysninger!$K72:$O72,2)),"",INDEX(Stamoplysninger!$K72:$O72,2))</f>
        <v/>
      </c>
    </row>
    <row r="18" spans="1:21" ht="15" x14ac:dyDescent="0.25">
      <c r="A18" s="130" t="s">
        <v>306</v>
      </c>
      <c r="B18" s="130" t="s">
        <v>236</v>
      </c>
      <c r="K18">
        <v>2026</v>
      </c>
      <c r="L18">
        <v>0.77806532916641613</v>
      </c>
      <c r="Q18">
        <f>INDEX(Stamoplysninger!$K$78:$O$78,4)</f>
        <v>0</v>
      </c>
      <c r="R18" s="4">
        <f>INDEX(Stamoplysninger!$K$78:$O$78,3)</f>
        <v>0</v>
      </c>
      <c r="T18" s="189">
        <f t="shared" si="0"/>
        <v>1900</v>
      </c>
      <c r="U18" t="str">
        <f>IF(ISBLANK(INDEX(Stamoplysninger!$K74:$O74,2)),"",INDEX(Stamoplysninger!$K74:$O74,2))</f>
        <v/>
      </c>
    </row>
    <row r="19" spans="1:21" ht="15" x14ac:dyDescent="0.25">
      <c r="A19" s="130" t="s">
        <v>307</v>
      </c>
      <c r="B19" s="130" t="s">
        <v>239</v>
      </c>
      <c r="K19">
        <v>2027</v>
      </c>
      <c r="L19">
        <v>0.75982942301407819</v>
      </c>
      <c r="Q19">
        <f>INDEX(Stamoplysninger!$K$80:$O$80,4)</f>
        <v>0</v>
      </c>
      <c r="R19" s="4">
        <f>INDEX(Stamoplysninger!$K$80:$O$80,3)</f>
        <v>0</v>
      </c>
      <c r="T19" s="189">
        <f t="shared" si="0"/>
        <v>1900</v>
      </c>
      <c r="U19" t="str">
        <f>IF(ISBLANK(INDEX(Stamoplysninger!$K76:$O76,2)),"",INDEX(Stamoplysninger!$K76:$O76,2))</f>
        <v/>
      </c>
    </row>
    <row r="20" spans="1:21" ht="15" x14ac:dyDescent="0.25">
      <c r="A20" s="130" t="s">
        <v>308</v>
      </c>
      <c r="B20" s="130" t="s">
        <v>123</v>
      </c>
      <c r="L20">
        <v>1.016</v>
      </c>
      <c r="Q20">
        <f>INDEX(Stamoplysninger!$K$82:$O$82,4)</f>
        <v>0</v>
      </c>
      <c r="R20" s="4">
        <f>INDEX(Stamoplysninger!$K$82:$O$82,3)</f>
        <v>0</v>
      </c>
      <c r="T20" s="189">
        <f t="shared" si="0"/>
        <v>1900</v>
      </c>
      <c r="U20" t="str">
        <f>IF(ISBLANK(INDEX(Stamoplysninger!$K78:$O78,2)),"",INDEX(Stamoplysninger!$K78:$O78,2))</f>
        <v/>
      </c>
    </row>
    <row r="21" spans="1:21" ht="102.75" x14ac:dyDescent="0.25">
      <c r="A21" s="130" t="s">
        <v>309</v>
      </c>
      <c r="B21" s="135" t="s">
        <v>359</v>
      </c>
      <c r="L21">
        <v>1</v>
      </c>
      <c r="Q21">
        <f>INDEX(Stamoplysninger!$K$84:$O$84,4)</f>
        <v>0</v>
      </c>
      <c r="R21" s="4">
        <f>INDEX(Stamoplysninger!$K$84:$O$84,3)</f>
        <v>0</v>
      </c>
      <c r="T21" s="189">
        <f t="shared" si="0"/>
        <v>1900</v>
      </c>
      <c r="U21" t="str">
        <f>IF(ISBLANK(INDEX(Stamoplysninger!$K80:$O80,2)),"",INDEX(Stamoplysninger!$K80:$O80,2))</f>
        <v/>
      </c>
    </row>
    <row r="22" spans="1:21" ht="15" x14ac:dyDescent="0.25">
      <c r="A22" s="130" t="s">
        <v>310</v>
      </c>
      <c r="B22" s="130" t="s">
        <v>391</v>
      </c>
      <c r="L22">
        <v>0.99502487562189068</v>
      </c>
      <c r="Q22">
        <f>INDEX(Stamoplysninger!$K$86:$O$86,4)</f>
        <v>0</v>
      </c>
      <c r="R22" s="4">
        <f>INDEX(Stamoplysninger!$K$86:$O$86,3)</f>
        <v>0</v>
      </c>
      <c r="T22" s="189">
        <f t="shared" si="0"/>
        <v>1900</v>
      </c>
      <c r="U22" t="str">
        <f>IF(ISBLANK(INDEX(Stamoplysninger!$K82:$O82,2)),"",INDEX(Stamoplysninger!$K82:$O82,2))</f>
        <v/>
      </c>
    </row>
    <row r="23" spans="1:21" ht="15" x14ac:dyDescent="0.25">
      <c r="A23" s="130" t="s">
        <v>311</v>
      </c>
      <c r="B23" s="130" t="s">
        <v>140</v>
      </c>
      <c r="L23">
        <v>0.99106063308953263</v>
      </c>
      <c r="T23" s="189">
        <f t="shared" si="0"/>
        <v>1900</v>
      </c>
      <c r="U23" t="str">
        <f>IF(ISBLANK(INDEX(Stamoplysninger!$K84:$O84,2)),"",INDEX(Stamoplysninger!$K84:$O84,2))</f>
        <v/>
      </c>
    </row>
    <row r="24" spans="1:21" ht="15" x14ac:dyDescent="0.25">
      <c r="A24" s="130" t="s">
        <v>312</v>
      </c>
      <c r="B24" s="130" t="s">
        <v>141</v>
      </c>
      <c r="L24">
        <v>0.98612998317366451</v>
      </c>
      <c r="T24" s="189">
        <f>YEAR(R21)+Q21</f>
        <v>1900</v>
      </c>
      <c r="U24" t="str">
        <f>IF(ISBLANK(INDEX(Stamoplysninger!$K86:$O86,2)),"",INDEX(Stamoplysninger!$K86:$O86,2))</f>
        <v/>
      </c>
    </row>
    <row r="25" spans="1:21" ht="15" x14ac:dyDescent="0.25">
      <c r="A25" s="130" t="s">
        <v>313</v>
      </c>
      <c r="B25" s="130" t="s">
        <v>568</v>
      </c>
      <c r="L25">
        <v>0.98122386385439253</v>
      </c>
      <c r="T25" s="189">
        <f>YEAR(R22)+Q22</f>
        <v>1900</v>
      </c>
    </row>
    <row r="26" spans="1:21" x14ac:dyDescent="0.2">
      <c r="A26" s="130" t="s">
        <v>314</v>
      </c>
      <c r="B26" s="130" t="s">
        <v>137</v>
      </c>
      <c r="L26">
        <v>0.96958879827509148</v>
      </c>
    </row>
    <row r="27" spans="1:21" x14ac:dyDescent="0.2">
      <c r="A27" s="130" t="s">
        <v>315</v>
      </c>
      <c r="B27" s="134" t="s">
        <v>380</v>
      </c>
      <c r="L27">
        <v>0.95151010625622334</v>
      </c>
    </row>
    <row r="28" spans="1:21" x14ac:dyDescent="0.2">
      <c r="A28" s="130" t="s">
        <v>316</v>
      </c>
      <c r="B28" s="130" t="s">
        <v>142</v>
      </c>
      <c r="L28">
        <v>0.9392992164424715</v>
      </c>
    </row>
    <row r="29" spans="1:21" x14ac:dyDescent="0.2">
      <c r="A29" s="130" t="s">
        <v>317</v>
      </c>
      <c r="B29" s="130" t="s">
        <v>118</v>
      </c>
      <c r="L29">
        <v>0.92907934366218758</v>
      </c>
    </row>
    <row r="30" spans="1:21" x14ac:dyDescent="0.2">
      <c r="A30" s="130" t="s">
        <v>318</v>
      </c>
      <c r="B30" s="130" t="s">
        <v>143</v>
      </c>
      <c r="L30">
        <v>0.91806259255156863</v>
      </c>
    </row>
    <row r="31" spans="1:21" x14ac:dyDescent="0.2">
      <c r="A31" s="130" t="s">
        <v>319</v>
      </c>
      <c r="B31" s="130" t="s">
        <v>119</v>
      </c>
      <c r="L31">
        <v>0.88021341567743883</v>
      </c>
    </row>
    <row r="32" spans="1:21" x14ac:dyDescent="0.2">
      <c r="A32" s="130" t="s">
        <v>320</v>
      </c>
      <c r="B32" s="130" t="s">
        <v>121</v>
      </c>
      <c r="L32">
        <v>0.85874479578286722</v>
      </c>
    </row>
    <row r="33" spans="1:12" ht="89.25" x14ac:dyDescent="0.2">
      <c r="A33" s="130" t="s">
        <v>321</v>
      </c>
      <c r="B33" s="135" t="s">
        <v>437</v>
      </c>
      <c r="L33">
        <v>0.82810491396612074</v>
      </c>
    </row>
    <row r="34" spans="1:12" x14ac:dyDescent="0.2">
      <c r="A34" s="130" t="s">
        <v>322</v>
      </c>
      <c r="B34" s="130" t="s">
        <v>95</v>
      </c>
      <c r="L34">
        <v>0.80869620504503981</v>
      </c>
    </row>
    <row r="35" spans="1:12" x14ac:dyDescent="0.2">
      <c r="A35" s="130" t="s">
        <v>323</v>
      </c>
      <c r="B35" s="134" t="s">
        <v>390</v>
      </c>
      <c r="L35">
        <v>0.79051437443307904</v>
      </c>
    </row>
    <row r="36" spans="1:12" x14ac:dyDescent="0.2">
      <c r="A36" s="130" t="s">
        <v>324</v>
      </c>
      <c r="B36" s="130" t="s">
        <v>144</v>
      </c>
      <c r="L36">
        <v>0.77198669378230378</v>
      </c>
    </row>
    <row r="37" spans="1:12" x14ac:dyDescent="0.2">
      <c r="A37" s="130" t="s">
        <v>325</v>
      </c>
      <c r="B37" s="130" t="s">
        <v>360</v>
      </c>
      <c r="L37">
        <v>1.02108</v>
      </c>
    </row>
    <row r="38" spans="1:12" x14ac:dyDescent="0.2">
      <c r="A38" s="130" t="s">
        <v>326</v>
      </c>
      <c r="B38" s="130" t="s">
        <v>361</v>
      </c>
      <c r="L38">
        <v>1.0049999999999999</v>
      </c>
    </row>
    <row r="39" spans="1:12" x14ac:dyDescent="0.2">
      <c r="A39" s="130" t="s">
        <v>327</v>
      </c>
      <c r="B39" s="134" t="s">
        <v>122</v>
      </c>
      <c r="L39">
        <v>1</v>
      </c>
    </row>
    <row r="40" spans="1:12" x14ac:dyDescent="0.2">
      <c r="A40" s="130" t="s">
        <v>328</v>
      </c>
      <c r="B40" s="134" t="s">
        <v>382</v>
      </c>
      <c r="L40">
        <v>0.99601593625498008</v>
      </c>
    </row>
    <row r="41" spans="1:12" x14ac:dyDescent="0.2">
      <c r="A41" s="130" t="s">
        <v>329</v>
      </c>
      <c r="B41" s="130" t="s">
        <v>392</v>
      </c>
      <c r="L41">
        <v>0.99106063308953263</v>
      </c>
    </row>
    <row r="42" spans="1:12" x14ac:dyDescent="0.2">
      <c r="A42" s="130" t="s">
        <v>330</v>
      </c>
      <c r="B42" s="130" t="s">
        <v>124</v>
      </c>
      <c r="L42">
        <v>0.98612998317366451</v>
      </c>
    </row>
    <row r="43" spans="1:12" x14ac:dyDescent="0.2">
      <c r="A43" s="130" t="s">
        <v>331</v>
      </c>
      <c r="B43" s="130" t="s">
        <v>145</v>
      </c>
      <c r="L43">
        <v>0.97443674226646693</v>
      </c>
    </row>
    <row r="44" spans="1:12" x14ac:dyDescent="0.2">
      <c r="A44" s="130" t="s">
        <v>332</v>
      </c>
      <c r="B44" s="130" t="s">
        <v>383</v>
      </c>
      <c r="L44">
        <v>0.95626765678750447</v>
      </c>
    </row>
    <row r="45" spans="1:12" x14ac:dyDescent="0.2">
      <c r="A45" s="130" t="s">
        <v>334</v>
      </c>
      <c r="B45" s="134" t="s">
        <v>393</v>
      </c>
      <c r="L45">
        <v>0.94399571252468373</v>
      </c>
    </row>
    <row r="46" spans="1:12" x14ac:dyDescent="0.2">
      <c r="A46" s="130" t="s">
        <v>333</v>
      </c>
      <c r="B46" s="134" t="s">
        <v>394</v>
      </c>
      <c r="L46">
        <v>0.93372474038049824</v>
      </c>
    </row>
    <row r="47" spans="1:12" x14ac:dyDescent="0.2">
      <c r="A47" s="130" t="s">
        <v>558</v>
      </c>
      <c r="B47" s="134" t="s">
        <v>562</v>
      </c>
      <c r="L47">
        <v>0.92265290551432633</v>
      </c>
    </row>
    <row r="48" spans="1:12" x14ac:dyDescent="0.2">
      <c r="A48" s="130" t="s">
        <v>559</v>
      </c>
      <c r="B48" s="134" t="s">
        <v>231</v>
      </c>
      <c r="L48">
        <v>0.88461448275582577</v>
      </c>
    </row>
    <row r="49" spans="1:12" x14ac:dyDescent="0.2">
      <c r="A49" s="130" t="s">
        <v>335</v>
      </c>
      <c r="B49" s="134" t="s">
        <v>389</v>
      </c>
      <c r="L49">
        <v>0.86303851976178125</v>
      </c>
    </row>
    <row r="50" spans="1:12" ht="127.5" x14ac:dyDescent="0.2">
      <c r="A50" s="130" t="s">
        <v>336</v>
      </c>
      <c r="B50" s="135" t="s">
        <v>572</v>
      </c>
      <c r="L50">
        <v>0.83224543853595112</v>
      </c>
    </row>
    <row r="51" spans="1:12" x14ac:dyDescent="0.2">
      <c r="A51" s="130" t="s">
        <v>433</v>
      </c>
      <c r="B51" s="134" t="s">
        <v>430</v>
      </c>
      <c r="L51">
        <v>0.8127396860702647</v>
      </c>
    </row>
    <row r="52" spans="1:12" x14ac:dyDescent="0.2">
      <c r="A52" s="130" t="s">
        <v>385</v>
      </c>
      <c r="B52" s="134" t="s">
        <v>388</v>
      </c>
      <c r="L52">
        <v>0.79446694630524417</v>
      </c>
    </row>
    <row r="53" spans="1:12" x14ac:dyDescent="0.2">
      <c r="A53" s="130" t="s">
        <v>386</v>
      </c>
      <c r="B53" s="134" t="s">
        <v>372</v>
      </c>
      <c r="L53">
        <v>0.775846627251215</v>
      </c>
    </row>
    <row r="54" spans="1:12" ht="178.5" x14ac:dyDescent="0.2">
      <c r="A54" s="130" t="s">
        <v>387</v>
      </c>
      <c r="B54" s="135" t="s">
        <v>573</v>
      </c>
      <c r="L54">
        <v>1.02516432</v>
      </c>
    </row>
    <row r="55" spans="1:12" x14ac:dyDescent="0.2">
      <c r="A55" s="130" t="s">
        <v>337</v>
      </c>
      <c r="B55" s="130" t="s">
        <v>281</v>
      </c>
      <c r="L55">
        <v>1.0090199999999998</v>
      </c>
    </row>
    <row r="56" spans="1:12" x14ac:dyDescent="0.2">
      <c r="A56" s="130" t="s">
        <v>338</v>
      </c>
      <c r="B56" s="130" t="s">
        <v>339</v>
      </c>
      <c r="L56">
        <v>1.004</v>
      </c>
    </row>
    <row r="57" spans="1:12" x14ac:dyDescent="0.2">
      <c r="A57" s="130" t="s">
        <v>340</v>
      </c>
      <c r="B57" s="130" t="s">
        <v>371</v>
      </c>
      <c r="L57">
        <v>1</v>
      </c>
    </row>
    <row r="58" spans="1:12" x14ac:dyDescent="0.2">
      <c r="A58" s="130" t="s">
        <v>341</v>
      </c>
      <c r="B58" s="130" t="s">
        <v>367</v>
      </c>
      <c r="L58">
        <v>0.99502487562189068</v>
      </c>
    </row>
    <row r="59" spans="1:12" x14ac:dyDescent="0.2">
      <c r="A59" s="130" t="s">
        <v>342</v>
      </c>
      <c r="B59" s="134" t="s">
        <v>381</v>
      </c>
      <c r="L59">
        <v>0.99007450310635903</v>
      </c>
    </row>
    <row r="60" spans="1:12" x14ac:dyDescent="0.2">
      <c r="A60" s="130" t="s">
        <v>346</v>
      </c>
      <c r="B60" s="134" t="s">
        <v>395</v>
      </c>
      <c r="L60">
        <v>0.97833448923553257</v>
      </c>
    </row>
    <row r="61" spans="1:12" x14ac:dyDescent="0.2">
      <c r="A61" s="130" t="s">
        <v>347</v>
      </c>
      <c r="B61" s="134" t="s">
        <v>365</v>
      </c>
      <c r="L61">
        <v>0.96009272741465423</v>
      </c>
    </row>
    <row r="62" spans="1:12" x14ac:dyDescent="0.2">
      <c r="A62" s="130" t="s">
        <v>364</v>
      </c>
      <c r="B62" s="134" t="s">
        <v>366</v>
      </c>
      <c r="L62">
        <v>0.94777169537478223</v>
      </c>
    </row>
    <row r="63" spans="1:12" x14ac:dyDescent="0.2">
      <c r="A63" s="130" t="s">
        <v>348</v>
      </c>
      <c r="B63" s="134" t="s">
        <v>231</v>
      </c>
      <c r="L63">
        <v>0.93745963934202003</v>
      </c>
    </row>
    <row r="64" spans="1:12" x14ac:dyDescent="0.2">
      <c r="A64" s="130" t="s">
        <v>349</v>
      </c>
      <c r="B64" s="130" t="s">
        <v>232</v>
      </c>
      <c r="L64">
        <v>0.92634351713638352</v>
      </c>
    </row>
    <row r="65" spans="1:12" x14ac:dyDescent="0.2">
      <c r="A65" s="130" t="s">
        <v>343</v>
      </c>
      <c r="B65" s="130" t="s">
        <v>282</v>
      </c>
      <c r="L65">
        <v>0.88815294068684913</v>
      </c>
    </row>
    <row r="66" spans="1:12" x14ac:dyDescent="0.2">
      <c r="A66" s="130" t="s">
        <v>344</v>
      </c>
      <c r="B66" s="134" t="s">
        <v>564</v>
      </c>
      <c r="L66">
        <v>0.86649067384082845</v>
      </c>
    </row>
    <row r="67" spans="1:12" x14ac:dyDescent="0.2">
      <c r="A67" s="130" t="s">
        <v>345</v>
      </c>
      <c r="B67" s="130" t="s">
        <v>125</v>
      </c>
      <c r="L67">
        <v>0.8355744202900951</v>
      </c>
    </row>
    <row r="68" spans="1:12" x14ac:dyDescent="0.2">
      <c r="A68" s="130" t="s">
        <v>362</v>
      </c>
      <c r="B68" s="130" t="s">
        <v>126</v>
      </c>
      <c r="L68">
        <v>0.81599064481454597</v>
      </c>
    </row>
    <row r="69" spans="1:12" x14ac:dyDescent="0.2">
      <c r="A69" s="130" t="s">
        <v>363</v>
      </c>
      <c r="B69" s="130" t="s">
        <v>127</v>
      </c>
      <c r="L69">
        <v>0.7976448140904655</v>
      </c>
    </row>
    <row r="70" spans="1:12" x14ac:dyDescent="0.2">
      <c r="A70" s="130" t="s">
        <v>370</v>
      </c>
      <c r="B70" s="130" t="s">
        <v>396</v>
      </c>
      <c r="L70">
        <v>0.77895001376022011</v>
      </c>
    </row>
    <row r="71" spans="1:12" x14ac:dyDescent="0.2">
      <c r="A71" s="130" t="s">
        <v>368</v>
      </c>
      <c r="B71" s="130" t="s">
        <v>128</v>
      </c>
      <c r="L71">
        <v>1.0302901415999999</v>
      </c>
    </row>
    <row r="72" spans="1:12" x14ac:dyDescent="0.2">
      <c r="A72" s="130" t="s">
        <v>369</v>
      </c>
      <c r="B72" s="130" t="s">
        <v>397</v>
      </c>
      <c r="L72">
        <v>1.0140650999999996</v>
      </c>
    </row>
    <row r="73" spans="1:12" x14ac:dyDescent="0.2">
      <c r="A73" s="130" t="s">
        <v>350</v>
      </c>
      <c r="B73" s="134" t="s">
        <v>373</v>
      </c>
      <c r="L73">
        <v>1.0090199999999998</v>
      </c>
    </row>
    <row r="74" spans="1:12" x14ac:dyDescent="0.2">
      <c r="A74" s="130" t="s">
        <v>351</v>
      </c>
      <c r="B74" s="130" t="s">
        <v>129</v>
      </c>
      <c r="L74">
        <v>1.0049999999999999</v>
      </c>
    </row>
    <row r="75" spans="1:12" x14ac:dyDescent="0.2">
      <c r="A75" s="130" t="s">
        <v>352</v>
      </c>
      <c r="B75" s="130" t="s">
        <v>132</v>
      </c>
      <c r="L75">
        <v>1</v>
      </c>
    </row>
    <row r="76" spans="1:12" x14ac:dyDescent="0.2">
      <c r="A76" s="130" t="s">
        <v>353</v>
      </c>
      <c r="B76" s="130" t="s">
        <v>133</v>
      </c>
      <c r="L76">
        <v>0.99502487562189068</v>
      </c>
    </row>
    <row r="77" spans="1:12" x14ac:dyDescent="0.2">
      <c r="A77" s="130" t="s">
        <v>354</v>
      </c>
      <c r="B77" s="130" t="s">
        <v>134</v>
      </c>
      <c r="L77">
        <v>0.98322616168171018</v>
      </c>
    </row>
    <row r="78" spans="1:12" x14ac:dyDescent="0.2">
      <c r="A78" s="130" t="s">
        <v>355</v>
      </c>
      <c r="B78" s="130" t="s">
        <v>135</v>
      </c>
      <c r="L78">
        <v>0.96489319105172744</v>
      </c>
    </row>
    <row r="79" spans="1:12" x14ac:dyDescent="0.2">
      <c r="A79" s="130" t="s">
        <v>356</v>
      </c>
      <c r="B79" s="130" t="s">
        <v>136</v>
      </c>
      <c r="L79">
        <v>0.95251055385165584</v>
      </c>
    </row>
    <row r="80" spans="1:12" x14ac:dyDescent="0.2">
      <c r="A80" s="130" t="s">
        <v>560</v>
      </c>
      <c r="B80" s="130" t="s">
        <v>561</v>
      </c>
      <c r="L80">
        <v>0.94214693753872991</v>
      </c>
    </row>
    <row r="81" spans="1:12" x14ac:dyDescent="0.2">
      <c r="A81" s="130" t="s">
        <v>357</v>
      </c>
      <c r="B81" s="130" t="s">
        <v>567</v>
      </c>
      <c r="L81">
        <v>0.930975234722065</v>
      </c>
    </row>
    <row r="82" spans="1:12" x14ac:dyDescent="0.2">
      <c r="A82" s="130"/>
      <c r="B82" s="130"/>
      <c r="L82">
        <v>0.89259370539028293</v>
      </c>
    </row>
    <row r="83" spans="1:12" x14ac:dyDescent="0.2">
      <c r="A83" s="130"/>
      <c r="B83" s="130"/>
      <c r="L83">
        <v>0.87082312721003219</v>
      </c>
    </row>
    <row r="84" spans="1:12" x14ac:dyDescent="0.2">
      <c r="A84" s="130"/>
      <c r="B84" s="130"/>
      <c r="L84">
        <v>0.83975229239154514</v>
      </c>
    </row>
    <row r="85" spans="1:12" x14ac:dyDescent="0.2">
      <c r="A85" s="130"/>
      <c r="B85" s="130"/>
      <c r="L85">
        <v>0.82007059803861837</v>
      </c>
    </row>
    <row r="86" spans="1:12" x14ac:dyDescent="0.2">
      <c r="A86" s="130"/>
      <c r="B86" s="130"/>
      <c r="L86">
        <v>0.80163303816091735</v>
      </c>
    </row>
    <row r="87" spans="1:12" x14ac:dyDescent="0.2">
      <c r="A87" s="130"/>
      <c r="B87" s="130"/>
      <c r="L87">
        <v>0.7828447638290208</v>
      </c>
    </row>
    <row r="88" spans="1:12" x14ac:dyDescent="0.2">
      <c r="A88" s="130"/>
      <c r="B88" s="130"/>
      <c r="L88">
        <v>1.0354415923079998</v>
      </c>
    </row>
    <row r="89" spans="1:12" x14ac:dyDescent="0.2">
      <c r="A89" s="130"/>
      <c r="B89" s="130"/>
      <c r="L89">
        <v>1.0191354254999996</v>
      </c>
    </row>
    <row r="90" spans="1:12" x14ac:dyDescent="0.2">
      <c r="A90" s="130"/>
      <c r="B90" s="130"/>
      <c r="L90">
        <v>1.0140650999999996</v>
      </c>
    </row>
    <row r="91" spans="1:12" x14ac:dyDescent="0.2">
      <c r="A91" s="130"/>
      <c r="B91" s="130"/>
      <c r="L91">
        <v>1.0100249999999997</v>
      </c>
    </row>
    <row r="92" spans="1:12" x14ac:dyDescent="0.2">
      <c r="A92" s="130"/>
      <c r="B92" s="130"/>
      <c r="L92">
        <v>1.0049999999999999</v>
      </c>
    </row>
    <row r="93" spans="1:12" x14ac:dyDescent="0.2">
      <c r="A93" s="130"/>
      <c r="B93" s="130"/>
      <c r="L93">
        <v>1</v>
      </c>
    </row>
    <row r="94" spans="1:12" x14ac:dyDescent="0.2">
      <c r="A94" s="130"/>
      <c r="B94" s="130"/>
      <c r="L94">
        <v>0.98814229249011853</v>
      </c>
    </row>
    <row r="95" spans="1:12" x14ac:dyDescent="0.2">
      <c r="A95" s="130"/>
      <c r="B95" s="130"/>
      <c r="L95">
        <v>0.96971765700698598</v>
      </c>
    </row>
    <row r="96" spans="1:12" x14ac:dyDescent="0.2">
      <c r="A96" s="130"/>
      <c r="B96" s="130"/>
      <c r="L96">
        <v>0.95727310662091425</v>
      </c>
    </row>
    <row r="97" spans="1:12" x14ac:dyDescent="0.2">
      <c r="A97" s="130"/>
      <c r="B97" s="130"/>
      <c r="L97">
        <v>0.9468576722264237</v>
      </c>
    </row>
    <row r="98" spans="1:12" x14ac:dyDescent="0.2">
      <c r="A98" s="130"/>
      <c r="B98" s="130"/>
      <c r="L98">
        <v>0.93563011089567549</v>
      </c>
    </row>
    <row r="99" spans="1:12" x14ac:dyDescent="0.2">
      <c r="A99" s="130"/>
      <c r="B99" s="130"/>
      <c r="L99">
        <v>0.89705667391723443</v>
      </c>
    </row>
    <row r="100" spans="1:12" x14ac:dyDescent="0.2">
      <c r="A100" s="130"/>
      <c r="B100" s="130"/>
      <c r="L100">
        <v>0.87517724284608245</v>
      </c>
    </row>
    <row r="101" spans="1:12" x14ac:dyDescent="0.2">
      <c r="A101" s="130"/>
      <c r="B101" s="130"/>
      <c r="L101">
        <v>0.843951053853503</v>
      </c>
    </row>
    <row r="102" spans="1:12" x14ac:dyDescent="0.2">
      <c r="A102" s="130"/>
      <c r="B102" s="130"/>
      <c r="L102">
        <v>0.82417095102881144</v>
      </c>
    </row>
    <row r="103" spans="1:12" x14ac:dyDescent="0.2">
      <c r="A103" s="130"/>
      <c r="B103" s="130"/>
      <c r="L103">
        <v>0.80564120335172185</v>
      </c>
    </row>
    <row r="104" spans="1:12" x14ac:dyDescent="0.2">
      <c r="L104">
        <v>0.78675898764816588</v>
      </c>
    </row>
    <row r="105" spans="1:12" x14ac:dyDescent="0.2">
      <c r="L105">
        <v>1.0478668914156959</v>
      </c>
    </row>
    <row r="106" spans="1:12" x14ac:dyDescent="0.2">
      <c r="L106">
        <v>1.0313650506059995</v>
      </c>
    </row>
    <row r="107" spans="1:12" x14ac:dyDescent="0.2">
      <c r="L107">
        <v>1.0262338811999996</v>
      </c>
    </row>
    <row r="108" spans="1:12" x14ac:dyDescent="0.2">
      <c r="L108">
        <v>1.0221452999999998</v>
      </c>
    </row>
    <row r="109" spans="1:12" x14ac:dyDescent="0.2">
      <c r="L109">
        <v>1.0170599999999999</v>
      </c>
    </row>
    <row r="110" spans="1:12" x14ac:dyDescent="0.2">
      <c r="L110">
        <v>1.012</v>
      </c>
    </row>
    <row r="111" spans="1:12" x14ac:dyDescent="0.2">
      <c r="L111">
        <v>1</v>
      </c>
    </row>
    <row r="112" spans="1:12" x14ac:dyDescent="0.2">
      <c r="L112">
        <v>0.9813542688910698</v>
      </c>
    </row>
    <row r="113" spans="12:12" x14ac:dyDescent="0.2">
      <c r="L113">
        <v>0.96876038390036523</v>
      </c>
    </row>
    <row r="114" spans="12:12" x14ac:dyDescent="0.2">
      <c r="L114">
        <v>0.95821996429314071</v>
      </c>
    </row>
    <row r="115" spans="12:12" x14ac:dyDescent="0.2">
      <c r="L115">
        <v>0.9468576722264237</v>
      </c>
    </row>
    <row r="116" spans="12:12" x14ac:dyDescent="0.2">
      <c r="L116">
        <v>0.90782135400424135</v>
      </c>
    </row>
    <row r="117" spans="12:12" x14ac:dyDescent="0.2">
      <c r="L117">
        <v>0.88567936976023554</v>
      </c>
    </row>
    <row r="118" spans="12:12" x14ac:dyDescent="0.2">
      <c r="L118">
        <v>0.85407846649974506</v>
      </c>
    </row>
    <row r="119" spans="12:12" x14ac:dyDescent="0.2">
      <c r="L119">
        <v>0.83406100244115733</v>
      </c>
    </row>
    <row r="120" spans="12:12" x14ac:dyDescent="0.2">
      <c r="L120">
        <v>0.81530889779194271</v>
      </c>
    </row>
    <row r="121" spans="12:12" x14ac:dyDescent="0.2">
      <c r="L121">
        <v>0.79620009549994408</v>
      </c>
    </row>
    <row r="122" spans="12:12" x14ac:dyDescent="0.2">
      <c r="L122">
        <v>1.067776362352594</v>
      </c>
    </row>
    <row r="123" spans="12:12" x14ac:dyDescent="0.2">
      <c r="L123">
        <v>1.0509609865675134</v>
      </c>
    </row>
    <row r="124" spans="12:12" x14ac:dyDescent="0.2">
      <c r="L124">
        <v>1.0457323249427994</v>
      </c>
    </row>
    <row r="125" spans="12:12" x14ac:dyDescent="0.2">
      <c r="L125">
        <v>1.0415660606999997</v>
      </c>
    </row>
    <row r="126" spans="12:12" x14ac:dyDescent="0.2">
      <c r="L126">
        <v>1.0363841399999998</v>
      </c>
    </row>
    <row r="127" spans="12:12" x14ac:dyDescent="0.2">
      <c r="L127">
        <v>1.0312279999999998</v>
      </c>
    </row>
    <row r="128" spans="12:12" x14ac:dyDescent="0.2">
      <c r="L128">
        <v>1.0189999999999999</v>
      </c>
    </row>
    <row r="129" spans="12:12" x14ac:dyDescent="0.2">
      <c r="L129">
        <v>1</v>
      </c>
    </row>
    <row r="130" spans="12:12" x14ac:dyDescent="0.2">
      <c r="L130">
        <v>0.98716683119447202</v>
      </c>
    </row>
    <row r="131" spans="12:12" x14ac:dyDescent="0.2">
      <c r="L131">
        <v>0.97642614361471025</v>
      </c>
    </row>
    <row r="132" spans="12:12" x14ac:dyDescent="0.2">
      <c r="L132">
        <v>0.96484796799872563</v>
      </c>
    </row>
    <row r="133" spans="12:12" x14ac:dyDescent="0.2">
      <c r="L133">
        <v>0.9250699597303218</v>
      </c>
    </row>
    <row r="134" spans="12:12" x14ac:dyDescent="0.2">
      <c r="L134">
        <v>0.90250727778567996</v>
      </c>
    </row>
    <row r="135" spans="12:12" x14ac:dyDescent="0.2">
      <c r="L135">
        <v>0.87030595736324001</v>
      </c>
    </row>
    <row r="136" spans="12:12" x14ac:dyDescent="0.2">
      <c r="L136">
        <v>0.84990816148753912</v>
      </c>
    </row>
    <row r="137" spans="12:12" x14ac:dyDescent="0.2">
      <c r="L137">
        <v>0.83079976684998935</v>
      </c>
    </row>
    <row r="138" spans="12:12" x14ac:dyDescent="0.2">
      <c r="L138">
        <v>0.81132789731444277</v>
      </c>
    </row>
    <row r="139" spans="12:12" x14ac:dyDescent="0.2">
      <c r="L139">
        <v>1.0816574550631777</v>
      </c>
    </row>
    <row r="140" spans="12:12" x14ac:dyDescent="0.2">
      <c r="L140">
        <v>1.0646234793928908</v>
      </c>
    </row>
    <row r="141" spans="12:12" x14ac:dyDescent="0.2">
      <c r="L141">
        <v>1.0593268451670557</v>
      </c>
    </row>
    <row r="142" spans="12:12" x14ac:dyDescent="0.2">
      <c r="L142">
        <v>1.0551064194890996</v>
      </c>
    </row>
    <row r="143" spans="12:12" x14ac:dyDescent="0.2">
      <c r="L143">
        <v>1.0498571338199998</v>
      </c>
    </row>
    <row r="144" spans="12:12" x14ac:dyDescent="0.2">
      <c r="L144">
        <v>1.0446339639999997</v>
      </c>
    </row>
    <row r="145" spans="12:12" x14ac:dyDescent="0.2">
      <c r="L145">
        <v>1.0322469999999997</v>
      </c>
    </row>
    <row r="146" spans="12:12" x14ac:dyDescent="0.2">
      <c r="L146">
        <v>1.0129999999999999</v>
      </c>
    </row>
    <row r="147" spans="12:12" x14ac:dyDescent="0.2">
      <c r="L147">
        <v>1</v>
      </c>
    </row>
    <row r="148" spans="12:12" x14ac:dyDescent="0.2">
      <c r="L148">
        <v>0.98911968348170143</v>
      </c>
    </row>
    <row r="149" spans="12:12" x14ac:dyDescent="0.2">
      <c r="L149">
        <v>0.97739099158270881</v>
      </c>
    </row>
    <row r="150" spans="12:12" x14ac:dyDescent="0.2">
      <c r="L150">
        <v>0.93709586920681587</v>
      </c>
    </row>
    <row r="151" spans="12:12" x14ac:dyDescent="0.2">
      <c r="L151">
        <v>0.91423987239689375</v>
      </c>
    </row>
    <row r="152" spans="12:12" x14ac:dyDescent="0.2">
      <c r="L152">
        <v>0.88161993480896228</v>
      </c>
    </row>
    <row r="153" spans="12:12" x14ac:dyDescent="0.2">
      <c r="L153">
        <v>0.86095696758687723</v>
      </c>
    </row>
    <row r="154" spans="12:12" x14ac:dyDescent="0.2">
      <c r="L154">
        <v>0.84160016381903946</v>
      </c>
    </row>
    <row r="155" spans="12:12" x14ac:dyDescent="0.2">
      <c r="L155">
        <v>0.82187515997953076</v>
      </c>
    </row>
    <row r="156" spans="12:12" x14ac:dyDescent="0.2">
      <c r="L156">
        <v>1.0935556870688725</v>
      </c>
    </row>
    <row r="157" spans="12:12" x14ac:dyDescent="0.2">
      <c r="L157">
        <v>1.0763343376662124</v>
      </c>
    </row>
    <row r="158" spans="12:12" x14ac:dyDescent="0.2">
      <c r="L158">
        <v>1.0709794404638933</v>
      </c>
    </row>
    <row r="159" spans="12:12" x14ac:dyDescent="0.2">
      <c r="L159">
        <v>1.0667125901034795</v>
      </c>
    </row>
    <row r="160" spans="12:12" x14ac:dyDescent="0.2">
      <c r="L160">
        <v>1.0614055622920198</v>
      </c>
    </row>
    <row r="161" spans="12:12" x14ac:dyDescent="0.2">
      <c r="L161">
        <v>1.0561249376039996</v>
      </c>
    </row>
    <row r="162" spans="12:12" x14ac:dyDescent="0.2">
      <c r="L162">
        <v>1.0436017169999996</v>
      </c>
    </row>
    <row r="163" spans="12:12" x14ac:dyDescent="0.2">
      <c r="L163">
        <v>1.0241429999999998</v>
      </c>
    </row>
    <row r="164" spans="12:12" x14ac:dyDescent="0.2">
      <c r="L164">
        <v>1.0109999999999999</v>
      </c>
    </row>
    <row r="165" spans="12:12" x14ac:dyDescent="0.2">
      <c r="L165">
        <v>1</v>
      </c>
    </row>
    <row r="166" spans="12:12" x14ac:dyDescent="0.2">
      <c r="L166">
        <v>0.98814229249011853</v>
      </c>
    </row>
    <row r="167" spans="12:12" x14ac:dyDescent="0.2">
      <c r="L167">
        <v>0.94740392376809079</v>
      </c>
    </row>
    <row r="168" spans="12:12" x14ac:dyDescent="0.2">
      <c r="L168">
        <v>0.92429651099325949</v>
      </c>
    </row>
    <row r="169" spans="12:12" x14ac:dyDescent="0.2">
      <c r="L169">
        <v>0.89131775409186065</v>
      </c>
    </row>
    <row r="170" spans="12:12" x14ac:dyDescent="0.2">
      <c r="L170">
        <v>0.87042749423033272</v>
      </c>
    </row>
    <row r="171" spans="12:12" x14ac:dyDescent="0.2">
      <c r="L171">
        <v>0.85085776562104876</v>
      </c>
    </row>
    <row r="172" spans="12:12" x14ac:dyDescent="0.2">
      <c r="L172">
        <v>0.83091578673930533</v>
      </c>
    </row>
    <row r="173" spans="12:12" x14ac:dyDescent="0.2">
      <c r="L173">
        <v>1.106678355313699</v>
      </c>
    </row>
    <row r="174" spans="12:12" x14ac:dyDescent="0.2">
      <c r="L174">
        <v>1.0892503497182071</v>
      </c>
    </row>
    <row r="175" spans="12:12" x14ac:dyDescent="0.2">
      <c r="L175">
        <v>1.08383119374946</v>
      </c>
    </row>
    <row r="176" spans="12:12" x14ac:dyDescent="0.2">
      <c r="L176">
        <v>1.0795131411847212</v>
      </c>
    </row>
    <row r="177" spans="12:12" x14ac:dyDescent="0.2">
      <c r="L177">
        <v>1.0741424290395241</v>
      </c>
    </row>
    <row r="178" spans="12:12" x14ac:dyDescent="0.2">
      <c r="L178">
        <v>1.0687984368552477</v>
      </c>
    </row>
    <row r="179" spans="12:12" x14ac:dyDescent="0.2">
      <c r="L179">
        <v>1.0561249376039996</v>
      </c>
    </row>
    <row r="180" spans="12:12" x14ac:dyDescent="0.2">
      <c r="L180">
        <v>1.0364327159999998</v>
      </c>
    </row>
    <row r="181" spans="12:12" x14ac:dyDescent="0.2">
      <c r="L181">
        <v>1.0231319999999999</v>
      </c>
    </row>
    <row r="182" spans="12:12" x14ac:dyDescent="0.2">
      <c r="L182">
        <v>1.012</v>
      </c>
    </row>
    <row r="183" spans="12:12" x14ac:dyDescent="0.2">
      <c r="L183">
        <v>1</v>
      </c>
    </row>
    <row r="184" spans="12:12" x14ac:dyDescent="0.2">
      <c r="L184">
        <v>0.95877277085330781</v>
      </c>
    </row>
    <row r="185" spans="12:12" x14ac:dyDescent="0.2">
      <c r="L185">
        <v>0.93538806912517847</v>
      </c>
    </row>
    <row r="186" spans="12:12" x14ac:dyDescent="0.2">
      <c r="L186">
        <v>0.90201356714096292</v>
      </c>
    </row>
    <row r="187" spans="12:12" x14ac:dyDescent="0.2">
      <c r="L187">
        <v>0.88087262416109657</v>
      </c>
    </row>
    <row r="188" spans="12:12" x14ac:dyDescent="0.2">
      <c r="L188">
        <v>0.86106805880850124</v>
      </c>
    </row>
    <row r="189" spans="12:12" x14ac:dyDescent="0.2">
      <c r="L189">
        <v>0.84088677618017704</v>
      </c>
    </row>
    <row r="190" spans="12:12" x14ac:dyDescent="0.2">
      <c r="L190">
        <v>1.154265524592188</v>
      </c>
    </row>
    <row r="191" spans="12:12" x14ac:dyDescent="0.2">
      <c r="L191">
        <v>1.13608811475609</v>
      </c>
    </row>
    <row r="192" spans="12:12" x14ac:dyDescent="0.2">
      <c r="L192">
        <v>1.1304359350806867</v>
      </c>
    </row>
    <row r="193" spans="12:12" x14ac:dyDescent="0.2">
      <c r="L193">
        <v>1.125932206255664</v>
      </c>
    </row>
    <row r="194" spans="12:12" x14ac:dyDescent="0.2">
      <c r="L194">
        <v>1.1203305534882235</v>
      </c>
    </row>
    <row r="195" spans="12:12" x14ac:dyDescent="0.2">
      <c r="L195">
        <v>1.1147567696400233</v>
      </c>
    </row>
    <row r="196" spans="12:12" x14ac:dyDescent="0.2">
      <c r="L196">
        <v>1.1015383099209715</v>
      </c>
    </row>
    <row r="197" spans="12:12" x14ac:dyDescent="0.2">
      <c r="L197">
        <v>1.0809993227879997</v>
      </c>
    </row>
    <row r="198" spans="12:12" x14ac:dyDescent="0.2">
      <c r="L198">
        <v>1.0671266759999998</v>
      </c>
    </row>
    <row r="199" spans="12:12" x14ac:dyDescent="0.2">
      <c r="L199">
        <v>1.0555159999999999</v>
      </c>
    </row>
    <row r="200" spans="12:12" x14ac:dyDescent="0.2">
      <c r="L200">
        <v>1.0429999999999999</v>
      </c>
    </row>
    <row r="201" spans="12:12" x14ac:dyDescent="0.2">
      <c r="L201">
        <v>1</v>
      </c>
    </row>
    <row r="202" spans="12:12" x14ac:dyDescent="0.2">
      <c r="L202">
        <v>0.97560975609756106</v>
      </c>
    </row>
    <row r="203" spans="12:12" x14ac:dyDescent="0.2">
      <c r="L203">
        <v>0.94080015052802413</v>
      </c>
    </row>
    <row r="204" spans="12:12" x14ac:dyDescent="0.2">
      <c r="L204">
        <v>0.91875014700002355</v>
      </c>
    </row>
    <row r="205" spans="12:12" x14ac:dyDescent="0.2">
      <c r="L205">
        <v>0.89809398533726648</v>
      </c>
    </row>
    <row r="206" spans="12:12" x14ac:dyDescent="0.2">
      <c r="L206">
        <v>0.87704490755592435</v>
      </c>
    </row>
    <row r="207" spans="12:12" x14ac:dyDescent="0.2">
      <c r="L207">
        <v>1.1831221627069926</v>
      </c>
    </row>
    <row r="208" spans="12:12" x14ac:dyDescent="0.2">
      <c r="L208">
        <v>1.1644903176249921</v>
      </c>
    </row>
    <row r="209" spans="12:12" x14ac:dyDescent="0.2">
      <c r="L209">
        <v>1.1586968334577039</v>
      </c>
    </row>
    <row r="210" spans="12:12" x14ac:dyDescent="0.2">
      <c r="L210">
        <v>1.1540805114120556</v>
      </c>
    </row>
    <row r="211" spans="12:12" x14ac:dyDescent="0.2">
      <c r="L211">
        <v>1.148338817325429</v>
      </c>
    </row>
    <row r="212" spans="12:12" x14ac:dyDescent="0.2">
      <c r="L212">
        <v>1.1426256888810238</v>
      </c>
    </row>
    <row r="213" spans="12:12" x14ac:dyDescent="0.2">
      <c r="L213">
        <v>1.1290767676689957</v>
      </c>
    </row>
    <row r="214" spans="12:12" x14ac:dyDescent="0.2">
      <c r="L214">
        <v>1.1080243058576995</v>
      </c>
    </row>
    <row r="215" spans="12:12" x14ac:dyDescent="0.2">
      <c r="L215">
        <v>1.0938048428999996</v>
      </c>
    </row>
    <row r="216" spans="12:12" x14ac:dyDescent="0.2">
      <c r="L216">
        <v>1.0819038999999997</v>
      </c>
    </row>
    <row r="217" spans="12:12" x14ac:dyDescent="0.2">
      <c r="L217">
        <v>1.0690749999999998</v>
      </c>
    </row>
    <row r="218" spans="12:12" x14ac:dyDescent="0.2">
      <c r="L218">
        <v>1.0249999999999999</v>
      </c>
    </row>
    <row r="219" spans="12:12" x14ac:dyDescent="0.2">
      <c r="L219">
        <v>1</v>
      </c>
    </row>
    <row r="220" spans="12:12" x14ac:dyDescent="0.2">
      <c r="L220">
        <v>0.96432015429122475</v>
      </c>
    </row>
    <row r="221" spans="12:12" x14ac:dyDescent="0.2">
      <c r="L221">
        <v>0.94171890067502417</v>
      </c>
    </row>
    <row r="222" spans="12:12" x14ac:dyDescent="0.2">
      <c r="L222">
        <v>0.92054633497069827</v>
      </c>
    </row>
    <row r="223" spans="12:12" x14ac:dyDescent="0.2">
      <c r="L223">
        <v>0.8989710302448225</v>
      </c>
    </row>
    <row r="224" spans="12:12" x14ac:dyDescent="0.2">
      <c r="L224">
        <v>1.2268976827271512</v>
      </c>
    </row>
    <row r="225" spans="12:12" x14ac:dyDescent="0.2">
      <c r="L225">
        <v>1.2075764593771168</v>
      </c>
    </row>
    <row r="226" spans="12:12" x14ac:dyDescent="0.2">
      <c r="L226">
        <v>1.2015686162956389</v>
      </c>
    </row>
    <row r="227" spans="12:12" x14ac:dyDescent="0.2">
      <c r="L227">
        <v>1.1967814903343015</v>
      </c>
    </row>
    <row r="228" spans="12:12" x14ac:dyDescent="0.2">
      <c r="L228">
        <v>1.1908273535664697</v>
      </c>
    </row>
    <row r="229" spans="12:12" x14ac:dyDescent="0.2">
      <c r="L229">
        <v>1.1849028393696215</v>
      </c>
    </row>
    <row r="230" spans="12:12" x14ac:dyDescent="0.2">
      <c r="L230">
        <v>1.1708526080727484</v>
      </c>
    </row>
    <row r="231" spans="12:12" x14ac:dyDescent="0.2">
      <c r="L231">
        <v>1.1490212051744344</v>
      </c>
    </row>
    <row r="232" spans="12:12" x14ac:dyDescent="0.2">
      <c r="L232">
        <v>1.1342756220872994</v>
      </c>
    </row>
    <row r="233" spans="12:12" x14ac:dyDescent="0.2">
      <c r="L233">
        <v>1.1219343442999996</v>
      </c>
    </row>
    <row r="234" spans="12:12" x14ac:dyDescent="0.2">
      <c r="L234">
        <v>1.1086307749999997</v>
      </c>
    </row>
    <row r="235" spans="12:12" x14ac:dyDescent="0.2">
      <c r="L235">
        <v>1.0629249999999999</v>
      </c>
    </row>
    <row r="236" spans="12:12" x14ac:dyDescent="0.2">
      <c r="L236">
        <v>1.0369999999999999</v>
      </c>
    </row>
    <row r="237" spans="12:12" x14ac:dyDescent="0.2">
      <c r="L237">
        <v>1</v>
      </c>
    </row>
    <row r="238" spans="12:12" x14ac:dyDescent="0.2">
      <c r="L238">
        <v>0.9765625</v>
      </c>
    </row>
    <row r="239" spans="12:12" x14ac:dyDescent="0.2">
      <c r="L239">
        <v>0.95460654936461387</v>
      </c>
    </row>
    <row r="240" spans="12:12" x14ac:dyDescent="0.2">
      <c r="L240">
        <v>0.93223295836388076</v>
      </c>
    </row>
    <row r="241" spans="12:12" x14ac:dyDescent="0.2">
      <c r="L241">
        <v>1.2563432271126027</v>
      </c>
    </row>
    <row r="242" spans="12:12" x14ac:dyDescent="0.2">
      <c r="L242">
        <v>1.2365582944021676</v>
      </c>
    </row>
    <row r="243" spans="12:12" x14ac:dyDescent="0.2">
      <c r="L243">
        <v>1.2304062630867343</v>
      </c>
    </row>
    <row r="244" spans="12:12" x14ac:dyDescent="0.2">
      <c r="L244">
        <v>1.2255042461023247</v>
      </c>
    </row>
    <row r="245" spans="12:12" x14ac:dyDescent="0.2">
      <c r="L245">
        <v>1.219407210052065</v>
      </c>
    </row>
    <row r="246" spans="12:12" x14ac:dyDescent="0.2">
      <c r="L246">
        <v>1.2133405075144925</v>
      </c>
    </row>
    <row r="247" spans="12:12" x14ac:dyDescent="0.2">
      <c r="L247">
        <v>1.1989530706664944</v>
      </c>
    </row>
    <row r="248" spans="12:12" x14ac:dyDescent="0.2">
      <c r="L248">
        <v>1.1765977140986208</v>
      </c>
    </row>
    <row r="249" spans="12:12" x14ac:dyDescent="0.2">
      <c r="L249">
        <v>1.1614982370173945</v>
      </c>
    </row>
    <row r="250" spans="12:12" x14ac:dyDescent="0.2">
      <c r="L250">
        <v>1.1488607685631995</v>
      </c>
    </row>
    <row r="251" spans="12:12" x14ac:dyDescent="0.2">
      <c r="L251">
        <v>1.1352379135999997</v>
      </c>
    </row>
    <row r="252" spans="12:12" x14ac:dyDescent="0.2">
      <c r="L252">
        <v>1.0884351999999999</v>
      </c>
    </row>
    <row r="253" spans="12:12" x14ac:dyDescent="0.2">
      <c r="L253">
        <v>1.0618879999999999</v>
      </c>
    </row>
    <row r="254" spans="12:12" x14ac:dyDescent="0.2">
      <c r="L254">
        <v>1.024</v>
      </c>
    </row>
    <row r="255" spans="12:12" x14ac:dyDescent="0.2">
      <c r="L255">
        <v>1</v>
      </c>
    </row>
    <row r="256" spans="12:12" x14ac:dyDescent="0.2">
      <c r="L256">
        <v>0.97751710654936474</v>
      </c>
    </row>
    <row r="257" spans="12:12" x14ac:dyDescent="0.2">
      <c r="L257">
        <v>0.95460654936461387</v>
      </c>
    </row>
    <row r="258" spans="12:12" x14ac:dyDescent="0.2">
      <c r="L258">
        <v>1.2852391213361924</v>
      </c>
    </row>
    <row r="259" spans="12:12" x14ac:dyDescent="0.2">
      <c r="L259">
        <v>1.2649991351734173</v>
      </c>
    </row>
    <row r="260" spans="12:12" x14ac:dyDescent="0.2">
      <c r="L260">
        <v>1.2587056071377292</v>
      </c>
    </row>
    <row r="261" spans="12:12" x14ac:dyDescent="0.2">
      <c r="L261">
        <v>1.2536908437626779</v>
      </c>
    </row>
    <row r="262" spans="12:12" x14ac:dyDescent="0.2">
      <c r="L262">
        <v>1.2474535758832623</v>
      </c>
    </row>
    <row r="263" spans="12:12" x14ac:dyDescent="0.2">
      <c r="L263">
        <v>1.2412473391873258</v>
      </c>
    </row>
    <row r="264" spans="12:12" x14ac:dyDescent="0.2">
      <c r="L264">
        <v>1.2265289912918236</v>
      </c>
    </row>
    <row r="265" spans="12:12" x14ac:dyDescent="0.2">
      <c r="L265">
        <v>1.2036594615228891</v>
      </c>
    </row>
    <row r="266" spans="12:12" x14ac:dyDescent="0.2">
      <c r="L266">
        <v>1.1882126964687945</v>
      </c>
    </row>
    <row r="267" spans="12:12" x14ac:dyDescent="0.2">
      <c r="L267">
        <v>1.175284566240153</v>
      </c>
    </row>
    <row r="268" spans="12:12" x14ac:dyDescent="0.2">
      <c r="L268">
        <v>1.1613483856127995</v>
      </c>
    </row>
    <row r="269" spans="12:12" x14ac:dyDescent="0.2">
      <c r="L269">
        <v>1.1134692095999998</v>
      </c>
    </row>
    <row r="270" spans="12:12" x14ac:dyDescent="0.2">
      <c r="L270">
        <v>1.0863114239999998</v>
      </c>
    </row>
    <row r="271" spans="12:12" x14ac:dyDescent="0.2">
      <c r="L271">
        <v>1.047552</v>
      </c>
    </row>
    <row r="272" spans="12:12" x14ac:dyDescent="0.2">
      <c r="L272">
        <v>1.0229999999999999</v>
      </c>
    </row>
    <row r="273" spans="12:12" x14ac:dyDescent="0.2">
      <c r="L273">
        <v>1</v>
      </c>
    </row>
    <row r="274" spans="12:12" x14ac:dyDescent="0.2">
      <c r="L274">
        <v>0.9765625</v>
      </c>
    </row>
    <row r="275" spans="12:12" x14ac:dyDescent="0.2">
      <c r="L275">
        <v>1.3160848602482611</v>
      </c>
    </row>
    <row r="276" spans="12:12" x14ac:dyDescent="0.2">
      <c r="L276">
        <v>1.2953591144175793</v>
      </c>
    </row>
    <row r="277" spans="12:12" x14ac:dyDescent="0.2">
      <c r="L277">
        <v>1.2889145417090346</v>
      </c>
    </row>
    <row r="278" spans="12:12" x14ac:dyDescent="0.2">
      <c r="L278">
        <v>1.2837794240129823</v>
      </c>
    </row>
    <row r="279" spans="12:12" x14ac:dyDescent="0.2">
      <c r="L279">
        <v>1.2773924617044607</v>
      </c>
    </row>
    <row r="280" spans="12:12" x14ac:dyDescent="0.2">
      <c r="L280">
        <v>1.2710372753278216</v>
      </c>
    </row>
    <row r="281" spans="12:12" x14ac:dyDescent="0.2">
      <c r="L281">
        <v>1.2559656870828273</v>
      </c>
    </row>
    <row r="282" spans="12:12" x14ac:dyDescent="0.2">
      <c r="L282">
        <v>1.2325472885994384</v>
      </c>
    </row>
    <row r="283" spans="12:12" x14ac:dyDescent="0.2">
      <c r="L283">
        <v>1.2167298011840455</v>
      </c>
    </row>
    <row r="284" spans="12:12" x14ac:dyDescent="0.2">
      <c r="L284">
        <v>1.2034913958299167</v>
      </c>
    </row>
    <row r="285" spans="12:12" x14ac:dyDescent="0.2">
      <c r="L285">
        <v>1.1892207468675067</v>
      </c>
    </row>
    <row r="286" spans="12:12" x14ac:dyDescent="0.2">
      <c r="L286">
        <v>1.1401924706303999</v>
      </c>
    </row>
    <row r="287" spans="12:12" x14ac:dyDescent="0.2">
      <c r="L287">
        <v>1.1123828981759998</v>
      </c>
    </row>
    <row r="288" spans="12:12" x14ac:dyDescent="0.2">
      <c r="L288">
        <v>1.072693248</v>
      </c>
    </row>
    <row r="289" spans="12:12" x14ac:dyDescent="0.2">
      <c r="L289">
        <v>1.047552</v>
      </c>
    </row>
    <row r="290" spans="12:12" x14ac:dyDescent="0.2">
      <c r="L290">
        <v>1.024</v>
      </c>
    </row>
    <row r="291" spans="12:12" x14ac:dyDescent="0.2">
      <c r="L291">
        <v>1</v>
      </c>
    </row>
  </sheetData>
  <customSheetViews>
    <customSheetView guid="{CC114306-4468-4F70-9DB6-D54D814D228F}" state="hidden">
      <selection activeCell="R9" sqref="R9"/>
      <pageMargins left="0.7" right="0.7" top="0.75" bottom="0.75" header="0.3" footer="0.3"/>
      <pageSetup paperSize="9" orientation="portrait" r:id="rId1"/>
    </customSheetView>
  </customSheetViews>
  <pageMargins left="0.7" right="0.7" top="0.75" bottom="0.75" header="0.3" footer="0.3"/>
  <pageSetup paperSize="9" orientation="portrait" r:id="rId2"/>
  <headerFooter>
    <oddFooter>&amp;C_x000D_&amp;1#&amp;"Aptos"&amp;10&amp;K000000 Denne information er følsom og må derfor kun deles inden for staten.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CM4FP_1">
    <tabColor rgb="FF000000"/>
    <pageSetUpPr autoPageBreaks="0" fitToPage="1"/>
  </sheetPr>
  <dimension ref="A1:T105"/>
  <sheetViews>
    <sheetView tabSelected="1" topLeftCell="I7" zoomScaleNormal="100" workbookViewId="0">
      <selection activeCell="R138" sqref="R138"/>
    </sheetView>
  </sheetViews>
  <sheetFormatPr defaultColWidth="9.28515625" defaultRowHeight="13.5" customHeight="1" outlineLevelRow="1" x14ac:dyDescent="0.2"/>
  <cols>
    <col min="1" max="3" width="2.42578125" style="12" hidden="1" customWidth="1"/>
    <col min="4" max="4" width="50.42578125" style="12" hidden="1" customWidth="1"/>
    <col min="5" max="6" width="5.42578125" style="12" hidden="1" customWidth="1"/>
    <col min="7" max="7" width="2.85546875" style="12" hidden="1" customWidth="1"/>
    <col min="8" max="8" width="18.5703125" style="12" hidden="1" customWidth="1"/>
    <col min="9" max="9" width="2.7109375" style="12" customWidth="1"/>
    <col min="10" max="10" width="2.85546875" style="12" customWidth="1"/>
    <col min="11" max="11" width="20.7109375" style="12" customWidth="1"/>
    <col min="12" max="12" width="74.5703125" style="12" customWidth="1"/>
    <col min="13" max="13" width="19" style="12" customWidth="1"/>
    <col min="14" max="14" width="19.5703125" style="12" customWidth="1"/>
    <col min="15" max="15" width="4.7109375" style="12" customWidth="1"/>
    <col min="16" max="16" width="3.7109375" style="12" customWidth="1"/>
    <col min="17" max="17" width="5.7109375" style="12" customWidth="1"/>
    <col min="18" max="18" width="53.28515625" style="12" customWidth="1"/>
    <col min="19" max="16384" width="9.28515625" style="12"/>
  </cols>
  <sheetData>
    <row r="1" spans="1:20" s="6" customFormat="1" ht="13.5" hidden="1" customHeight="1" x14ac:dyDescent="0.2">
      <c r="A1" s="5" t="s">
        <v>0</v>
      </c>
      <c r="B1" s="5" t="s">
        <v>1</v>
      </c>
      <c r="C1" s="5" t="s">
        <v>2</v>
      </c>
      <c r="D1" s="5" t="s">
        <v>3</v>
      </c>
      <c r="E1" s="5" t="s">
        <v>4</v>
      </c>
      <c r="F1" s="5" t="s">
        <v>5</v>
      </c>
      <c r="G1" s="5" t="s">
        <v>6</v>
      </c>
      <c r="H1" s="5" t="s">
        <v>12</v>
      </c>
      <c r="I1" s="5" t="s">
        <v>13</v>
      </c>
      <c r="J1" s="5" t="s">
        <v>14</v>
      </c>
      <c r="K1" s="5" t="s">
        <v>15</v>
      </c>
      <c r="L1" s="5" t="s">
        <v>16</v>
      </c>
      <c r="M1" s="5"/>
      <c r="N1" s="5"/>
      <c r="O1" s="5" t="s">
        <v>63</v>
      </c>
      <c r="P1" s="5" t="s">
        <v>64</v>
      </c>
      <c r="Q1" s="5" t="s">
        <v>65</v>
      </c>
    </row>
    <row r="2" spans="1:20" s="6" customFormat="1" ht="20.25" hidden="1" x14ac:dyDescent="0.2">
      <c r="A2" s="7"/>
      <c r="B2" s="7">
        <v>5</v>
      </c>
      <c r="C2" s="7">
        <v>19</v>
      </c>
      <c r="D2" s="7" t="s">
        <v>7</v>
      </c>
      <c r="E2" s="7"/>
      <c r="F2" s="7"/>
      <c r="G2" s="8"/>
      <c r="H2" s="14"/>
      <c r="I2" s="14"/>
      <c r="J2" s="14"/>
      <c r="K2" s="14"/>
      <c r="L2" s="14"/>
      <c r="M2" s="14"/>
      <c r="N2" s="14"/>
      <c r="O2" s="14"/>
      <c r="P2" s="14"/>
      <c r="Q2" s="8"/>
    </row>
    <row r="3" spans="1:20" s="6" customFormat="1" ht="12" hidden="1" x14ac:dyDescent="0.2">
      <c r="B3" s="6">
        <v>5</v>
      </c>
      <c r="C3" s="6">
        <v>19</v>
      </c>
      <c r="D3" s="6" t="s">
        <v>8</v>
      </c>
      <c r="E3" s="10" t="s">
        <v>115</v>
      </c>
      <c r="F3" s="10" t="s">
        <v>115</v>
      </c>
      <c r="G3" s="11" t="s">
        <v>116</v>
      </c>
      <c r="H3" s="11" t="s">
        <v>116</v>
      </c>
      <c r="I3" s="11" t="s">
        <v>116</v>
      </c>
      <c r="J3" s="11" t="s">
        <v>116</v>
      </c>
      <c r="K3" s="11" t="s">
        <v>116</v>
      </c>
      <c r="L3" s="11" t="s">
        <v>116</v>
      </c>
      <c r="M3" s="11"/>
      <c r="N3" s="11"/>
      <c r="O3" s="11" t="s">
        <v>116</v>
      </c>
      <c r="P3" s="11" t="s">
        <v>116</v>
      </c>
      <c r="Q3" s="11" t="s">
        <v>116</v>
      </c>
    </row>
    <row r="4" spans="1:20" s="6" customFormat="1" ht="12" hidden="1" x14ac:dyDescent="0.2">
      <c r="B4" s="6">
        <v>5</v>
      </c>
      <c r="C4" s="6">
        <v>19</v>
      </c>
      <c r="D4" s="6" t="s">
        <v>9</v>
      </c>
      <c r="E4" s="15">
        <v>1</v>
      </c>
      <c r="F4" s="15">
        <v>2</v>
      </c>
      <c r="G4" s="16">
        <v>-1</v>
      </c>
      <c r="H4" s="16">
        <v>0</v>
      </c>
      <c r="I4" s="16">
        <v>1</v>
      </c>
      <c r="J4" s="16">
        <v>2</v>
      </c>
      <c r="K4" s="16">
        <v>3</v>
      </c>
      <c r="L4" s="16">
        <v>4</v>
      </c>
      <c r="M4" s="16"/>
      <c r="N4" s="16"/>
      <c r="O4" s="16">
        <v>9</v>
      </c>
      <c r="P4" s="16">
        <v>10</v>
      </c>
      <c r="Q4" s="16">
        <v>11</v>
      </c>
    </row>
    <row r="5" spans="1:20" ht="13.5" hidden="1" customHeight="1" x14ac:dyDescent="0.2"/>
    <row r="6" spans="1:20" ht="13.5" hidden="1" customHeight="1" x14ac:dyDescent="0.2">
      <c r="A6" s="3" t="s">
        <v>256</v>
      </c>
      <c r="B6" s="12">
        <v>5</v>
      </c>
      <c r="C6" s="12">
        <v>19</v>
      </c>
      <c r="D6" s="3" t="s">
        <v>10</v>
      </c>
    </row>
    <row r="7" spans="1:20" ht="66.75" customHeight="1" x14ac:dyDescent="0.2">
      <c r="A7" s="3" t="s">
        <v>18</v>
      </c>
      <c r="B7" s="12">
        <v>5</v>
      </c>
      <c r="C7" s="12">
        <v>19</v>
      </c>
      <c r="D7" s="3" t="s">
        <v>94</v>
      </c>
      <c r="J7" s="64" t="str">
        <f>INDEX(g_lang_val,MATCH("so_1",g_lang_key,0))&amp; " (" &amp; INDEX(g_lang_val,MATCH("version",g_lang_key,0)) &amp;")"</f>
        <v>Statens business case-model (5.1.0)</v>
      </c>
    </row>
    <row r="8" spans="1:20" ht="23.25" customHeight="1" x14ac:dyDescent="0.2">
      <c r="J8" s="47" t="str">
        <f>INDEX(g_lang_val,MATCH("so_1_1",g_lang_key,0))</f>
        <v>Sådan skal du gøre</v>
      </c>
      <c r="P8" s="49"/>
      <c r="Q8" s="132" t="str">
        <f>INDEX(g_lang_val,MATCH("so_1_2",g_lang_key,0))</f>
        <v>(</v>
      </c>
      <c r="R8" s="133" t="str">
        <f>INDEX(g_lang_val,MATCH("so_1_3",g_lang_key,0))</f>
        <v>23 43 49 16</v>
      </c>
    </row>
    <row r="9" spans="1:20" ht="50.25" customHeight="1" x14ac:dyDescent="0.2">
      <c r="A9" s="3" t="s">
        <v>19</v>
      </c>
      <c r="B9" s="12">
        <v>5</v>
      </c>
      <c r="C9" s="12">
        <v>19</v>
      </c>
      <c r="D9" s="3" t="s">
        <v>257</v>
      </c>
      <c r="J9" s="229" t="str">
        <f>INDEX(g_lang_val,MATCH("so_1_1_1",g_lang_key,0))</f>
        <v>På forsiden indtaster du stamdata for projektet. De navne, startdatoer, anlæg og afskrivningsperioder, som du skriver på forsiden, overføres til skemaerne på de næste faner.</v>
      </c>
      <c r="K9" s="229"/>
      <c r="L9" s="229"/>
      <c r="M9" s="229"/>
      <c r="N9" s="229"/>
      <c r="O9" s="229"/>
      <c r="Q9" s="229" t="str">
        <f>INDEX(g_lang_val,MATCH("so_1_1_2",g_lang_key,0))</f>
        <v>Har du spørgsmål til brugen af modellen, kan du kontakte kontoret It-styring i Økonomistyrelsen.</v>
      </c>
      <c r="R9" s="229"/>
      <c r="S9" s="48"/>
      <c r="T9" s="48"/>
    </row>
    <row r="10" spans="1:20" ht="3" customHeight="1" x14ac:dyDescent="0.2">
      <c r="Q10" s="229" t="str">
        <f>INDEX(g_lang_val,MATCH("so_2_1",g_lang_key,0))</f>
        <v>Husk at orientere dig i "Vejledning til statens it-projektmodel", inden du går i gang med at bruge modellen. Du finder vejledningen på Økonomistyrelsens hjemmeside www.oes.dk.</v>
      </c>
      <c r="R10" s="229"/>
      <c r="S10" s="48"/>
    </row>
    <row r="11" spans="1:20" ht="3" customHeight="1" x14ac:dyDescent="0.2">
      <c r="Q11" s="229"/>
      <c r="R11" s="229"/>
      <c r="S11" s="48"/>
    </row>
    <row r="12" spans="1:20" ht="3" customHeight="1" x14ac:dyDescent="0.2">
      <c r="Q12" s="229"/>
      <c r="R12" s="229"/>
      <c r="S12" s="48"/>
    </row>
    <row r="13" spans="1:20" ht="3" customHeight="1" thickBot="1" x14ac:dyDescent="0.25">
      <c r="Q13" s="229"/>
      <c r="R13" s="229"/>
      <c r="S13" s="48"/>
    </row>
    <row r="14" spans="1:20" ht="42" customHeight="1" thickTop="1" x14ac:dyDescent="0.2">
      <c r="A14" s="3" t="s">
        <v>20</v>
      </c>
      <c r="B14" s="12">
        <v>5</v>
      </c>
      <c r="C14" s="12">
        <v>19</v>
      </c>
      <c r="D14" s="3" t="s">
        <v>258</v>
      </c>
      <c r="J14" s="65"/>
      <c r="K14" s="66" t="str">
        <f>INDEX(g_lang_val,MATCH("so_2",g_lang_key,0))</f>
        <v>Om projektet</v>
      </c>
      <c r="L14" s="67"/>
      <c r="M14" s="67"/>
      <c r="N14" s="67"/>
      <c r="O14" s="68"/>
      <c r="Q14" s="229"/>
      <c r="R14" s="229"/>
      <c r="S14" s="48"/>
    </row>
    <row r="15" spans="1:20" ht="0.2" customHeight="1" x14ac:dyDescent="0.2">
      <c r="J15" s="17"/>
      <c r="K15" s="18"/>
      <c r="L15" s="18"/>
      <c r="M15" s="18"/>
      <c r="N15" s="18"/>
      <c r="O15" s="19"/>
    </row>
    <row r="16" spans="1:20" ht="36.75" customHeight="1" x14ac:dyDescent="0.2">
      <c r="A16" s="3" t="s">
        <v>21</v>
      </c>
      <c r="B16" s="12">
        <v>5</v>
      </c>
      <c r="C16" s="12">
        <v>19</v>
      </c>
      <c r="D16" s="3" t="s">
        <v>259</v>
      </c>
      <c r="J16" s="17"/>
      <c r="K16" s="69" t="str">
        <f>INDEX(g_lang_val,MATCH("so_2_1_1",g_lang_key,0))</f>
        <v>Stamoplysninger</v>
      </c>
      <c r="L16" s="20"/>
      <c r="M16" s="20"/>
      <c r="N16" s="20"/>
      <c r="O16" s="19"/>
    </row>
    <row r="17" spans="1:15" ht="3" customHeight="1" x14ac:dyDescent="0.2">
      <c r="J17" s="17"/>
      <c r="K17" s="18"/>
      <c r="L17" s="18"/>
      <c r="M17" s="18"/>
      <c r="N17" s="18"/>
      <c r="O17" s="19"/>
    </row>
    <row r="18" spans="1:15" ht="24" customHeight="1" x14ac:dyDescent="0.2">
      <c r="A18" s="3" t="s">
        <v>22</v>
      </c>
      <c r="B18" s="12">
        <v>5</v>
      </c>
      <c r="C18" s="12">
        <v>19</v>
      </c>
      <c r="D18" s="3" t="s">
        <v>260</v>
      </c>
      <c r="J18" s="17"/>
      <c r="K18" s="33" t="str">
        <f>INDEX(g_lang_val,MATCH("so_2_1_1_1",g_lang_key,0))</f>
        <v>Projektnavn</v>
      </c>
      <c r="L18" s="227"/>
      <c r="M18" s="227"/>
      <c r="N18" s="227"/>
      <c r="O18" s="19"/>
    </row>
    <row r="19" spans="1:15" ht="3" customHeight="1" x14ac:dyDescent="0.2">
      <c r="J19" s="17"/>
      <c r="K19" s="33"/>
      <c r="L19" s="59"/>
      <c r="M19" s="59"/>
      <c r="N19" s="59"/>
      <c r="O19" s="19"/>
    </row>
    <row r="20" spans="1:15" ht="24" customHeight="1" x14ac:dyDescent="0.2">
      <c r="A20" s="3" t="s">
        <v>23</v>
      </c>
      <c r="B20" s="12">
        <v>5</v>
      </c>
      <c r="C20" s="12">
        <v>19</v>
      </c>
      <c r="D20" s="3" t="s">
        <v>261</v>
      </c>
      <c r="J20" s="17"/>
      <c r="K20" s="33" t="str">
        <f>INDEX(g_lang_val,MATCH("so_2_1_1_2",g_lang_key,0))</f>
        <v>Styregruppeformand</v>
      </c>
      <c r="L20" s="227"/>
      <c r="M20" s="227"/>
      <c r="N20" s="227"/>
      <c r="O20" s="19"/>
    </row>
    <row r="21" spans="1:15" ht="3" customHeight="1" x14ac:dyDescent="0.2">
      <c r="J21" s="17"/>
      <c r="K21" s="33"/>
      <c r="L21" s="59"/>
      <c r="M21" s="59"/>
      <c r="N21" s="59"/>
      <c r="O21" s="19"/>
    </row>
    <row r="22" spans="1:15" ht="24" customHeight="1" x14ac:dyDescent="0.2">
      <c r="A22" s="3" t="s">
        <v>24</v>
      </c>
      <c r="B22" s="12">
        <v>5</v>
      </c>
      <c r="C22" s="12">
        <v>19</v>
      </c>
      <c r="D22" s="3" t="s">
        <v>262</v>
      </c>
      <c r="H22" s="32"/>
      <c r="J22" s="17"/>
      <c r="K22" s="33" t="str">
        <f>INDEX(g_lang_val,MATCH("so_2_1_1_3",g_lang_key,0))</f>
        <v>Projektleder</v>
      </c>
      <c r="L22" s="227"/>
      <c r="M22" s="227"/>
      <c r="N22" s="227"/>
      <c r="O22" s="19"/>
    </row>
    <row r="23" spans="1:15" ht="3" customHeight="1" x14ac:dyDescent="0.2">
      <c r="J23" s="17"/>
      <c r="K23" s="18"/>
      <c r="L23" s="33"/>
      <c r="M23" s="33"/>
      <c r="N23" s="33"/>
      <c r="O23" s="19"/>
    </row>
    <row r="24" spans="1:15" ht="3" customHeight="1" x14ac:dyDescent="0.2">
      <c r="J24" s="17"/>
      <c r="K24" s="33"/>
      <c r="L24" s="60"/>
      <c r="M24" s="60"/>
      <c r="N24" s="60"/>
      <c r="O24" s="19"/>
    </row>
    <row r="25" spans="1:15" ht="3" customHeight="1" x14ac:dyDescent="0.2">
      <c r="A25" s="3" t="s">
        <v>237</v>
      </c>
      <c r="B25" s="12">
        <v>5</v>
      </c>
      <c r="C25" s="12">
        <v>19</v>
      </c>
      <c r="D25" s="3" t="s">
        <v>242</v>
      </c>
      <c r="J25" s="17"/>
      <c r="K25" s="58"/>
      <c r="L25" s="61"/>
      <c r="M25" s="61"/>
      <c r="N25" s="61"/>
      <c r="O25" s="19"/>
    </row>
    <row r="26" spans="1:15" ht="3" customHeight="1" x14ac:dyDescent="0.2">
      <c r="J26" s="17"/>
      <c r="K26" s="33"/>
      <c r="L26" s="60"/>
      <c r="M26" s="60"/>
      <c r="N26" s="60"/>
      <c r="O26" s="19"/>
    </row>
    <row r="27" spans="1:15" ht="36.75" customHeight="1" x14ac:dyDescent="0.2">
      <c r="A27" s="3" t="s">
        <v>234</v>
      </c>
      <c r="B27" s="12">
        <v>5</v>
      </c>
      <c r="C27" s="12">
        <v>19</v>
      </c>
      <c r="D27" s="3" t="s">
        <v>243</v>
      </c>
      <c r="J27" s="17"/>
      <c r="K27" s="69" t="str">
        <f>INDEX(g_lang_val,MATCH("so_2_1_2",g_lang_key,0))</f>
        <v>Analysefase</v>
      </c>
      <c r="L27" s="57"/>
      <c r="M27" s="33"/>
      <c r="N27" s="33"/>
      <c r="O27" s="19"/>
    </row>
    <row r="28" spans="1:15" ht="3" customHeight="1" x14ac:dyDescent="0.2">
      <c r="J28" s="17"/>
      <c r="K28" s="18"/>
      <c r="L28" s="33"/>
      <c r="M28" s="33"/>
      <c r="N28" s="33"/>
      <c r="O28" s="19"/>
    </row>
    <row r="29" spans="1:15" ht="24" customHeight="1" x14ac:dyDescent="0.2">
      <c r="A29" s="3" t="s">
        <v>235</v>
      </c>
      <c r="B29" s="12">
        <v>5</v>
      </c>
      <c r="C29" s="12">
        <v>19</v>
      </c>
      <c r="D29" s="3" t="s">
        <v>244</v>
      </c>
      <c r="J29" s="17"/>
      <c r="K29" s="33" t="str">
        <f>INDEX(g_lang_val,MATCH("so_2_1_2_1",g_lang_key,0))</f>
        <v>Startdato</v>
      </c>
      <c r="L29" s="226"/>
      <c r="M29" s="226"/>
      <c r="N29" s="226"/>
      <c r="O29" s="19"/>
    </row>
    <row r="30" spans="1:15" ht="3" customHeight="1" x14ac:dyDescent="0.2">
      <c r="J30" s="17"/>
      <c r="K30" s="33"/>
      <c r="L30" s="33"/>
      <c r="M30" s="33"/>
      <c r="N30" s="33"/>
      <c r="O30" s="19"/>
    </row>
    <row r="31" spans="1:15" ht="3" customHeight="1" x14ac:dyDescent="0.2">
      <c r="J31" s="17"/>
      <c r="K31" s="33"/>
      <c r="L31" s="60"/>
      <c r="M31" s="60"/>
      <c r="N31" s="60"/>
      <c r="O31" s="19"/>
    </row>
    <row r="32" spans="1:15" ht="3" customHeight="1" x14ac:dyDescent="0.2">
      <c r="A32" s="3" t="s">
        <v>237</v>
      </c>
      <c r="B32" s="12">
        <v>5</v>
      </c>
      <c r="C32" s="12">
        <v>19</v>
      </c>
      <c r="D32" s="3" t="s">
        <v>242</v>
      </c>
      <c r="J32" s="17"/>
      <c r="K32" s="58"/>
      <c r="L32" s="61"/>
      <c r="M32" s="61"/>
      <c r="N32" s="61"/>
      <c r="O32" s="19"/>
    </row>
    <row r="33" spans="1:15" ht="3" customHeight="1" x14ac:dyDescent="0.2">
      <c r="J33" s="17"/>
      <c r="K33" s="33"/>
      <c r="L33" s="60"/>
      <c r="M33" s="60"/>
      <c r="N33" s="60"/>
      <c r="O33" s="19"/>
    </row>
    <row r="34" spans="1:15" ht="36.75" customHeight="1" x14ac:dyDescent="0.2">
      <c r="A34" s="3" t="s">
        <v>234</v>
      </c>
      <c r="B34" s="12">
        <v>5</v>
      </c>
      <c r="C34" s="12">
        <v>19</v>
      </c>
      <c r="D34" s="3" t="s">
        <v>245</v>
      </c>
      <c r="J34" s="17"/>
      <c r="K34" s="69" t="str">
        <f>INDEX(g_lang_val,MATCH("so_2_1_3",g_lang_key,0))</f>
        <v>Gennemførelsesfase</v>
      </c>
      <c r="L34" s="57"/>
      <c r="M34" s="33"/>
      <c r="N34" s="33"/>
      <c r="O34" s="19"/>
    </row>
    <row r="35" spans="1:15" ht="3" customHeight="1" x14ac:dyDescent="0.2">
      <c r="J35" s="17"/>
      <c r="K35" s="18"/>
      <c r="L35" s="33"/>
      <c r="M35" s="33"/>
      <c r="N35" s="33"/>
      <c r="O35" s="19"/>
    </row>
    <row r="36" spans="1:15" ht="24" customHeight="1" x14ac:dyDescent="0.2">
      <c r="A36" s="3" t="s">
        <v>235</v>
      </c>
      <c r="B36" s="12">
        <v>5</v>
      </c>
      <c r="C36" s="12">
        <v>19</v>
      </c>
      <c r="D36" s="3" t="s">
        <v>246</v>
      </c>
      <c r="J36" s="17"/>
      <c r="K36" s="33" t="str">
        <f>INDEX(g_lang_val,MATCH("so_2_1_3_1",g_lang_key,0))</f>
        <v>Startdato</v>
      </c>
      <c r="L36" s="226"/>
      <c r="M36" s="226"/>
      <c r="N36" s="226"/>
      <c r="O36" s="19"/>
    </row>
    <row r="37" spans="1:15" ht="3" customHeight="1" x14ac:dyDescent="0.2">
      <c r="J37" s="17"/>
      <c r="K37" s="33"/>
      <c r="L37" s="33"/>
      <c r="M37" s="33"/>
      <c r="N37" s="33"/>
      <c r="O37" s="19"/>
    </row>
    <row r="38" spans="1:15" ht="24" customHeight="1" x14ac:dyDescent="0.2">
      <c r="A38" s="3" t="s">
        <v>238</v>
      </c>
      <c r="B38" s="12">
        <v>5</v>
      </c>
      <c r="C38" s="12">
        <v>19</v>
      </c>
      <c r="D38" s="3" t="s">
        <v>247</v>
      </c>
      <c r="J38" s="17"/>
      <c r="K38" s="33" t="str">
        <f>INDEX(g_lang_val,MATCH("so_2_1_3_2",g_lang_key,0))</f>
        <v>Slutdato</v>
      </c>
      <c r="L38" s="226"/>
      <c r="M38" s="226"/>
      <c r="N38" s="226"/>
      <c r="O38" s="19"/>
    </row>
    <row r="39" spans="1:15" ht="13.5" customHeight="1" x14ac:dyDescent="0.2">
      <c r="A39" s="3" t="s">
        <v>37</v>
      </c>
      <c r="B39" s="12">
        <v>5</v>
      </c>
      <c r="C39" s="12">
        <v>19</v>
      </c>
      <c r="D39" s="3" t="s">
        <v>263</v>
      </c>
      <c r="J39" s="17"/>
      <c r="K39" s="18"/>
      <c r="L39" s="18"/>
      <c r="M39" s="18"/>
      <c r="N39" s="18"/>
      <c r="O39" s="19"/>
    </row>
    <row r="40" spans="1:15" ht="3" customHeight="1" x14ac:dyDescent="0.2">
      <c r="J40" s="17"/>
      <c r="K40" s="18"/>
      <c r="L40" s="18"/>
      <c r="M40" s="18"/>
      <c r="N40" s="18"/>
      <c r="O40" s="19"/>
    </row>
    <row r="41" spans="1:15" ht="15.95" customHeight="1" thickBot="1" x14ac:dyDescent="0.25">
      <c r="A41" s="3" t="s">
        <v>38</v>
      </c>
      <c r="B41" s="12">
        <v>5</v>
      </c>
      <c r="C41" s="12">
        <v>19</v>
      </c>
      <c r="D41" s="3" t="s">
        <v>264</v>
      </c>
      <c r="J41" s="21"/>
      <c r="K41" s="21"/>
      <c r="L41" s="21"/>
      <c r="M41" s="21"/>
      <c r="N41" s="21"/>
      <c r="O41" s="21"/>
    </row>
    <row r="42" spans="1:15" ht="42" customHeight="1" thickTop="1" x14ac:dyDescent="0.2">
      <c r="A42" s="3" t="s">
        <v>25</v>
      </c>
      <c r="B42" s="12">
        <v>5</v>
      </c>
      <c r="C42" s="12">
        <v>19</v>
      </c>
      <c r="D42" s="3" t="s">
        <v>248</v>
      </c>
      <c r="J42" s="65"/>
      <c r="K42" s="66" t="str">
        <f>INDEX(g_lang_val,MATCH("so_3",g_lang_key,0))</f>
        <v>Anlæg</v>
      </c>
      <c r="L42" s="67"/>
      <c r="M42" s="67"/>
      <c r="N42" s="67"/>
      <c r="O42" s="68"/>
    </row>
    <row r="43" spans="1:15" ht="3" customHeight="1" x14ac:dyDescent="0.2">
      <c r="J43" s="17"/>
      <c r="K43" s="18"/>
      <c r="L43" s="18"/>
      <c r="M43" s="18"/>
      <c r="N43" s="18"/>
      <c r="O43" s="19"/>
    </row>
    <row r="44" spans="1:15" ht="65.099999999999994" customHeight="1" x14ac:dyDescent="0.2">
      <c r="A44" s="3" t="s">
        <v>26</v>
      </c>
      <c r="B44" s="12">
        <v>5</v>
      </c>
      <c r="C44" s="12">
        <v>19</v>
      </c>
      <c r="D44" s="3" t="s">
        <v>249</v>
      </c>
      <c r="J44" s="17"/>
      <c r="K44" s="230" t="str">
        <f>INDEX(g_lang_val,MATCH("so_3_1",g_lang_key,0))</f>
        <v>Angiv hvorvidt der i projektet bliver bygget et anlæg/aktiv. Du SKAL tage stilling til, hvorvidt projektet indeholder et anlæg, før du kan bruge business case-modellen.
It-systemer er ofte regnskabsført som immaterielle anlægsaktiver, og hvis der et anlæg i projektet, skal du angive dato for ibrugtagning og længden på afskrivningsperioden. Afskrivningsperioden er i business case-modellen også gevinstrealiseringsperioden for projektet.</v>
      </c>
      <c r="L44" s="231"/>
      <c r="M44" s="231"/>
      <c r="N44" s="231"/>
      <c r="O44" s="19"/>
    </row>
    <row r="45" spans="1:15" ht="3" customHeight="1" x14ac:dyDescent="0.2">
      <c r="J45" s="17"/>
      <c r="K45" s="18"/>
      <c r="L45" s="18"/>
      <c r="M45" s="18"/>
      <c r="N45" s="18"/>
      <c r="O45" s="19"/>
    </row>
    <row r="46" spans="1:15" ht="25.5" x14ac:dyDescent="0.2">
      <c r="A46" s="3" t="s">
        <v>27</v>
      </c>
      <c r="B46" s="12">
        <v>5</v>
      </c>
      <c r="C46" s="12">
        <v>19</v>
      </c>
      <c r="D46" s="3" t="s">
        <v>250</v>
      </c>
      <c r="J46" s="17"/>
      <c r="K46" s="53" t="str">
        <f>INDEX(g_lang_val,MATCH("so_3_1_1",g_lang_key,0))</f>
        <v>Nr.</v>
      </c>
      <c r="L46" s="52" t="str">
        <f>INDEX(g_lang_val,MATCH("so_3_1_2",g_lang_key,0))</f>
        <v>Anlægstitel</v>
      </c>
      <c r="M46" s="52" t="str">
        <f>INDEX(g_lang_val,MATCH("so_3_1_3",g_lang_key,0))</f>
        <v>Ibrugtagningsdato</v>
      </c>
      <c r="N46" s="223" t="str">
        <f>INDEX(g_lang_val,MATCH("so_3_1_4",g_lang_key,0))</f>
        <v>Afskrivningsperiode (3, 5 eller 8 år)</v>
      </c>
      <c r="O46" s="19"/>
    </row>
    <row r="47" spans="1:15" ht="3" customHeight="1" x14ac:dyDescent="0.2">
      <c r="J47" s="17"/>
      <c r="K47" s="50"/>
      <c r="L47" s="18"/>
      <c r="M47" s="18"/>
      <c r="N47" s="18"/>
      <c r="O47" s="19"/>
    </row>
    <row r="48" spans="1:15" ht="24" customHeight="1" x14ac:dyDescent="0.2">
      <c r="A48" s="3" t="s">
        <v>28</v>
      </c>
      <c r="B48" s="12">
        <v>5</v>
      </c>
      <c r="C48" s="12">
        <v>19</v>
      </c>
      <c r="D48" s="3" t="s">
        <v>251</v>
      </c>
      <c r="J48" s="17"/>
      <c r="K48" s="53">
        <v>1</v>
      </c>
      <c r="L48" s="73"/>
      <c r="M48" s="145"/>
      <c r="N48" s="146"/>
      <c r="O48" s="19"/>
    </row>
    <row r="49" spans="1:15" ht="3" customHeight="1" x14ac:dyDescent="0.2">
      <c r="J49" s="17"/>
      <c r="K49" s="50"/>
      <c r="L49" s="74"/>
      <c r="M49" s="75"/>
      <c r="N49" s="76"/>
      <c r="O49" s="19"/>
    </row>
    <row r="50" spans="1:15" ht="24" customHeight="1" x14ac:dyDescent="0.2">
      <c r="A50" s="3" t="s">
        <v>29</v>
      </c>
      <c r="B50" s="12">
        <v>5</v>
      </c>
      <c r="C50" s="12">
        <v>19</v>
      </c>
      <c r="D50" s="3" t="s">
        <v>252</v>
      </c>
      <c r="J50" s="17"/>
      <c r="K50" s="53">
        <v>2</v>
      </c>
      <c r="L50" s="73"/>
      <c r="M50" s="145"/>
      <c r="N50" s="146"/>
      <c r="O50" s="19"/>
    </row>
    <row r="51" spans="1:15" ht="3" customHeight="1" x14ac:dyDescent="0.2">
      <c r="J51" s="17"/>
      <c r="K51" s="50"/>
      <c r="L51" s="74"/>
      <c r="M51" s="75"/>
      <c r="N51" s="76"/>
      <c r="O51" s="19"/>
    </row>
    <row r="52" spans="1:15" ht="24" customHeight="1" x14ac:dyDescent="0.2">
      <c r="A52" s="3" t="s">
        <v>30</v>
      </c>
      <c r="B52" s="12">
        <v>5</v>
      </c>
      <c r="C52" s="12">
        <v>19</v>
      </c>
      <c r="D52" s="3" t="s">
        <v>253</v>
      </c>
      <c r="J52" s="17"/>
      <c r="K52" s="53">
        <v>3</v>
      </c>
      <c r="L52" s="73"/>
      <c r="M52" s="145"/>
      <c r="N52" s="146"/>
      <c r="O52" s="19"/>
    </row>
    <row r="53" spans="1:15" ht="3" customHeight="1" x14ac:dyDescent="0.2">
      <c r="J53" s="17"/>
      <c r="K53" s="50"/>
      <c r="L53" s="74"/>
      <c r="M53" s="75"/>
      <c r="N53" s="76"/>
      <c r="O53" s="19"/>
    </row>
    <row r="54" spans="1:15" ht="24" customHeight="1" x14ac:dyDescent="0.2">
      <c r="A54" s="3" t="s">
        <v>30</v>
      </c>
      <c r="B54" s="12">
        <v>5</v>
      </c>
      <c r="C54" s="12">
        <v>19</v>
      </c>
      <c r="D54" s="3" t="s">
        <v>254</v>
      </c>
      <c r="J54" s="17"/>
      <c r="K54" s="53">
        <v>4</v>
      </c>
      <c r="L54" s="73"/>
      <c r="M54" s="145"/>
      <c r="N54" s="146"/>
      <c r="O54" s="19"/>
    </row>
    <row r="55" spans="1:15" ht="3" customHeight="1" x14ac:dyDescent="0.2">
      <c r="J55" s="17"/>
      <c r="K55" s="50"/>
      <c r="L55" s="74"/>
      <c r="M55" s="75"/>
      <c r="N55" s="76"/>
      <c r="O55" s="19"/>
    </row>
    <row r="56" spans="1:15" ht="24" customHeight="1" x14ac:dyDescent="0.2">
      <c r="A56" s="3" t="s">
        <v>30</v>
      </c>
      <c r="B56" s="12">
        <v>5</v>
      </c>
      <c r="C56" s="12">
        <v>19</v>
      </c>
      <c r="D56" s="3" t="s">
        <v>255</v>
      </c>
      <c r="J56" s="17"/>
      <c r="K56" s="53">
        <v>5</v>
      </c>
      <c r="L56" s="73"/>
      <c r="M56" s="145"/>
      <c r="N56" s="146"/>
      <c r="O56" s="19"/>
    </row>
    <row r="57" spans="1:15" ht="3" customHeight="1" x14ac:dyDescent="0.2">
      <c r="J57" s="17"/>
      <c r="K57" s="18"/>
      <c r="L57" s="18"/>
      <c r="M57" s="18"/>
      <c r="N57" s="51"/>
      <c r="O57" s="19"/>
    </row>
    <row r="58" spans="1:15" ht="24" hidden="1" customHeight="1" outlineLevel="1" x14ac:dyDescent="0.2">
      <c r="A58" s="3" t="s">
        <v>28</v>
      </c>
      <c r="B58" s="12">
        <v>5</v>
      </c>
      <c r="C58" s="12">
        <v>19</v>
      </c>
      <c r="D58" s="3" t="s">
        <v>251</v>
      </c>
      <c r="J58" s="17"/>
      <c r="K58" s="53">
        <v>6</v>
      </c>
      <c r="L58" s="73"/>
      <c r="M58" s="145"/>
      <c r="N58" s="146"/>
      <c r="O58" s="19"/>
    </row>
    <row r="59" spans="1:15" ht="3" hidden="1" customHeight="1" outlineLevel="1" x14ac:dyDescent="0.2">
      <c r="J59" s="17"/>
      <c r="K59" s="50"/>
      <c r="L59" s="18"/>
      <c r="M59" s="18"/>
      <c r="N59" s="51"/>
      <c r="O59" s="19"/>
    </row>
    <row r="60" spans="1:15" ht="24" hidden="1" customHeight="1" outlineLevel="1" x14ac:dyDescent="0.2">
      <c r="A60" s="3" t="s">
        <v>29</v>
      </c>
      <c r="B60" s="12">
        <v>5</v>
      </c>
      <c r="C60" s="12">
        <v>19</v>
      </c>
      <c r="D60" s="3" t="s">
        <v>252</v>
      </c>
      <c r="J60" s="17"/>
      <c r="K60" s="53">
        <v>7</v>
      </c>
      <c r="L60" s="73"/>
      <c r="M60" s="145"/>
      <c r="N60" s="146"/>
      <c r="O60" s="19"/>
    </row>
    <row r="61" spans="1:15" ht="3" hidden="1" customHeight="1" outlineLevel="1" x14ac:dyDescent="0.2">
      <c r="J61" s="17"/>
      <c r="K61" s="50"/>
      <c r="L61" s="74"/>
      <c r="M61" s="75"/>
      <c r="N61" s="76"/>
      <c r="O61" s="19"/>
    </row>
    <row r="62" spans="1:15" ht="24" hidden="1" customHeight="1" outlineLevel="1" x14ac:dyDescent="0.2">
      <c r="A62" s="3" t="s">
        <v>30</v>
      </c>
      <c r="B62" s="12">
        <v>5</v>
      </c>
      <c r="C62" s="12">
        <v>19</v>
      </c>
      <c r="D62" s="3" t="s">
        <v>253</v>
      </c>
      <c r="J62" s="17"/>
      <c r="K62" s="53">
        <v>8</v>
      </c>
      <c r="L62" s="73"/>
      <c r="M62" s="145"/>
      <c r="N62" s="146"/>
      <c r="O62" s="19"/>
    </row>
    <row r="63" spans="1:15" ht="3" hidden="1" customHeight="1" outlineLevel="1" x14ac:dyDescent="0.2">
      <c r="J63" s="17"/>
      <c r="K63" s="50"/>
      <c r="L63" s="74"/>
      <c r="M63" s="75"/>
      <c r="N63" s="76"/>
      <c r="O63" s="19"/>
    </row>
    <row r="64" spans="1:15" ht="24" hidden="1" customHeight="1" outlineLevel="1" x14ac:dyDescent="0.2">
      <c r="A64" s="3" t="s">
        <v>30</v>
      </c>
      <c r="B64" s="12">
        <v>5</v>
      </c>
      <c r="C64" s="12">
        <v>19</v>
      </c>
      <c r="D64" s="3" t="s">
        <v>254</v>
      </c>
      <c r="J64" s="17"/>
      <c r="K64" s="53">
        <v>9</v>
      </c>
      <c r="L64" s="73"/>
      <c r="M64" s="145"/>
      <c r="N64" s="146"/>
      <c r="O64" s="19"/>
    </row>
    <row r="65" spans="1:15" ht="3" hidden="1" customHeight="1" outlineLevel="1" x14ac:dyDescent="0.2">
      <c r="J65" s="17"/>
      <c r="K65" s="50"/>
      <c r="L65" s="74"/>
      <c r="M65" s="75"/>
      <c r="N65" s="76"/>
      <c r="O65" s="19"/>
    </row>
    <row r="66" spans="1:15" ht="24" hidden="1" customHeight="1" outlineLevel="1" x14ac:dyDescent="0.2">
      <c r="A66" s="3" t="s">
        <v>30</v>
      </c>
      <c r="B66" s="12">
        <v>5</v>
      </c>
      <c r="C66" s="12">
        <v>19</v>
      </c>
      <c r="D66" s="3" t="s">
        <v>255</v>
      </c>
      <c r="J66" s="17"/>
      <c r="K66" s="53">
        <v>10</v>
      </c>
      <c r="L66" s="73"/>
      <c r="M66" s="145"/>
      <c r="N66" s="146"/>
      <c r="O66" s="19"/>
    </row>
    <row r="67" spans="1:15" ht="3" hidden="1" customHeight="1" outlineLevel="1" x14ac:dyDescent="0.2">
      <c r="J67" s="17"/>
      <c r="K67" s="18"/>
      <c r="L67" s="74"/>
      <c r="M67" s="75"/>
      <c r="N67" s="76"/>
      <c r="O67" s="19"/>
    </row>
    <row r="68" spans="1:15" ht="24" hidden="1" customHeight="1" outlineLevel="1" x14ac:dyDescent="0.2">
      <c r="A68" s="3" t="s">
        <v>28</v>
      </c>
      <c r="B68" s="12">
        <v>5</v>
      </c>
      <c r="C68" s="12">
        <v>19</v>
      </c>
      <c r="D68" s="3" t="s">
        <v>251</v>
      </c>
      <c r="J68" s="17"/>
      <c r="K68" s="53">
        <v>11</v>
      </c>
      <c r="L68" s="73"/>
      <c r="M68" s="145"/>
      <c r="N68" s="146"/>
      <c r="O68" s="19"/>
    </row>
    <row r="69" spans="1:15" ht="3" hidden="1" customHeight="1" outlineLevel="1" x14ac:dyDescent="0.2">
      <c r="J69" s="17"/>
      <c r="K69" s="50"/>
      <c r="L69" s="74"/>
      <c r="M69" s="75"/>
      <c r="N69" s="76"/>
      <c r="O69" s="19"/>
    </row>
    <row r="70" spans="1:15" ht="24" hidden="1" customHeight="1" outlineLevel="1" x14ac:dyDescent="0.2">
      <c r="A70" s="3" t="s">
        <v>29</v>
      </c>
      <c r="B70" s="12">
        <v>5</v>
      </c>
      <c r="C70" s="12">
        <v>19</v>
      </c>
      <c r="D70" s="3" t="s">
        <v>252</v>
      </c>
      <c r="J70" s="17"/>
      <c r="K70" s="53">
        <v>12</v>
      </c>
      <c r="L70" s="73"/>
      <c r="M70" s="145"/>
      <c r="N70" s="146"/>
      <c r="O70" s="19"/>
    </row>
    <row r="71" spans="1:15" ht="3" hidden="1" customHeight="1" outlineLevel="1" x14ac:dyDescent="0.2">
      <c r="J71" s="17"/>
      <c r="K71" s="50"/>
      <c r="L71" s="18"/>
      <c r="M71" s="18"/>
      <c r="N71" s="51"/>
      <c r="O71" s="19"/>
    </row>
    <row r="72" spans="1:15" ht="24" hidden="1" customHeight="1" outlineLevel="1" x14ac:dyDescent="0.2">
      <c r="A72" s="3" t="s">
        <v>30</v>
      </c>
      <c r="B72" s="12">
        <v>5</v>
      </c>
      <c r="C72" s="12">
        <v>19</v>
      </c>
      <c r="D72" s="3" t="s">
        <v>253</v>
      </c>
      <c r="J72" s="17"/>
      <c r="K72" s="53">
        <v>13</v>
      </c>
      <c r="L72" s="73"/>
      <c r="M72" s="145"/>
      <c r="N72" s="146"/>
      <c r="O72" s="19"/>
    </row>
    <row r="73" spans="1:15" ht="3" hidden="1" customHeight="1" outlineLevel="1" x14ac:dyDescent="0.2">
      <c r="J73" s="17"/>
      <c r="K73" s="50"/>
      <c r="L73" s="18"/>
      <c r="M73" s="18"/>
      <c r="N73" s="51"/>
      <c r="O73" s="19"/>
    </row>
    <row r="74" spans="1:15" ht="24" hidden="1" customHeight="1" outlineLevel="1" x14ac:dyDescent="0.2">
      <c r="A74" s="3" t="s">
        <v>30</v>
      </c>
      <c r="B74" s="12">
        <v>5</v>
      </c>
      <c r="C74" s="12">
        <v>19</v>
      </c>
      <c r="D74" s="3" t="s">
        <v>254</v>
      </c>
      <c r="J74" s="17"/>
      <c r="K74" s="53">
        <v>14</v>
      </c>
      <c r="L74" s="73"/>
      <c r="M74" s="145"/>
      <c r="N74" s="146"/>
      <c r="O74" s="19"/>
    </row>
    <row r="75" spans="1:15" ht="3" hidden="1" customHeight="1" outlineLevel="1" x14ac:dyDescent="0.2">
      <c r="J75" s="17"/>
      <c r="K75" s="50"/>
      <c r="L75" s="74"/>
      <c r="M75" s="75"/>
      <c r="N75" s="76"/>
      <c r="O75" s="19"/>
    </row>
    <row r="76" spans="1:15" ht="24" hidden="1" customHeight="1" outlineLevel="1" x14ac:dyDescent="0.2">
      <c r="A76" s="3" t="s">
        <v>30</v>
      </c>
      <c r="B76" s="12">
        <v>5</v>
      </c>
      <c r="C76" s="12">
        <v>19</v>
      </c>
      <c r="D76" s="3" t="s">
        <v>255</v>
      </c>
      <c r="J76" s="17"/>
      <c r="K76" s="53">
        <v>15</v>
      </c>
      <c r="L76" s="73"/>
      <c r="M76" s="145"/>
      <c r="N76" s="146"/>
      <c r="O76" s="19"/>
    </row>
    <row r="77" spans="1:15" ht="3" hidden="1" customHeight="1" outlineLevel="1" x14ac:dyDescent="0.2">
      <c r="J77" s="17"/>
      <c r="K77" s="18"/>
      <c r="L77" s="74"/>
      <c r="M77" s="75"/>
      <c r="N77" s="76"/>
      <c r="O77" s="19"/>
    </row>
    <row r="78" spans="1:15" ht="24" hidden="1" customHeight="1" outlineLevel="1" x14ac:dyDescent="0.2">
      <c r="A78" s="3" t="s">
        <v>28</v>
      </c>
      <c r="B78" s="12">
        <v>5</v>
      </c>
      <c r="C78" s="12">
        <v>19</v>
      </c>
      <c r="D78" s="3" t="s">
        <v>251</v>
      </c>
      <c r="J78" s="17"/>
      <c r="K78" s="53">
        <v>16</v>
      </c>
      <c r="L78" s="73"/>
      <c r="M78" s="145"/>
      <c r="N78" s="146"/>
      <c r="O78" s="19"/>
    </row>
    <row r="79" spans="1:15" ht="3" hidden="1" customHeight="1" outlineLevel="1" x14ac:dyDescent="0.2">
      <c r="J79" s="17"/>
      <c r="K79" s="50"/>
      <c r="L79" s="74"/>
      <c r="M79" s="75"/>
      <c r="N79" s="76"/>
      <c r="O79" s="19"/>
    </row>
    <row r="80" spans="1:15" ht="24" hidden="1" customHeight="1" outlineLevel="1" x14ac:dyDescent="0.2">
      <c r="A80" s="3" t="s">
        <v>29</v>
      </c>
      <c r="B80" s="12">
        <v>5</v>
      </c>
      <c r="C80" s="12">
        <v>19</v>
      </c>
      <c r="D80" s="3" t="s">
        <v>252</v>
      </c>
      <c r="J80" s="17"/>
      <c r="K80" s="53">
        <v>17</v>
      </c>
      <c r="L80" s="73"/>
      <c r="M80" s="145"/>
      <c r="N80" s="146"/>
      <c r="O80" s="19"/>
    </row>
    <row r="81" spans="1:15" ht="3" hidden="1" customHeight="1" outlineLevel="1" x14ac:dyDescent="0.2">
      <c r="J81" s="17"/>
      <c r="K81" s="50"/>
      <c r="L81" s="74"/>
      <c r="M81" s="75"/>
      <c r="N81" s="76"/>
      <c r="O81" s="19"/>
    </row>
    <row r="82" spans="1:15" ht="24" hidden="1" customHeight="1" outlineLevel="1" x14ac:dyDescent="0.2">
      <c r="A82" s="3" t="s">
        <v>30</v>
      </c>
      <c r="B82" s="12">
        <v>5</v>
      </c>
      <c r="C82" s="12">
        <v>19</v>
      </c>
      <c r="D82" s="3" t="s">
        <v>253</v>
      </c>
      <c r="J82" s="17"/>
      <c r="K82" s="53">
        <v>18</v>
      </c>
      <c r="L82" s="73"/>
      <c r="M82" s="145"/>
      <c r="N82" s="146"/>
      <c r="O82" s="19"/>
    </row>
    <row r="83" spans="1:15" ht="3" hidden="1" customHeight="1" outlineLevel="1" x14ac:dyDescent="0.2">
      <c r="J83" s="17"/>
      <c r="K83" s="50"/>
      <c r="L83" s="74"/>
      <c r="M83" s="75"/>
      <c r="N83" s="76"/>
      <c r="O83" s="19"/>
    </row>
    <row r="84" spans="1:15" ht="24" hidden="1" customHeight="1" outlineLevel="1" x14ac:dyDescent="0.2">
      <c r="A84" s="3" t="s">
        <v>30</v>
      </c>
      <c r="B84" s="12">
        <v>5</v>
      </c>
      <c r="C84" s="12">
        <v>19</v>
      </c>
      <c r="D84" s="3" t="s">
        <v>254</v>
      </c>
      <c r="J84" s="17"/>
      <c r="K84" s="53">
        <v>19</v>
      </c>
      <c r="L84" s="73"/>
      <c r="M84" s="145"/>
      <c r="N84" s="146"/>
      <c r="O84" s="19"/>
    </row>
    <row r="85" spans="1:15" ht="3" hidden="1" customHeight="1" outlineLevel="1" x14ac:dyDescent="0.2">
      <c r="J85" s="17"/>
      <c r="K85" s="50"/>
      <c r="L85" s="74"/>
      <c r="M85" s="75"/>
      <c r="N85" s="76"/>
      <c r="O85" s="19"/>
    </row>
    <row r="86" spans="1:15" ht="24" hidden="1" customHeight="1" outlineLevel="1" x14ac:dyDescent="0.2">
      <c r="A86" s="3" t="s">
        <v>30</v>
      </c>
      <c r="B86" s="12">
        <v>5</v>
      </c>
      <c r="C86" s="12">
        <v>19</v>
      </c>
      <c r="D86" s="3" t="s">
        <v>255</v>
      </c>
      <c r="J86" s="17"/>
      <c r="K86" s="53">
        <v>20</v>
      </c>
      <c r="L86" s="73"/>
      <c r="M86" s="145"/>
      <c r="N86" s="146"/>
      <c r="O86" s="19"/>
    </row>
    <row r="87" spans="1:15" ht="3" hidden="1" customHeight="1" outlineLevel="1" x14ac:dyDescent="0.2">
      <c r="J87" s="17"/>
      <c r="K87" s="33"/>
      <c r="L87" s="18"/>
      <c r="M87" s="18"/>
      <c r="N87" s="51"/>
      <c r="O87" s="19"/>
    </row>
    <row r="88" spans="1:15" ht="13.5" customHeight="1" collapsed="1" x14ac:dyDescent="0.2">
      <c r="A88" s="3" t="s">
        <v>37</v>
      </c>
      <c r="B88" s="12">
        <v>5</v>
      </c>
      <c r="C88" s="12">
        <v>19</v>
      </c>
      <c r="D88" s="3" t="s">
        <v>263</v>
      </c>
      <c r="J88" s="17"/>
      <c r="K88" s="18"/>
      <c r="L88" s="18"/>
      <c r="M88" s="18"/>
      <c r="N88" s="18"/>
      <c r="O88" s="19"/>
    </row>
    <row r="89" spans="1:15" ht="3" customHeight="1" x14ac:dyDescent="0.2">
      <c r="J89" s="17"/>
      <c r="K89" s="18"/>
      <c r="L89" s="18"/>
      <c r="M89" s="18"/>
      <c r="N89" s="18"/>
      <c r="O89" s="19"/>
    </row>
    <row r="90" spans="1:15" ht="15.95" customHeight="1" thickBot="1" x14ac:dyDescent="0.25">
      <c r="A90" s="3" t="s">
        <v>38</v>
      </c>
      <c r="B90" s="12">
        <v>5</v>
      </c>
      <c r="C90" s="12">
        <v>19</v>
      </c>
      <c r="D90" s="3" t="s">
        <v>264</v>
      </c>
      <c r="J90" s="21"/>
      <c r="K90" s="21"/>
      <c r="L90" s="21"/>
      <c r="M90" s="21"/>
      <c r="N90" s="21"/>
      <c r="O90" s="21"/>
    </row>
    <row r="91" spans="1:15" ht="42" customHeight="1" thickTop="1" x14ac:dyDescent="0.2">
      <c r="A91" s="3" t="s">
        <v>31</v>
      </c>
      <c r="B91" s="12">
        <v>5</v>
      </c>
      <c r="C91" s="12">
        <v>19</v>
      </c>
      <c r="D91" s="3" t="s">
        <v>265</v>
      </c>
      <c r="J91" s="65"/>
      <c r="K91" s="66" t="str">
        <f>INDEX(g_lang_val,MATCH("so_4",g_lang_key,0))</f>
        <v>Regnskabstekniske oplysninger</v>
      </c>
      <c r="L91" s="67"/>
      <c r="M91" s="67"/>
      <c r="N91" s="67"/>
      <c r="O91" s="68"/>
    </row>
    <row r="92" spans="1:15" ht="11.25" hidden="1" customHeight="1" x14ac:dyDescent="0.2">
      <c r="J92" s="17"/>
      <c r="K92" s="18"/>
      <c r="L92" s="18"/>
      <c r="M92" s="18"/>
      <c r="N92" s="18"/>
      <c r="O92" s="19"/>
    </row>
    <row r="93" spans="1:15" ht="36.75" customHeight="1" x14ac:dyDescent="0.2">
      <c r="A93" s="3" t="s">
        <v>32</v>
      </c>
      <c r="B93" s="12">
        <v>5</v>
      </c>
      <c r="C93" s="12">
        <v>19</v>
      </c>
      <c r="D93" s="3" t="s">
        <v>266</v>
      </c>
      <c r="J93" s="17"/>
      <c r="K93" s="69" t="str">
        <f>INDEX(g_lang_val,MATCH("so_4_1",g_lang_key,0))</f>
        <v>pl-år</v>
      </c>
      <c r="L93" s="20"/>
      <c r="M93" s="20"/>
      <c r="N93" s="20"/>
      <c r="O93" s="19"/>
    </row>
    <row r="94" spans="1:15" ht="3" customHeight="1" x14ac:dyDescent="0.2">
      <c r="J94" s="17"/>
      <c r="K94" s="18"/>
      <c r="L94" s="18"/>
      <c r="M94" s="18"/>
      <c r="N94" s="18"/>
      <c r="O94" s="19"/>
    </row>
    <row r="95" spans="1:15" ht="24" customHeight="1" x14ac:dyDescent="0.2">
      <c r="A95" s="3" t="s">
        <v>33</v>
      </c>
      <c r="B95" s="12">
        <v>5</v>
      </c>
      <c r="C95" s="12">
        <v>19</v>
      </c>
      <c r="D95" s="3" t="s">
        <v>267</v>
      </c>
      <c r="J95" s="17"/>
      <c r="K95" s="62" t="str">
        <f>INDEX(g_lang_val,MATCH("so_4_1_1",g_lang_key,0))</f>
        <v>Indtastningsår</v>
      </c>
      <c r="L95" s="228">
        <v>2026</v>
      </c>
      <c r="M95" s="228"/>
      <c r="N95" s="228"/>
      <c r="O95" s="19"/>
    </row>
    <row r="96" spans="1:15" ht="3" customHeight="1" x14ac:dyDescent="0.2">
      <c r="J96" s="17"/>
      <c r="K96" s="18"/>
      <c r="L96" s="18"/>
      <c r="M96" s="18"/>
      <c r="N96" s="18"/>
      <c r="O96" s="19"/>
    </row>
    <row r="97" spans="1:15" ht="35.1" customHeight="1" x14ac:dyDescent="0.2">
      <c r="A97" s="3" t="s">
        <v>34</v>
      </c>
      <c r="B97" s="12">
        <v>5</v>
      </c>
      <c r="C97" s="12">
        <v>19</v>
      </c>
      <c r="D97" s="3" t="s">
        <v>268</v>
      </c>
      <c r="J97" s="17"/>
      <c r="K97" s="225" t="str">
        <f>INDEX(g_lang_val,MATCH("so_4_1_1_1",g_lang_key,0))</f>
        <v>Angiver som basisår det år, som data stammer fra, og hvor priser mv. blev beregnet.
Indtastningsåret stemmer ikke nødvendigvis med indeværende år.</v>
      </c>
      <c r="L97" s="225"/>
      <c r="M97" s="225"/>
      <c r="N97" s="225"/>
      <c r="O97" s="19"/>
    </row>
    <row r="98" spans="1:15" ht="3" customHeight="1" x14ac:dyDescent="0.2">
      <c r="J98" s="17"/>
      <c r="K98" s="18"/>
      <c r="L98" s="18"/>
      <c r="M98" s="18"/>
      <c r="N98" s="18"/>
      <c r="O98" s="19"/>
    </row>
    <row r="99" spans="1:15" ht="24" customHeight="1" x14ac:dyDescent="0.2">
      <c r="A99" s="3" t="s">
        <v>35</v>
      </c>
      <c r="B99" s="12">
        <v>5</v>
      </c>
      <c r="C99" s="12">
        <v>19</v>
      </c>
      <c r="D99" s="3" t="s">
        <v>269</v>
      </c>
      <c r="J99" s="17"/>
      <c r="K99" s="62" t="str">
        <f>INDEX(g_lang_val,MATCH("so_4_1_2",g_lang_key,0))</f>
        <v>Rapporteringsår</v>
      </c>
      <c r="L99" s="228">
        <v>2026</v>
      </c>
      <c r="M99" s="228"/>
      <c r="N99" s="228"/>
      <c r="O99" s="19"/>
    </row>
    <row r="100" spans="1:15" ht="3" customHeight="1" x14ac:dyDescent="0.2">
      <c r="J100" s="17"/>
      <c r="K100" s="18"/>
      <c r="L100" s="18"/>
      <c r="M100" s="18"/>
      <c r="N100" s="18"/>
      <c r="O100" s="19"/>
    </row>
    <row r="101" spans="1:15" ht="35.1" customHeight="1" x14ac:dyDescent="0.2">
      <c r="A101" s="3" t="s">
        <v>36</v>
      </c>
      <c r="B101" s="12">
        <v>5</v>
      </c>
      <c r="C101" s="12">
        <v>19</v>
      </c>
      <c r="D101" s="3" t="s">
        <v>270</v>
      </c>
      <c r="J101" s="17"/>
      <c r="K101" s="225" t="str">
        <f>INDEX(g_lang_val,MATCH("so_4_1_2_1",g_lang_key,0))</f>
        <v>Angiver det år, som data skal fremregnes til (eller undtagelsesvist tilbageregnes til).
Rapporteringsåret vil som regel være indeværende år.</v>
      </c>
      <c r="L101" s="225"/>
      <c r="M101" s="225"/>
      <c r="N101" s="225"/>
      <c r="O101" s="19"/>
    </row>
    <row r="102" spans="1:15" ht="3" customHeight="1" x14ac:dyDescent="0.2">
      <c r="J102" s="17"/>
      <c r="K102" s="18"/>
      <c r="L102" s="18"/>
      <c r="M102" s="18"/>
      <c r="N102" s="18"/>
      <c r="O102" s="19"/>
    </row>
    <row r="103" spans="1:15" ht="13.5" customHeight="1" x14ac:dyDescent="0.2">
      <c r="A103" s="3" t="s">
        <v>37</v>
      </c>
      <c r="B103" s="12">
        <v>5</v>
      </c>
      <c r="C103" s="12">
        <v>19</v>
      </c>
      <c r="D103" s="3" t="s">
        <v>263</v>
      </c>
      <c r="J103" s="17"/>
      <c r="K103" s="18"/>
      <c r="L103" s="18"/>
      <c r="M103" s="18"/>
      <c r="N103" s="18"/>
      <c r="O103" s="19"/>
    </row>
    <row r="104" spans="1:15" ht="3" customHeight="1" x14ac:dyDescent="0.2">
      <c r="J104" s="17"/>
      <c r="K104" s="18"/>
      <c r="L104" s="18"/>
      <c r="M104" s="18"/>
      <c r="N104" s="18"/>
      <c r="O104" s="19"/>
    </row>
    <row r="105" spans="1:15" ht="15.95" customHeight="1" x14ac:dyDescent="0.2">
      <c r="A105" s="3" t="s">
        <v>38</v>
      </c>
      <c r="B105" s="12">
        <v>5</v>
      </c>
      <c r="C105" s="12">
        <v>19</v>
      </c>
      <c r="D105" s="3" t="s">
        <v>264</v>
      </c>
      <c r="J105" s="21"/>
      <c r="K105" s="21"/>
      <c r="L105" s="21"/>
      <c r="M105" s="21"/>
      <c r="N105" s="21"/>
      <c r="O105" s="21"/>
    </row>
  </sheetData>
  <sheetProtection autoFilter="0"/>
  <dataConsolidate/>
  <customSheetViews>
    <customSheetView guid="{CC114306-4468-4F70-9DB6-D54D814D228F}" fitToPage="1" printArea="1" hiddenRows="1" hiddenColumns="1" topLeftCell="I7">
      <selection activeCell="I7" sqref="I7"/>
      <pageMargins left="0.7" right="0.7" top="0.75" bottom="0.75" header="0.3" footer="0.3"/>
      <pageSetup paperSize="9" fitToHeight="0" orientation="portrait" r:id="rId1"/>
    </customSheetView>
  </customSheetViews>
  <mergeCells count="14">
    <mergeCell ref="Q9:R9"/>
    <mergeCell ref="Q10:R14"/>
    <mergeCell ref="K44:N44"/>
    <mergeCell ref="K97:N97"/>
    <mergeCell ref="J9:O9"/>
    <mergeCell ref="K101:N101"/>
    <mergeCell ref="L29:N29"/>
    <mergeCell ref="L36:N36"/>
    <mergeCell ref="L38:N38"/>
    <mergeCell ref="L18:N18"/>
    <mergeCell ref="L20:N20"/>
    <mergeCell ref="L22:N22"/>
    <mergeCell ref="L95:N95"/>
    <mergeCell ref="L99:N99"/>
  </mergeCells>
  <dataValidations count="2">
    <dataValidation type="date" operator="greaterThan" allowBlank="1" showInputMessage="1" showErrorMessage="1" errorTitle="Formateringsfejl" error="Datoer skal skrives i format &quot;dd-mm-åååå&quot;" sqref="L29:N29 L36:N36 L38:N38" xr:uid="{00000000-0002-0000-0200-000001000000}">
      <formula1>1</formula1>
    </dataValidation>
    <dataValidation type="list" allowBlank="1" showInputMessage="1" showErrorMessage="1" sqref="L95:N95 L99:N99" xr:uid="{00000000-0002-0000-0200-000000000000}">
      <formula1>g_pl_years</formula1>
    </dataValidation>
  </dataValidations>
  <pageMargins left="0.7" right="0.7" top="0.75" bottom="0.75" header="0.3" footer="0.3"/>
  <pageSetup paperSize="9" fitToHeight="0" orientation="portrait" r:id="rId2"/>
  <headerFooter>
    <oddFooter>&amp;C_x000D_&amp;1#&amp;"Aptos"&amp;10&amp;K000000 Denne information er følsom og må derfor kun deles inden for staten.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66B43"/>
    <pageSetUpPr autoPageBreaks="0" fitToPage="1"/>
  </sheetPr>
  <dimension ref="A1:BY158"/>
  <sheetViews>
    <sheetView topLeftCell="AM13" zoomScaleNormal="100" workbookViewId="0">
      <selection activeCell="AT183" sqref="AT183"/>
    </sheetView>
  </sheetViews>
  <sheetFormatPr defaultColWidth="9.28515625" defaultRowHeight="12" outlineLevelRow="1" x14ac:dyDescent="0.2"/>
  <cols>
    <col min="1" max="1" width="51" style="12" hidden="1" customWidth="1"/>
    <col min="2" max="2" width="2.85546875" style="12" hidden="1" customWidth="1"/>
    <col min="3" max="8" width="5.85546875" style="12" hidden="1" customWidth="1"/>
    <col min="9" max="9" width="7.85546875" style="12" hidden="1" customWidth="1"/>
    <col min="10" max="33" width="5.85546875" style="12" hidden="1" customWidth="1"/>
    <col min="34" max="35" width="2.85546875" style="12" hidden="1" customWidth="1"/>
    <col min="36" max="36" width="8.140625" style="12" hidden="1" customWidth="1"/>
    <col min="37" max="37" width="7" style="12" hidden="1" customWidth="1"/>
    <col min="38" max="38" width="14.42578125" style="12" hidden="1" customWidth="1"/>
    <col min="39" max="39" width="2" style="12" customWidth="1"/>
    <col min="40" max="40" width="3.140625" style="12" customWidth="1"/>
    <col min="41" max="41" width="6.140625" style="12" customWidth="1"/>
    <col min="42" max="42" width="61.140625" style="12" customWidth="1"/>
    <col min="43" max="43" width="25.7109375" style="12" customWidth="1"/>
    <col min="44" max="44" width="15.7109375" style="12" customWidth="1"/>
    <col min="45" max="45" width="15.5703125" style="12" customWidth="1"/>
    <col min="46" max="46" width="35.7109375" style="12" customWidth="1"/>
    <col min="47" max="77" width="11.28515625" style="12" customWidth="1"/>
    <col min="78" max="16384" width="9.28515625" style="12"/>
  </cols>
  <sheetData>
    <row r="1" spans="1:77" s="6" customFormat="1" ht="28.5" hidden="1" customHeight="1" x14ac:dyDescent="0.2">
      <c r="A1" s="5" t="s">
        <v>3</v>
      </c>
      <c r="B1" s="5" t="s">
        <v>4</v>
      </c>
      <c r="C1" s="5" t="s">
        <v>5</v>
      </c>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t="s">
        <v>6</v>
      </c>
      <c r="AI1" s="5" t="s">
        <v>12</v>
      </c>
      <c r="AJ1" s="5" t="s">
        <v>13</v>
      </c>
      <c r="AK1" s="5" t="s">
        <v>81</v>
      </c>
      <c r="AL1" s="5" t="s">
        <v>82</v>
      </c>
      <c r="AM1" s="5" t="s">
        <v>83</v>
      </c>
      <c r="AN1" s="5" t="s">
        <v>84</v>
      </c>
      <c r="AO1" s="5" t="s">
        <v>85</v>
      </c>
      <c r="AP1" s="5" t="s">
        <v>86</v>
      </c>
      <c r="AQ1" s="5" t="s">
        <v>92</v>
      </c>
      <c r="AR1" s="5"/>
      <c r="AS1" s="5"/>
      <c r="AT1" s="5" t="s">
        <v>98</v>
      </c>
      <c r="AU1" s="5" t="s">
        <v>103</v>
      </c>
      <c r="AV1" s="5" t="s">
        <v>104</v>
      </c>
      <c r="AW1" s="5" t="s">
        <v>105</v>
      </c>
      <c r="AX1" s="5" t="s">
        <v>106</v>
      </c>
      <c r="AY1" s="5" t="s">
        <v>107</v>
      </c>
      <c r="AZ1" s="5" t="s">
        <v>108</v>
      </c>
      <c r="BA1" s="5" t="s">
        <v>109</v>
      </c>
      <c r="BB1" s="5" t="s">
        <v>110</v>
      </c>
      <c r="BC1" s="5" t="s">
        <v>398</v>
      </c>
      <c r="BD1" s="5" t="s">
        <v>399</v>
      </c>
      <c r="BE1" s="5" t="s">
        <v>400</v>
      </c>
      <c r="BF1" s="5" t="s">
        <v>401</v>
      </c>
      <c r="BG1" s="5" t="s">
        <v>402</v>
      </c>
      <c r="BH1" s="5" t="s">
        <v>403</v>
      </c>
      <c r="BI1" s="5" t="s">
        <v>404</v>
      </c>
      <c r="BJ1" s="5" t="s">
        <v>405</v>
      </c>
      <c r="BK1" s="5" t="s">
        <v>406</v>
      </c>
      <c r="BL1" s="5" t="s">
        <v>407</v>
      </c>
      <c r="BM1" s="5" t="s">
        <v>408</v>
      </c>
      <c r="BN1" s="5" t="s">
        <v>409</v>
      </c>
      <c r="BO1" s="5" t="s">
        <v>410</v>
      </c>
      <c r="BP1" s="5" t="s">
        <v>417</v>
      </c>
      <c r="BQ1" s="5" t="s">
        <v>418</v>
      </c>
      <c r="BR1" s="5" t="s">
        <v>419</v>
      </c>
      <c r="BS1" s="5" t="s">
        <v>420</v>
      </c>
      <c r="BT1" s="5" t="s">
        <v>421</v>
      </c>
      <c r="BU1" s="5" t="s">
        <v>422</v>
      </c>
      <c r="BV1" s="5" t="s">
        <v>423</v>
      </c>
      <c r="BW1" s="5" t="s">
        <v>424</v>
      </c>
      <c r="BX1" s="5" t="s">
        <v>425</v>
      </c>
      <c r="BY1" s="5" t="s">
        <v>553</v>
      </c>
    </row>
    <row r="2" spans="1:77" s="6" customFormat="1" ht="30" hidden="1" customHeight="1" x14ac:dyDescent="0.2">
      <c r="A2" s="6" t="s">
        <v>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row>
    <row r="3" spans="1:77" s="6" customFormat="1" ht="12" hidden="1" customHeight="1" x14ac:dyDescent="0.2">
      <c r="A3" s="6" t="s">
        <v>8</v>
      </c>
      <c r="B3" s="9" t="s">
        <v>111</v>
      </c>
      <c r="C3" s="9" t="s">
        <v>17</v>
      </c>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t="s">
        <v>112</v>
      </c>
      <c r="AI3" s="9" t="s">
        <v>113</v>
      </c>
      <c r="AJ3" s="9" t="s">
        <v>114</v>
      </c>
      <c r="AK3" s="11" t="s">
        <v>116</v>
      </c>
      <c r="AL3" s="11" t="s">
        <v>116</v>
      </c>
      <c r="AM3" s="11" t="s">
        <v>116</v>
      </c>
      <c r="AN3" s="11" t="s">
        <v>116</v>
      </c>
      <c r="AO3" s="11" t="s">
        <v>116</v>
      </c>
      <c r="AP3" s="11" t="s">
        <v>116</v>
      </c>
      <c r="AQ3" s="11" t="s">
        <v>116</v>
      </c>
      <c r="AR3" s="11"/>
      <c r="AS3" s="11"/>
      <c r="AT3" s="11" t="s">
        <v>116</v>
      </c>
      <c r="AU3" s="12">
        <v>1</v>
      </c>
      <c r="AV3" s="12">
        <v>2</v>
      </c>
      <c r="AW3" s="12">
        <v>3</v>
      </c>
      <c r="AX3" s="12">
        <v>4</v>
      </c>
      <c r="AY3" s="12">
        <v>5</v>
      </c>
      <c r="AZ3" s="12">
        <v>6</v>
      </c>
      <c r="BA3" s="12">
        <v>7</v>
      </c>
      <c r="BB3" s="12">
        <v>8</v>
      </c>
      <c r="BC3" s="12">
        <v>9</v>
      </c>
      <c r="BD3" s="12">
        <v>10</v>
      </c>
      <c r="BE3" s="12">
        <v>11</v>
      </c>
      <c r="BF3" s="12">
        <v>12</v>
      </c>
      <c r="BG3" s="12">
        <v>13</v>
      </c>
      <c r="BH3" s="12">
        <v>14</v>
      </c>
      <c r="BI3" s="12">
        <v>15</v>
      </c>
      <c r="BJ3" s="12">
        <v>16</v>
      </c>
      <c r="BK3" s="12">
        <v>17</v>
      </c>
      <c r="BL3" s="12">
        <v>18</v>
      </c>
      <c r="BM3" s="12">
        <v>19</v>
      </c>
      <c r="BN3" s="12">
        <v>20</v>
      </c>
      <c r="BO3" s="12">
        <v>21</v>
      </c>
      <c r="BP3" s="12">
        <v>22</v>
      </c>
      <c r="BQ3" s="12">
        <v>23</v>
      </c>
      <c r="BR3" s="12">
        <v>24</v>
      </c>
      <c r="BS3" s="12">
        <v>25</v>
      </c>
      <c r="BT3" s="12">
        <v>26</v>
      </c>
      <c r="BU3" s="12">
        <v>27</v>
      </c>
      <c r="BV3" s="12">
        <v>28</v>
      </c>
      <c r="BW3" s="12">
        <v>29</v>
      </c>
      <c r="BX3" s="12">
        <v>30</v>
      </c>
      <c r="BY3" s="12">
        <v>31</v>
      </c>
    </row>
    <row r="4" spans="1:77" s="6" customFormat="1" ht="12" hidden="1" customHeight="1" x14ac:dyDescent="0.2">
      <c r="A4" s="6" t="s">
        <v>9</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11">
        <v>-4</v>
      </c>
      <c r="AL4" s="11">
        <v>-3</v>
      </c>
      <c r="AM4" s="11">
        <v>-2</v>
      </c>
      <c r="AN4" s="11">
        <v>-1</v>
      </c>
      <c r="AO4" s="11">
        <v>0</v>
      </c>
      <c r="AP4" s="11">
        <v>1</v>
      </c>
      <c r="AQ4" s="11">
        <v>7</v>
      </c>
      <c r="AR4" s="11"/>
      <c r="AS4" s="11"/>
      <c r="AT4" s="11">
        <v>10</v>
      </c>
      <c r="AU4" s="22" t="s">
        <v>120</v>
      </c>
      <c r="AV4" s="22" t="s">
        <v>120</v>
      </c>
      <c r="AW4" s="22" t="s">
        <v>120</v>
      </c>
      <c r="AX4" s="22" t="s">
        <v>120</v>
      </c>
      <c r="AY4" s="22" t="s">
        <v>120</v>
      </c>
      <c r="AZ4" s="22" t="s">
        <v>120</v>
      </c>
      <c r="BA4" s="22" t="s">
        <v>120</v>
      </c>
      <c r="BB4" s="22" t="s">
        <v>120</v>
      </c>
      <c r="BC4" s="22" t="s">
        <v>120</v>
      </c>
      <c r="BD4" s="22" t="s">
        <v>120</v>
      </c>
      <c r="BE4" s="22" t="s">
        <v>120</v>
      </c>
      <c r="BF4" s="22" t="s">
        <v>120</v>
      </c>
      <c r="BG4" s="22" t="s">
        <v>120</v>
      </c>
      <c r="BH4" s="22" t="s">
        <v>120</v>
      </c>
      <c r="BI4" s="22" t="s">
        <v>120</v>
      </c>
      <c r="BJ4" s="22" t="s">
        <v>120</v>
      </c>
      <c r="BK4" s="22" t="s">
        <v>120</v>
      </c>
      <c r="BL4" s="22" t="s">
        <v>120</v>
      </c>
      <c r="BM4" s="22" t="s">
        <v>120</v>
      </c>
      <c r="BN4" s="22" t="s">
        <v>120</v>
      </c>
      <c r="BO4" s="22" t="s">
        <v>120</v>
      </c>
      <c r="BP4" s="22" t="s">
        <v>120</v>
      </c>
      <c r="BQ4" s="22" t="s">
        <v>120</v>
      </c>
      <c r="BR4" s="22" t="s">
        <v>120</v>
      </c>
      <c r="BS4" s="22" t="s">
        <v>120</v>
      </c>
      <c r="BT4" s="22" t="s">
        <v>120</v>
      </c>
      <c r="BU4" s="22" t="s">
        <v>120</v>
      </c>
      <c r="BV4" s="22" t="s">
        <v>120</v>
      </c>
      <c r="BW4" s="22" t="s">
        <v>120</v>
      </c>
      <c r="BX4" s="22" t="s">
        <v>120</v>
      </c>
      <c r="BY4" s="22" t="s">
        <v>120</v>
      </c>
    </row>
    <row r="5" spans="1:77" hidden="1" x14ac:dyDescent="0.2"/>
    <row r="6" spans="1:77" hidden="1" x14ac:dyDescent="0.2"/>
    <row r="7" spans="1:77" hidden="1" x14ac:dyDescent="0.2"/>
    <row r="8" spans="1:77" hidden="1" x14ac:dyDescent="0.2">
      <c r="AU8" s="12">
        <v>249</v>
      </c>
      <c r="AV8" s="12">
        <v>250</v>
      </c>
      <c r="AW8" s="12">
        <v>251</v>
      </c>
      <c r="AX8" s="12">
        <v>252</v>
      </c>
      <c r="AY8" s="12">
        <v>253</v>
      </c>
      <c r="AZ8" s="12">
        <v>254</v>
      </c>
      <c r="BA8" s="12">
        <v>255</v>
      </c>
      <c r="BB8" s="12">
        <v>256</v>
      </c>
      <c r="BC8" s="12">
        <v>257</v>
      </c>
      <c r="BD8" s="12">
        <v>258</v>
      </c>
      <c r="BE8" s="12">
        <v>259</v>
      </c>
      <c r="BF8" s="12">
        <v>260</v>
      </c>
      <c r="BG8" s="12">
        <v>261</v>
      </c>
      <c r="BH8" s="12">
        <v>262</v>
      </c>
      <c r="BI8" s="12">
        <v>263</v>
      </c>
      <c r="BJ8" s="12">
        <v>264</v>
      </c>
      <c r="BK8" s="12">
        <v>265</v>
      </c>
      <c r="BL8" s="12">
        <v>266</v>
      </c>
      <c r="BM8" s="12">
        <v>267</v>
      </c>
      <c r="BN8" s="12">
        <v>268</v>
      </c>
      <c r="BO8" s="12">
        <v>269</v>
      </c>
      <c r="BP8" s="12">
        <v>270</v>
      </c>
      <c r="BQ8" s="12">
        <v>271</v>
      </c>
      <c r="BR8" s="12">
        <v>272</v>
      </c>
      <c r="BS8" s="12">
        <v>273</v>
      </c>
      <c r="BT8" s="12">
        <v>274</v>
      </c>
      <c r="BU8" s="12">
        <v>275</v>
      </c>
      <c r="BV8" s="12">
        <v>276</v>
      </c>
      <c r="BW8" s="12">
        <v>277</v>
      </c>
      <c r="BX8" s="12">
        <v>278</v>
      </c>
      <c r="BY8" s="12">
        <v>279</v>
      </c>
    </row>
    <row r="9" spans="1:77" hidden="1" x14ac:dyDescent="0.2"/>
    <row r="10" spans="1:77" hidden="1" x14ac:dyDescent="0.2"/>
    <row r="11" spans="1:77" hidden="1" x14ac:dyDescent="0.2"/>
    <row r="12" spans="1:77" ht="12.75" hidden="1" x14ac:dyDescent="0.2">
      <c r="A12" s="3" t="s">
        <v>11</v>
      </c>
    </row>
    <row r="13" spans="1:77" ht="28.5" customHeight="1" x14ac:dyDescent="0.2">
      <c r="A13" s="3" t="s">
        <v>166</v>
      </c>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row>
    <row r="14" spans="1:77" ht="5.0999999999999996" customHeight="1" x14ac:dyDescent="0.2">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row>
    <row r="15" spans="1:77" ht="5.0999999999999996" customHeight="1" x14ac:dyDescent="0.2">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row>
    <row r="16" spans="1:77" ht="17.25" customHeight="1" x14ac:dyDescent="0.2">
      <c r="A16" s="3" t="s">
        <v>167</v>
      </c>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row>
    <row r="17" spans="1:77" ht="4.5" customHeight="1" x14ac:dyDescent="0.2">
      <c r="A17" s="3" t="s">
        <v>169</v>
      </c>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row>
    <row r="18" spans="1:77" ht="21" customHeight="1" x14ac:dyDescent="0.2">
      <c r="A18" s="3" t="s">
        <v>170</v>
      </c>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row>
    <row r="19" spans="1:77" ht="9.75" customHeight="1" x14ac:dyDescent="0.2"/>
    <row r="20" spans="1:77" ht="27.75" customHeight="1" x14ac:dyDescent="0.4">
      <c r="A20" s="3" t="s">
        <v>171</v>
      </c>
      <c r="AN20" s="26"/>
    </row>
    <row r="21" spans="1:77" ht="29.1" customHeight="1" x14ac:dyDescent="0.2">
      <c r="A21" s="3" t="s">
        <v>172</v>
      </c>
      <c r="AN21" s="172" t="str">
        <f>INDEX(g_lang_val,MATCH("le_2_1",g_lang_key,0))</f>
        <v>Projektudgifter i tusinde kroner (t. kr.)</v>
      </c>
      <c r="AO21" s="171"/>
      <c r="AP21" s="171"/>
    </row>
    <row r="22" spans="1:77" ht="4.5" customHeight="1" x14ac:dyDescent="0.2">
      <c r="A22" s="3" t="s">
        <v>173</v>
      </c>
      <c r="AN22" s="28"/>
      <c r="AO22" s="24"/>
      <c r="AP22" s="24"/>
      <c r="AQ22" s="24"/>
      <c r="AR22" s="24"/>
      <c r="AS22" s="24"/>
      <c r="AT22" s="24"/>
      <c r="AU22" s="34">
        <f t="shared" ref="AU22:BY22" ca="1" si="0">IF(INDEX(g_sc_1_capex,2)+COLUMN()-47&lt;=INDEX(g_sc_1_capex,3),INDEX(g_sc_1_capex,2)+COLUMN()-47,"")</f>
        <v>2026</v>
      </c>
      <c r="AV22" s="34">
        <f t="shared" ca="1" si="0"/>
        <v>2027</v>
      </c>
      <c r="AW22" s="34">
        <f t="shared" ca="1" si="0"/>
        <v>2028</v>
      </c>
      <c r="AX22" s="34">
        <f t="shared" ca="1" si="0"/>
        <v>2029</v>
      </c>
      <c r="AY22" s="34" t="str">
        <f t="shared" ca="1" si="0"/>
        <v/>
      </c>
      <c r="AZ22" s="34" t="str">
        <f t="shared" ca="1" si="0"/>
        <v/>
      </c>
      <c r="BA22" s="34" t="str">
        <f t="shared" ca="1" si="0"/>
        <v/>
      </c>
      <c r="BB22" s="34" t="str">
        <f t="shared" ca="1" si="0"/>
        <v/>
      </c>
      <c r="BC22" s="34" t="str">
        <f t="shared" ca="1" si="0"/>
        <v/>
      </c>
      <c r="BD22" s="34" t="str">
        <f t="shared" ca="1" si="0"/>
        <v/>
      </c>
      <c r="BE22" s="34" t="str">
        <f t="shared" ca="1" si="0"/>
        <v/>
      </c>
      <c r="BF22" s="34" t="str">
        <f t="shared" ca="1" si="0"/>
        <v/>
      </c>
      <c r="BG22" s="34" t="str">
        <f t="shared" ca="1" si="0"/>
        <v/>
      </c>
      <c r="BH22" s="34" t="str">
        <f t="shared" ca="1" si="0"/>
        <v/>
      </c>
      <c r="BI22" s="34" t="str">
        <f t="shared" ca="1" si="0"/>
        <v/>
      </c>
      <c r="BJ22" s="34" t="str">
        <f t="shared" ca="1" si="0"/>
        <v/>
      </c>
      <c r="BK22" s="34" t="str">
        <f t="shared" ca="1" si="0"/>
        <v/>
      </c>
      <c r="BL22" s="34" t="str">
        <f t="shared" ca="1" si="0"/>
        <v/>
      </c>
      <c r="BM22" s="34" t="str">
        <f t="shared" ca="1" si="0"/>
        <v/>
      </c>
      <c r="BN22" s="34" t="str">
        <f t="shared" ca="1" si="0"/>
        <v/>
      </c>
      <c r="BO22" s="34" t="str">
        <f t="shared" ca="1" si="0"/>
        <v/>
      </c>
      <c r="BP22" s="34" t="str">
        <f t="shared" ca="1" si="0"/>
        <v/>
      </c>
      <c r="BQ22" s="34" t="str">
        <f t="shared" ca="1" si="0"/>
        <v/>
      </c>
      <c r="BR22" s="34" t="str">
        <f t="shared" ca="1" si="0"/>
        <v/>
      </c>
      <c r="BS22" s="34" t="str">
        <f t="shared" ca="1" si="0"/>
        <v/>
      </c>
      <c r="BT22" s="34" t="str">
        <f t="shared" ca="1" si="0"/>
        <v/>
      </c>
      <c r="BU22" s="34" t="str">
        <f t="shared" ca="1" si="0"/>
        <v/>
      </c>
      <c r="BV22" s="34" t="str">
        <f t="shared" ca="1" si="0"/>
        <v/>
      </c>
      <c r="BW22" s="34" t="str">
        <f t="shared" ca="1" si="0"/>
        <v/>
      </c>
      <c r="BX22" s="34" t="str">
        <f t="shared" ca="1" si="0"/>
        <v/>
      </c>
      <c r="BY22" s="34" t="str">
        <f t="shared" ca="1" si="0"/>
        <v/>
      </c>
    </row>
    <row r="23" spans="1:77" ht="17.25" customHeight="1" x14ac:dyDescent="0.2">
      <c r="A23" s="3" t="s">
        <v>167</v>
      </c>
      <c r="AN23" s="28"/>
      <c r="AO23" s="232" t="str">
        <f>INDEX(g_lang_val,MATCH("le_1",g_lang_key,0))</f>
        <v>Vigtigt:</v>
      </c>
      <c r="AP23" s="233"/>
      <c r="AQ23" s="233"/>
      <c r="AR23" s="233"/>
      <c r="AS23" s="233"/>
      <c r="AT23" s="233"/>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row>
    <row r="24" spans="1:77" ht="90" customHeight="1" x14ac:dyDescent="0.2">
      <c r="A24" s="3" t="s">
        <v>168</v>
      </c>
      <c r="AN24" s="28"/>
      <c r="AO24" s="35"/>
      <c r="AP24" s="234" t="str">
        <f>INDEX(g_lang_val,MATCH("le_1_1",g_lang_key,0))</f>
        <v>1) Udgifter er i tusinde kroner.
2) Du kan kun indtaste data i de hvide felter.
3) Du kan bruge klip/kopier+indsæt-funktionen for værdier i de hvide felter.
4) Du kan bruge klip/kopier+indsæt-funktionen for leverancer/releases, men ikke for anlæg, da det kan ødelægge de bagvedliggende formler.</v>
      </c>
      <c r="AQ24" s="234"/>
      <c r="AR24" s="234"/>
      <c r="AS24" s="234"/>
      <c r="AT24" s="234"/>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row>
    <row r="25" spans="1:77" s="44" customFormat="1" ht="51.75" customHeight="1" x14ac:dyDescent="0.2">
      <c r="A25" s="43" t="s">
        <v>174</v>
      </c>
      <c r="AN25" s="45"/>
      <c r="AO25" s="237" t="str">
        <f>INDEX(g_lang_val,MATCH("le_2_1_1",g_lang_key,0))</f>
        <v>Leverancer</v>
      </c>
      <c r="AP25" s="238"/>
      <c r="AQ25" s="78" t="str">
        <f>INDEX(g_lang_val,MATCH("so_3",g_lang_key,0))</f>
        <v>Anlæg</v>
      </c>
      <c r="AR25" s="54" t="str">
        <f>INDEX(g_lang_val,MATCH("le_2_1_3",g_lang_key,0))</f>
        <v>Procentdel aktiveret (pct.)</v>
      </c>
      <c r="AS25" s="54" t="str">
        <f>INDEX(g_lang_val,MATCH("le_2_1_4",g_lang_key,0))</f>
        <v>Procentdel eksterne (pct.)</v>
      </c>
      <c r="AT25" s="78" t="str">
        <f>INDEX(g_lang_val,MATCH("le_2_1_5",g_lang_key,0))</f>
        <v>Grundlag for estimat</v>
      </c>
      <c r="AU25" s="46">
        <f ca="1">AU22</f>
        <v>2026</v>
      </c>
      <c r="AV25" s="46">
        <f t="shared" ref="AV25:BY25" ca="1" si="1">AV22</f>
        <v>2027</v>
      </c>
      <c r="AW25" s="46">
        <f t="shared" ca="1" si="1"/>
        <v>2028</v>
      </c>
      <c r="AX25" s="46">
        <f t="shared" ca="1" si="1"/>
        <v>2029</v>
      </c>
      <c r="AY25" s="46" t="str">
        <f t="shared" ca="1" si="1"/>
        <v/>
      </c>
      <c r="AZ25" s="46" t="str">
        <f t="shared" ca="1" si="1"/>
        <v/>
      </c>
      <c r="BA25" s="46" t="str">
        <f t="shared" ca="1" si="1"/>
        <v/>
      </c>
      <c r="BB25" s="46" t="str">
        <f t="shared" ca="1" si="1"/>
        <v/>
      </c>
      <c r="BC25" s="46" t="str">
        <f t="shared" ca="1" si="1"/>
        <v/>
      </c>
      <c r="BD25" s="46" t="str">
        <f t="shared" ca="1" si="1"/>
        <v/>
      </c>
      <c r="BE25" s="46" t="str">
        <f t="shared" ca="1" si="1"/>
        <v/>
      </c>
      <c r="BF25" s="46" t="str">
        <f t="shared" ca="1" si="1"/>
        <v/>
      </c>
      <c r="BG25" s="46" t="str">
        <f t="shared" ca="1" si="1"/>
        <v/>
      </c>
      <c r="BH25" s="46" t="str">
        <f t="shared" ca="1" si="1"/>
        <v/>
      </c>
      <c r="BI25" s="46" t="str">
        <f t="shared" ca="1" si="1"/>
        <v/>
      </c>
      <c r="BJ25" s="46" t="str">
        <f t="shared" ca="1" si="1"/>
        <v/>
      </c>
      <c r="BK25" s="46" t="str">
        <f t="shared" ca="1" si="1"/>
        <v/>
      </c>
      <c r="BL25" s="46" t="str">
        <f t="shared" ca="1" si="1"/>
        <v/>
      </c>
      <c r="BM25" s="46" t="str">
        <f t="shared" ca="1" si="1"/>
        <v/>
      </c>
      <c r="BN25" s="46" t="str">
        <f t="shared" ca="1" si="1"/>
        <v/>
      </c>
      <c r="BO25" s="46" t="str">
        <f t="shared" ca="1" si="1"/>
        <v/>
      </c>
      <c r="BP25" s="46" t="str">
        <f t="shared" ca="1" si="1"/>
        <v/>
      </c>
      <c r="BQ25" s="46" t="str">
        <f t="shared" ca="1" si="1"/>
        <v/>
      </c>
      <c r="BR25" s="46" t="str">
        <f t="shared" ca="1" si="1"/>
        <v/>
      </c>
      <c r="BS25" s="46" t="str">
        <f t="shared" ca="1" si="1"/>
        <v/>
      </c>
      <c r="BT25" s="46" t="str">
        <f t="shared" ca="1" si="1"/>
        <v/>
      </c>
      <c r="BU25" s="46" t="str">
        <f t="shared" ca="1" si="1"/>
        <v/>
      </c>
      <c r="BV25" s="46" t="str">
        <f t="shared" ca="1" si="1"/>
        <v/>
      </c>
      <c r="BW25" s="46" t="str">
        <f t="shared" ca="1" si="1"/>
        <v/>
      </c>
      <c r="BX25" s="46" t="str">
        <f t="shared" ca="1" si="1"/>
        <v/>
      </c>
      <c r="BY25" s="46" t="str">
        <f t="shared" ca="1" si="1"/>
        <v/>
      </c>
    </row>
    <row r="26" spans="1:77" ht="4.5" customHeight="1" x14ac:dyDescent="0.2">
      <c r="A26" s="3" t="s">
        <v>175</v>
      </c>
      <c r="AN26" s="28"/>
      <c r="AO26" s="27"/>
      <c r="AP26" s="27"/>
      <c r="AQ26" s="27"/>
      <c r="AR26" s="27"/>
      <c r="AS26" s="27"/>
      <c r="AT26" s="27"/>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row>
    <row r="27" spans="1:77" ht="18.75" customHeight="1" x14ac:dyDescent="0.2">
      <c r="A27" s="3" t="s">
        <v>176</v>
      </c>
      <c r="AK27" s="12" t="str">
        <f>INDEX(g_lang_val,MATCH("le_2_1_3",g_lang_key,0))</f>
        <v>Procentdel aktiveret (pct.)</v>
      </c>
      <c r="AL27" s="12" t="str">
        <f>INDEX(g_lang_val,MATCH("le_2_1_4",g_lang_key,0))</f>
        <v>Procentdel eksterne (pct.)</v>
      </c>
      <c r="AN27" s="28"/>
      <c r="AO27" s="136" t="str">
        <f>INDEX(g_lang_val,MATCH("so_2_1_2",g_lang_key,0))</f>
        <v>Analysefase</v>
      </c>
      <c r="AP27" s="55"/>
      <c r="AQ27" s="55"/>
      <c r="AR27" s="55"/>
      <c r="AS27" s="55"/>
      <c r="AT27" s="55"/>
      <c r="AU27" s="150">
        <f t="shared" ref="AU27:BY27" ca="1" si="2">IF(AU$22="","",SUMIF($A:$A,$A27&amp;"_*",AU:AU))</f>
        <v>0</v>
      </c>
      <c r="AV27" s="150">
        <f t="shared" ca="1" si="2"/>
        <v>0</v>
      </c>
      <c r="AW27" s="150">
        <f t="shared" ca="1" si="2"/>
        <v>0</v>
      </c>
      <c r="AX27" s="150">
        <f t="shared" ca="1" si="2"/>
        <v>0</v>
      </c>
      <c r="AY27" s="150" t="str">
        <f t="shared" ca="1" si="2"/>
        <v/>
      </c>
      <c r="AZ27" s="150" t="str">
        <f t="shared" ca="1" si="2"/>
        <v/>
      </c>
      <c r="BA27" s="150" t="str">
        <f t="shared" ca="1" si="2"/>
        <v/>
      </c>
      <c r="BB27" s="150" t="str">
        <f t="shared" ca="1" si="2"/>
        <v/>
      </c>
      <c r="BC27" s="150" t="str">
        <f t="shared" ca="1" si="2"/>
        <v/>
      </c>
      <c r="BD27" s="150" t="str">
        <f t="shared" ca="1" si="2"/>
        <v/>
      </c>
      <c r="BE27" s="150" t="str">
        <f t="shared" ca="1" si="2"/>
        <v/>
      </c>
      <c r="BF27" s="150" t="str">
        <f t="shared" ca="1" si="2"/>
        <v/>
      </c>
      <c r="BG27" s="150" t="str">
        <f t="shared" ca="1" si="2"/>
        <v/>
      </c>
      <c r="BH27" s="150" t="str">
        <f t="shared" ca="1" si="2"/>
        <v/>
      </c>
      <c r="BI27" s="150" t="str">
        <f t="shared" ca="1" si="2"/>
        <v/>
      </c>
      <c r="BJ27" s="150" t="str">
        <f t="shared" ca="1" si="2"/>
        <v/>
      </c>
      <c r="BK27" s="150" t="str">
        <f t="shared" ca="1" si="2"/>
        <v/>
      </c>
      <c r="BL27" s="150" t="str">
        <f t="shared" ca="1" si="2"/>
        <v/>
      </c>
      <c r="BM27" s="150" t="str">
        <f t="shared" ca="1" si="2"/>
        <v/>
      </c>
      <c r="BN27" s="150" t="str">
        <f t="shared" ca="1" si="2"/>
        <v/>
      </c>
      <c r="BO27" s="150" t="str">
        <f t="shared" ca="1" si="2"/>
        <v/>
      </c>
      <c r="BP27" s="150" t="str">
        <f t="shared" ca="1" si="2"/>
        <v/>
      </c>
      <c r="BQ27" s="150" t="str">
        <f t="shared" ca="1" si="2"/>
        <v/>
      </c>
      <c r="BR27" s="150" t="str">
        <f t="shared" ca="1" si="2"/>
        <v/>
      </c>
      <c r="BS27" s="150" t="str">
        <f t="shared" ca="1" si="2"/>
        <v/>
      </c>
      <c r="BT27" s="150" t="str">
        <f t="shared" ca="1" si="2"/>
        <v/>
      </c>
      <c r="BU27" s="150" t="str">
        <f t="shared" ca="1" si="2"/>
        <v/>
      </c>
      <c r="BV27" s="150" t="str">
        <f t="shared" ca="1" si="2"/>
        <v/>
      </c>
      <c r="BW27" s="150" t="str">
        <f t="shared" ca="1" si="2"/>
        <v/>
      </c>
      <c r="BX27" s="150" t="str">
        <f t="shared" ca="1" si="2"/>
        <v/>
      </c>
      <c r="BY27" s="150" t="str">
        <f t="shared" ca="1" si="2"/>
        <v/>
      </c>
    </row>
    <row r="28" spans="1:77" ht="15.75" customHeight="1" x14ac:dyDescent="0.2">
      <c r="A28" s="3" t="s">
        <v>177</v>
      </c>
      <c r="C28" s="12">
        <f t="shared" ref="C28:C37" si="3">IF(AQ28&lt;&gt;"",MATCH(AQ28,g_assets_sc_1,0),"")</f>
        <v>1</v>
      </c>
      <c r="D28" s="12" t="str">
        <f t="shared" ref="D28:M34" si="4">IF(AU28="","-",AU28*$AR28*AU$96)</f>
        <v>-</v>
      </c>
      <c r="E28" s="12" t="str">
        <f t="shared" si="4"/>
        <v>-</v>
      </c>
      <c r="F28" s="12" t="str">
        <f t="shared" si="4"/>
        <v>-</v>
      </c>
      <c r="G28" s="12" t="str">
        <f t="shared" si="4"/>
        <v>-</v>
      </c>
      <c r="H28" s="12" t="str">
        <f t="shared" si="4"/>
        <v>-</v>
      </c>
      <c r="I28" s="12" t="str">
        <f t="shared" si="4"/>
        <v>-</v>
      </c>
      <c r="J28" s="12" t="str">
        <f t="shared" si="4"/>
        <v>-</v>
      </c>
      <c r="K28" s="12" t="str">
        <f t="shared" si="4"/>
        <v>-</v>
      </c>
      <c r="L28" s="12" t="str">
        <f t="shared" si="4"/>
        <v>-</v>
      </c>
      <c r="M28" s="12" t="str">
        <f t="shared" si="4"/>
        <v>-</v>
      </c>
      <c r="N28" s="12" t="str">
        <f t="shared" ref="N28:W34" si="5">IF(BE28="","-",BE28*$AR28*BE$96)</f>
        <v>-</v>
      </c>
      <c r="O28" s="12" t="str">
        <f t="shared" si="5"/>
        <v>-</v>
      </c>
      <c r="P28" s="12" t="str">
        <f t="shared" si="5"/>
        <v>-</v>
      </c>
      <c r="Q28" s="12" t="str">
        <f t="shared" si="5"/>
        <v>-</v>
      </c>
      <c r="R28" s="12" t="str">
        <f t="shared" si="5"/>
        <v>-</v>
      </c>
      <c r="S28" s="12" t="str">
        <f t="shared" si="5"/>
        <v>-</v>
      </c>
      <c r="T28" s="12" t="str">
        <f t="shared" si="5"/>
        <v>-</v>
      </c>
      <c r="U28" s="12" t="str">
        <f t="shared" si="5"/>
        <v>-</v>
      </c>
      <c r="V28" s="12" t="str">
        <f t="shared" si="5"/>
        <v>-</v>
      </c>
      <c r="W28" s="12" t="str">
        <f t="shared" si="5"/>
        <v>-</v>
      </c>
      <c r="X28" s="12" t="str">
        <f t="shared" ref="X28:AG34" si="6">IF(BO28="","-",BO28*$AR28*BO$96)</f>
        <v>-</v>
      </c>
      <c r="Y28" s="12" t="str">
        <f t="shared" si="6"/>
        <v>-</v>
      </c>
      <c r="Z28" s="12" t="str">
        <f t="shared" si="6"/>
        <v>-</v>
      </c>
      <c r="AA28" s="12" t="str">
        <f t="shared" si="6"/>
        <v>-</v>
      </c>
      <c r="AB28" s="12" t="str">
        <f t="shared" si="6"/>
        <v>-</v>
      </c>
      <c r="AC28" s="12" t="str">
        <f t="shared" si="6"/>
        <v>-</v>
      </c>
      <c r="AD28" s="12" t="str">
        <f t="shared" si="6"/>
        <v>-</v>
      </c>
      <c r="AE28" s="12" t="str">
        <f t="shared" si="6"/>
        <v>-</v>
      </c>
      <c r="AF28" s="12" t="str">
        <f t="shared" si="6"/>
        <v>-</v>
      </c>
      <c r="AG28" s="12" t="str">
        <f t="shared" si="6"/>
        <v>-</v>
      </c>
      <c r="AJ28" s="144">
        <f t="shared" ref="AJ28:AJ37" ca="1" si="7">SUMPRODUCT(AU28:BN28,AU$96:BN$96)</f>
        <v>0</v>
      </c>
      <c r="AK28" s="12">
        <f ca="1">AJ28*AR28</f>
        <v>0</v>
      </c>
      <c r="AL28" s="12">
        <f ca="1">AJ28*AS28</f>
        <v>0</v>
      </c>
      <c r="AN28" s="28"/>
      <c r="AO28" s="42" t="s">
        <v>147</v>
      </c>
      <c r="AP28" s="193"/>
      <c r="AQ28" s="158" t="s">
        <v>60</v>
      </c>
      <c r="AR28" s="149">
        <v>0</v>
      </c>
      <c r="AS28" s="194">
        <v>0</v>
      </c>
      <c r="AT28" s="155" t="s">
        <v>384</v>
      </c>
      <c r="AU28" s="141"/>
      <c r="AV28" s="141"/>
      <c r="AW28" s="141"/>
      <c r="AX28" s="141"/>
      <c r="AY28" s="141"/>
      <c r="AZ28" s="141"/>
      <c r="BA28" s="141"/>
      <c r="BB28" s="141"/>
      <c r="BC28" s="141"/>
      <c r="BD28" s="141"/>
      <c r="BE28" s="141"/>
      <c r="BF28" s="141"/>
      <c r="BG28" s="141"/>
      <c r="BH28" s="141"/>
      <c r="BI28" s="141"/>
      <c r="BJ28" s="141"/>
      <c r="BK28" s="141"/>
      <c r="BL28" s="141"/>
      <c r="BM28" s="141"/>
      <c r="BN28" s="141"/>
      <c r="BO28" s="141"/>
      <c r="BP28" s="141"/>
      <c r="BQ28" s="141"/>
      <c r="BR28" s="141"/>
      <c r="BS28" s="141"/>
      <c r="BT28" s="141"/>
      <c r="BU28" s="141"/>
      <c r="BV28" s="141"/>
      <c r="BW28" s="141"/>
      <c r="BX28" s="141"/>
      <c r="BY28" s="141"/>
    </row>
    <row r="29" spans="1:77" ht="15.75" customHeight="1" x14ac:dyDescent="0.2">
      <c r="A29" s="3" t="s">
        <v>178</v>
      </c>
      <c r="C29" s="12">
        <f t="shared" si="3"/>
        <v>1</v>
      </c>
      <c r="D29" s="12" t="str">
        <f t="shared" si="4"/>
        <v>-</v>
      </c>
      <c r="E29" s="12" t="str">
        <f t="shared" si="4"/>
        <v>-</v>
      </c>
      <c r="F29" s="12" t="str">
        <f t="shared" si="4"/>
        <v>-</v>
      </c>
      <c r="G29" s="12" t="str">
        <f t="shared" si="4"/>
        <v>-</v>
      </c>
      <c r="H29" s="12" t="str">
        <f t="shared" si="4"/>
        <v>-</v>
      </c>
      <c r="I29" s="12" t="str">
        <f t="shared" si="4"/>
        <v>-</v>
      </c>
      <c r="J29" s="12" t="str">
        <f t="shared" si="4"/>
        <v>-</v>
      </c>
      <c r="K29" s="12" t="str">
        <f t="shared" si="4"/>
        <v>-</v>
      </c>
      <c r="L29" s="12" t="str">
        <f t="shared" si="4"/>
        <v>-</v>
      </c>
      <c r="M29" s="12" t="str">
        <f t="shared" si="4"/>
        <v>-</v>
      </c>
      <c r="N29" s="12" t="str">
        <f t="shared" si="5"/>
        <v>-</v>
      </c>
      <c r="O29" s="12" t="str">
        <f t="shared" si="5"/>
        <v>-</v>
      </c>
      <c r="P29" s="12" t="str">
        <f t="shared" si="5"/>
        <v>-</v>
      </c>
      <c r="Q29" s="12" t="str">
        <f t="shared" si="5"/>
        <v>-</v>
      </c>
      <c r="R29" s="12" t="str">
        <f t="shared" si="5"/>
        <v>-</v>
      </c>
      <c r="S29" s="12" t="str">
        <f t="shared" si="5"/>
        <v>-</v>
      </c>
      <c r="T29" s="12" t="str">
        <f t="shared" si="5"/>
        <v>-</v>
      </c>
      <c r="U29" s="12" t="str">
        <f t="shared" si="5"/>
        <v>-</v>
      </c>
      <c r="V29" s="12" t="str">
        <f t="shared" si="5"/>
        <v>-</v>
      </c>
      <c r="W29" s="12" t="str">
        <f t="shared" si="5"/>
        <v>-</v>
      </c>
      <c r="X29" s="12" t="str">
        <f t="shared" si="6"/>
        <v>-</v>
      </c>
      <c r="Y29" s="12" t="str">
        <f t="shared" si="6"/>
        <v>-</v>
      </c>
      <c r="Z29" s="12" t="str">
        <f t="shared" si="6"/>
        <v>-</v>
      </c>
      <c r="AA29" s="12" t="str">
        <f t="shared" si="6"/>
        <v>-</v>
      </c>
      <c r="AB29" s="12" t="str">
        <f t="shared" si="6"/>
        <v>-</v>
      </c>
      <c r="AC29" s="12" t="str">
        <f t="shared" si="6"/>
        <v>-</v>
      </c>
      <c r="AD29" s="12" t="str">
        <f t="shared" si="6"/>
        <v>-</v>
      </c>
      <c r="AE29" s="12" t="str">
        <f t="shared" si="6"/>
        <v>-</v>
      </c>
      <c r="AF29" s="12" t="str">
        <f t="shared" si="6"/>
        <v>-</v>
      </c>
      <c r="AG29" s="12" t="str">
        <f t="shared" si="6"/>
        <v>-</v>
      </c>
      <c r="AJ29" s="144">
        <f t="shared" ca="1" si="7"/>
        <v>0</v>
      </c>
      <c r="AK29" s="12">
        <f t="shared" ref="AK29:AK33" ca="1" si="8">AJ29*AR29</f>
        <v>0</v>
      </c>
      <c r="AL29" s="12">
        <f t="shared" ref="AL29:AL33" ca="1" si="9">AJ29*AS29</f>
        <v>0</v>
      </c>
      <c r="AN29" s="28"/>
      <c r="AO29" s="42" t="s">
        <v>148</v>
      </c>
      <c r="AP29" s="156"/>
      <c r="AQ29" s="158" t="s">
        <v>60</v>
      </c>
      <c r="AR29" s="149">
        <v>0</v>
      </c>
      <c r="AS29" s="149">
        <v>0</v>
      </c>
      <c r="AT29" s="155" t="s">
        <v>384</v>
      </c>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row>
    <row r="30" spans="1:77" ht="15.75" customHeight="1" x14ac:dyDescent="0.2">
      <c r="A30" s="3" t="s">
        <v>179</v>
      </c>
      <c r="C30" s="12">
        <f t="shared" si="3"/>
        <v>1</v>
      </c>
      <c r="D30" s="12" t="str">
        <f t="shared" si="4"/>
        <v>-</v>
      </c>
      <c r="E30" s="12" t="str">
        <f t="shared" si="4"/>
        <v>-</v>
      </c>
      <c r="F30" s="12" t="str">
        <f t="shared" si="4"/>
        <v>-</v>
      </c>
      <c r="G30" s="12" t="str">
        <f t="shared" si="4"/>
        <v>-</v>
      </c>
      <c r="H30" s="12" t="str">
        <f t="shared" si="4"/>
        <v>-</v>
      </c>
      <c r="I30" s="12" t="str">
        <f t="shared" si="4"/>
        <v>-</v>
      </c>
      <c r="J30" s="12" t="str">
        <f t="shared" si="4"/>
        <v>-</v>
      </c>
      <c r="K30" s="12" t="str">
        <f t="shared" si="4"/>
        <v>-</v>
      </c>
      <c r="L30" s="12" t="str">
        <f t="shared" si="4"/>
        <v>-</v>
      </c>
      <c r="M30" s="12" t="str">
        <f t="shared" si="4"/>
        <v>-</v>
      </c>
      <c r="N30" s="12" t="str">
        <f t="shared" si="5"/>
        <v>-</v>
      </c>
      <c r="O30" s="12" t="str">
        <f t="shared" si="5"/>
        <v>-</v>
      </c>
      <c r="P30" s="12" t="str">
        <f t="shared" si="5"/>
        <v>-</v>
      </c>
      <c r="Q30" s="12" t="str">
        <f t="shared" si="5"/>
        <v>-</v>
      </c>
      <c r="R30" s="12" t="str">
        <f t="shared" si="5"/>
        <v>-</v>
      </c>
      <c r="S30" s="12" t="str">
        <f t="shared" si="5"/>
        <v>-</v>
      </c>
      <c r="T30" s="12" t="str">
        <f t="shared" si="5"/>
        <v>-</v>
      </c>
      <c r="U30" s="12" t="str">
        <f t="shared" si="5"/>
        <v>-</v>
      </c>
      <c r="V30" s="12" t="str">
        <f t="shared" si="5"/>
        <v>-</v>
      </c>
      <c r="W30" s="12" t="str">
        <f t="shared" si="5"/>
        <v>-</v>
      </c>
      <c r="X30" s="12" t="str">
        <f t="shared" si="6"/>
        <v>-</v>
      </c>
      <c r="Y30" s="12" t="str">
        <f t="shared" si="6"/>
        <v>-</v>
      </c>
      <c r="Z30" s="12" t="str">
        <f t="shared" si="6"/>
        <v>-</v>
      </c>
      <c r="AA30" s="12" t="str">
        <f t="shared" si="6"/>
        <v>-</v>
      </c>
      <c r="AB30" s="12" t="str">
        <f t="shared" si="6"/>
        <v>-</v>
      </c>
      <c r="AC30" s="12" t="str">
        <f t="shared" si="6"/>
        <v>-</v>
      </c>
      <c r="AD30" s="12" t="str">
        <f t="shared" si="6"/>
        <v>-</v>
      </c>
      <c r="AE30" s="12" t="str">
        <f t="shared" si="6"/>
        <v>-</v>
      </c>
      <c r="AF30" s="12" t="str">
        <f t="shared" si="6"/>
        <v>-</v>
      </c>
      <c r="AG30" s="12" t="str">
        <f t="shared" si="6"/>
        <v>-</v>
      </c>
      <c r="AJ30" s="144">
        <f t="shared" ca="1" si="7"/>
        <v>0</v>
      </c>
      <c r="AK30" s="12">
        <f t="shared" ca="1" si="8"/>
        <v>0</v>
      </c>
      <c r="AL30" s="12">
        <f t="shared" ca="1" si="9"/>
        <v>0</v>
      </c>
      <c r="AN30" s="28"/>
      <c r="AO30" s="42" t="s">
        <v>149</v>
      </c>
      <c r="AP30" s="156"/>
      <c r="AQ30" s="158" t="s">
        <v>60</v>
      </c>
      <c r="AR30" s="149">
        <v>0</v>
      </c>
      <c r="AS30" s="149">
        <v>0</v>
      </c>
      <c r="AT30" s="155" t="s">
        <v>384</v>
      </c>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row>
    <row r="31" spans="1:77" ht="15.75" customHeight="1" x14ac:dyDescent="0.2">
      <c r="A31" s="3" t="s">
        <v>180</v>
      </c>
      <c r="C31" s="12">
        <f t="shared" si="3"/>
        <v>1</v>
      </c>
      <c r="D31" s="12" t="str">
        <f t="shared" si="4"/>
        <v>-</v>
      </c>
      <c r="E31" s="12" t="str">
        <f t="shared" si="4"/>
        <v>-</v>
      </c>
      <c r="F31" s="12" t="str">
        <f t="shared" si="4"/>
        <v>-</v>
      </c>
      <c r="G31" s="12" t="str">
        <f t="shared" si="4"/>
        <v>-</v>
      </c>
      <c r="H31" s="12" t="str">
        <f t="shared" si="4"/>
        <v>-</v>
      </c>
      <c r="I31" s="12" t="str">
        <f t="shared" si="4"/>
        <v>-</v>
      </c>
      <c r="J31" s="12" t="str">
        <f t="shared" si="4"/>
        <v>-</v>
      </c>
      <c r="K31" s="12" t="str">
        <f t="shared" si="4"/>
        <v>-</v>
      </c>
      <c r="L31" s="12" t="str">
        <f t="shared" si="4"/>
        <v>-</v>
      </c>
      <c r="M31" s="12" t="str">
        <f t="shared" si="4"/>
        <v>-</v>
      </c>
      <c r="N31" s="12" t="str">
        <f t="shared" si="5"/>
        <v>-</v>
      </c>
      <c r="O31" s="12" t="str">
        <f t="shared" si="5"/>
        <v>-</v>
      </c>
      <c r="P31" s="12" t="str">
        <f t="shared" si="5"/>
        <v>-</v>
      </c>
      <c r="Q31" s="12" t="str">
        <f t="shared" si="5"/>
        <v>-</v>
      </c>
      <c r="R31" s="12" t="str">
        <f t="shared" si="5"/>
        <v>-</v>
      </c>
      <c r="S31" s="12" t="str">
        <f t="shared" si="5"/>
        <v>-</v>
      </c>
      <c r="T31" s="12" t="str">
        <f t="shared" si="5"/>
        <v>-</v>
      </c>
      <c r="U31" s="12" t="str">
        <f t="shared" si="5"/>
        <v>-</v>
      </c>
      <c r="V31" s="12" t="str">
        <f t="shared" si="5"/>
        <v>-</v>
      </c>
      <c r="W31" s="12" t="str">
        <f t="shared" si="5"/>
        <v>-</v>
      </c>
      <c r="X31" s="12" t="str">
        <f t="shared" si="6"/>
        <v>-</v>
      </c>
      <c r="Y31" s="12" t="str">
        <f t="shared" si="6"/>
        <v>-</v>
      </c>
      <c r="Z31" s="12" t="str">
        <f t="shared" si="6"/>
        <v>-</v>
      </c>
      <c r="AA31" s="12" t="str">
        <f t="shared" si="6"/>
        <v>-</v>
      </c>
      <c r="AB31" s="12" t="str">
        <f t="shared" si="6"/>
        <v>-</v>
      </c>
      <c r="AC31" s="12" t="str">
        <f t="shared" si="6"/>
        <v>-</v>
      </c>
      <c r="AD31" s="12" t="str">
        <f t="shared" si="6"/>
        <v>-</v>
      </c>
      <c r="AE31" s="12" t="str">
        <f t="shared" si="6"/>
        <v>-</v>
      </c>
      <c r="AF31" s="12" t="str">
        <f t="shared" si="6"/>
        <v>-</v>
      </c>
      <c r="AG31" s="12" t="str">
        <f t="shared" si="6"/>
        <v>-</v>
      </c>
      <c r="AJ31" s="144">
        <f t="shared" ca="1" si="7"/>
        <v>0</v>
      </c>
      <c r="AK31" s="12">
        <f t="shared" ca="1" si="8"/>
        <v>0</v>
      </c>
      <c r="AL31" s="12">
        <f t="shared" ca="1" si="9"/>
        <v>0</v>
      </c>
      <c r="AN31" s="28"/>
      <c r="AO31" s="42" t="s">
        <v>150</v>
      </c>
      <c r="AP31" s="156"/>
      <c r="AQ31" s="158" t="s">
        <v>60</v>
      </c>
      <c r="AR31" s="149">
        <v>0</v>
      </c>
      <c r="AS31" s="149">
        <v>0</v>
      </c>
      <c r="AT31" s="155" t="s">
        <v>384</v>
      </c>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1"/>
      <c r="BU31" s="141"/>
      <c r="BV31" s="141"/>
      <c r="BW31" s="141"/>
      <c r="BX31" s="141"/>
      <c r="BY31" s="141"/>
    </row>
    <row r="32" spans="1:77" ht="15.75" customHeight="1" x14ac:dyDescent="0.2">
      <c r="A32" s="3" t="s">
        <v>233</v>
      </c>
      <c r="C32" s="12">
        <f t="shared" si="3"/>
        <v>1</v>
      </c>
      <c r="D32" s="12" t="str">
        <f t="shared" si="4"/>
        <v>-</v>
      </c>
      <c r="E32" s="12" t="str">
        <f t="shared" si="4"/>
        <v>-</v>
      </c>
      <c r="F32" s="12" t="str">
        <f t="shared" si="4"/>
        <v>-</v>
      </c>
      <c r="G32" s="12" t="str">
        <f t="shared" si="4"/>
        <v>-</v>
      </c>
      <c r="H32" s="12" t="str">
        <f t="shared" si="4"/>
        <v>-</v>
      </c>
      <c r="I32" s="12" t="str">
        <f t="shared" si="4"/>
        <v>-</v>
      </c>
      <c r="J32" s="12" t="str">
        <f t="shared" si="4"/>
        <v>-</v>
      </c>
      <c r="K32" s="12" t="str">
        <f t="shared" si="4"/>
        <v>-</v>
      </c>
      <c r="L32" s="12" t="str">
        <f t="shared" si="4"/>
        <v>-</v>
      </c>
      <c r="M32" s="12" t="str">
        <f t="shared" si="4"/>
        <v>-</v>
      </c>
      <c r="N32" s="12" t="str">
        <f t="shared" si="5"/>
        <v>-</v>
      </c>
      <c r="O32" s="12" t="str">
        <f t="shared" si="5"/>
        <v>-</v>
      </c>
      <c r="P32" s="12" t="str">
        <f t="shared" si="5"/>
        <v>-</v>
      </c>
      <c r="Q32" s="12" t="str">
        <f t="shared" si="5"/>
        <v>-</v>
      </c>
      <c r="R32" s="12" t="str">
        <f t="shared" si="5"/>
        <v>-</v>
      </c>
      <c r="S32" s="12" t="str">
        <f t="shared" si="5"/>
        <v>-</v>
      </c>
      <c r="T32" s="12" t="str">
        <f t="shared" si="5"/>
        <v>-</v>
      </c>
      <c r="U32" s="12" t="str">
        <f t="shared" si="5"/>
        <v>-</v>
      </c>
      <c r="V32" s="12" t="str">
        <f t="shared" si="5"/>
        <v>-</v>
      </c>
      <c r="W32" s="12" t="str">
        <f t="shared" si="5"/>
        <v>-</v>
      </c>
      <c r="X32" s="12" t="str">
        <f t="shared" si="6"/>
        <v>-</v>
      </c>
      <c r="Y32" s="12" t="str">
        <f t="shared" si="6"/>
        <v>-</v>
      </c>
      <c r="Z32" s="12" t="str">
        <f t="shared" si="6"/>
        <v>-</v>
      </c>
      <c r="AA32" s="12" t="str">
        <f t="shared" si="6"/>
        <v>-</v>
      </c>
      <c r="AB32" s="12" t="str">
        <f t="shared" si="6"/>
        <v>-</v>
      </c>
      <c r="AC32" s="12" t="str">
        <f t="shared" si="6"/>
        <v>-</v>
      </c>
      <c r="AD32" s="12" t="str">
        <f t="shared" si="6"/>
        <v>-</v>
      </c>
      <c r="AE32" s="12" t="str">
        <f t="shared" si="6"/>
        <v>-</v>
      </c>
      <c r="AF32" s="12" t="str">
        <f t="shared" si="6"/>
        <v>-</v>
      </c>
      <c r="AG32" s="12" t="str">
        <f t="shared" si="6"/>
        <v>-</v>
      </c>
      <c r="AJ32" s="144">
        <f t="shared" ca="1" si="7"/>
        <v>0</v>
      </c>
      <c r="AK32" s="12">
        <f t="shared" ca="1" si="8"/>
        <v>0</v>
      </c>
      <c r="AL32" s="12">
        <f t="shared" ca="1" si="9"/>
        <v>0</v>
      </c>
      <c r="AN32" s="28"/>
      <c r="AO32" s="42" t="s">
        <v>151</v>
      </c>
      <c r="AP32" s="156"/>
      <c r="AQ32" s="158" t="s">
        <v>60</v>
      </c>
      <c r="AR32" s="149">
        <v>0</v>
      </c>
      <c r="AS32" s="149">
        <v>0</v>
      </c>
      <c r="AT32" s="155" t="s">
        <v>384</v>
      </c>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1"/>
      <c r="BT32" s="141"/>
      <c r="BU32" s="141"/>
      <c r="BV32" s="141"/>
      <c r="BW32" s="141"/>
      <c r="BX32" s="141"/>
      <c r="BY32" s="141"/>
    </row>
    <row r="33" spans="1:77" ht="15.75" customHeight="1" x14ac:dyDescent="0.2">
      <c r="A33" s="3" t="s">
        <v>442</v>
      </c>
      <c r="C33" s="12">
        <f t="shared" si="3"/>
        <v>1</v>
      </c>
      <c r="D33" s="12" t="str">
        <f t="shared" si="4"/>
        <v>-</v>
      </c>
      <c r="E33" s="12" t="str">
        <f t="shared" si="4"/>
        <v>-</v>
      </c>
      <c r="F33" s="12" t="str">
        <f t="shared" si="4"/>
        <v>-</v>
      </c>
      <c r="G33" s="12" t="str">
        <f t="shared" si="4"/>
        <v>-</v>
      </c>
      <c r="H33" s="12" t="str">
        <f t="shared" si="4"/>
        <v>-</v>
      </c>
      <c r="I33" s="12" t="str">
        <f t="shared" si="4"/>
        <v>-</v>
      </c>
      <c r="J33" s="12" t="str">
        <f t="shared" si="4"/>
        <v>-</v>
      </c>
      <c r="K33" s="12" t="str">
        <f t="shared" si="4"/>
        <v>-</v>
      </c>
      <c r="L33" s="12" t="str">
        <f t="shared" si="4"/>
        <v>-</v>
      </c>
      <c r="M33" s="12" t="str">
        <f t="shared" si="4"/>
        <v>-</v>
      </c>
      <c r="N33" s="12" t="str">
        <f t="shared" si="5"/>
        <v>-</v>
      </c>
      <c r="O33" s="12" t="str">
        <f t="shared" si="5"/>
        <v>-</v>
      </c>
      <c r="P33" s="12" t="str">
        <f t="shared" si="5"/>
        <v>-</v>
      </c>
      <c r="Q33" s="12" t="str">
        <f t="shared" si="5"/>
        <v>-</v>
      </c>
      <c r="R33" s="12" t="str">
        <f t="shared" si="5"/>
        <v>-</v>
      </c>
      <c r="S33" s="12" t="str">
        <f t="shared" si="5"/>
        <v>-</v>
      </c>
      <c r="T33" s="12" t="str">
        <f t="shared" si="5"/>
        <v>-</v>
      </c>
      <c r="U33" s="12" t="str">
        <f t="shared" si="5"/>
        <v>-</v>
      </c>
      <c r="V33" s="12" t="str">
        <f t="shared" si="5"/>
        <v>-</v>
      </c>
      <c r="W33" s="12" t="str">
        <f t="shared" si="5"/>
        <v>-</v>
      </c>
      <c r="X33" s="12" t="str">
        <f t="shared" si="6"/>
        <v>-</v>
      </c>
      <c r="Y33" s="12" t="str">
        <f t="shared" si="6"/>
        <v>-</v>
      </c>
      <c r="Z33" s="12" t="str">
        <f t="shared" si="6"/>
        <v>-</v>
      </c>
      <c r="AA33" s="12" t="str">
        <f t="shared" si="6"/>
        <v>-</v>
      </c>
      <c r="AB33" s="12" t="str">
        <f t="shared" si="6"/>
        <v>-</v>
      </c>
      <c r="AC33" s="12" t="str">
        <f t="shared" si="6"/>
        <v>-</v>
      </c>
      <c r="AD33" s="12" t="str">
        <f t="shared" si="6"/>
        <v>-</v>
      </c>
      <c r="AE33" s="12" t="str">
        <f t="shared" si="6"/>
        <v>-</v>
      </c>
      <c r="AF33" s="12" t="str">
        <f t="shared" si="6"/>
        <v>-</v>
      </c>
      <c r="AG33" s="12" t="str">
        <f t="shared" si="6"/>
        <v>-</v>
      </c>
      <c r="AJ33" s="144">
        <f t="shared" ca="1" si="7"/>
        <v>0</v>
      </c>
      <c r="AK33" s="12">
        <f t="shared" ca="1" si="8"/>
        <v>0</v>
      </c>
      <c r="AL33" s="12">
        <f t="shared" ca="1" si="9"/>
        <v>0</v>
      </c>
      <c r="AN33" s="28"/>
      <c r="AO33" s="42" t="s">
        <v>152</v>
      </c>
      <c r="AP33" s="156"/>
      <c r="AQ33" s="158" t="s">
        <v>60</v>
      </c>
      <c r="AR33" s="149">
        <v>0</v>
      </c>
      <c r="AS33" s="149">
        <v>0</v>
      </c>
      <c r="AT33" s="155" t="s">
        <v>384</v>
      </c>
      <c r="AU33" s="141"/>
      <c r="AV33" s="141"/>
      <c r="AW33" s="141"/>
      <c r="AX33" s="141"/>
      <c r="AY33" s="141"/>
      <c r="AZ33" s="141"/>
      <c r="BA33" s="141"/>
      <c r="BB33" s="141"/>
      <c r="BC33" s="141"/>
      <c r="BD33" s="141"/>
      <c r="BE33" s="141"/>
      <c r="BF33" s="141"/>
      <c r="BG33" s="141"/>
      <c r="BH33" s="141"/>
      <c r="BI33" s="141"/>
      <c r="BJ33" s="141"/>
      <c r="BK33" s="141"/>
      <c r="BL33" s="141"/>
      <c r="BM33" s="141"/>
      <c r="BN33" s="141"/>
      <c r="BO33" s="141"/>
      <c r="BP33" s="141"/>
      <c r="BQ33" s="141"/>
      <c r="BR33" s="141"/>
      <c r="BS33" s="141"/>
      <c r="BT33" s="141"/>
      <c r="BU33" s="141"/>
      <c r="BV33" s="141"/>
      <c r="BW33" s="141"/>
      <c r="BX33" s="141"/>
      <c r="BY33" s="141"/>
    </row>
    <row r="34" spans="1:77" ht="15.75" customHeight="1" x14ac:dyDescent="0.2">
      <c r="A34" s="3" t="s">
        <v>443</v>
      </c>
      <c r="C34" s="12">
        <f t="shared" si="3"/>
        <v>1</v>
      </c>
      <c r="D34" s="12" t="str">
        <f t="shared" si="4"/>
        <v>-</v>
      </c>
      <c r="E34" s="12" t="str">
        <f t="shared" si="4"/>
        <v>-</v>
      </c>
      <c r="F34" s="12" t="str">
        <f t="shared" si="4"/>
        <v>-</v>
      </c>
      <c r="G34" s="12" t="str">
        <f t="shared" si="4"/>
        <v>-</v>
      </c>
      <c r="H34" s="12" t="str">
        <f t="shared" si="4"/>
        <v>-</v>
      </c>
      <c r="I34" s="12" t="str">
        <f t="shared" si="4"/>
        <v>-</v>
      </c>
      <c r="J34" s="12" t="str">
        <f t="shared" si="4"/>
        <v>-</v>
      </c>
      <c r="K34" s="12" t="str">
        <f t="shared" si="4"/>
        <v>-</v>
      </c>
      <c r="L34" s="12" t="str">
        <f t="shared" si="4"/>
        <v>-</v>
      </c>
      <c r="M34" s="12" t="str">
        <f t="shared" si="4"/>
        <v>-</v>
      </c>
      <c r="N34" s="12" t="str">
        <f t="shared" si="5"/>
        <v>-</v>
      </c>
      <c r="O34" s="12" t="str">
        <f t="shared" si="5"/>
        <v>-</v>
      </c>
      <c r="P34" s="12" t="str">
        <f t="shared" si="5"/>
        <v>-</v>
      </c>
      <c r="Q34" s="12" t="str">
        <f t="shared" si="5"/>
        <v>-</v>
      </c>
      <c r="R34" s="12" t="str">
        <f t="shared" si="5"/>
        <v>-</v>
      </c>
      <c r="S34" s="12" t="str">
        <f t="shared" si="5"/>
        <v>-</v>
      </c>
      <c r="T34" s="12" t="str">
        <f t="shared" si="5"/>
        <v>-</v>
      </c>
      <c r="U34" s="12" t="str">
        <f t="shared" si="5"/>
        <v>-</v>
      </c>
      <c r="V34" s="12" t="str">
        <f t="shared" si="5"/>
        <v>-</v>
      </c>
      <c r="W34" s="12" t="str">
        <f t="shared" si="5"/>
        <v>-</v>
      </c>
      <c r="X34" s="12" t="str">
        <f t="shared" si="6"/>
        <v>-</v>
      </c>
      <c r="Y34" s="12" t="str">
        <f t="shared" si="6"/>
        <v>-</v>
      </c>
      <c r="Z34" s="12" t="str">
        <f t="shared" si="6"/>
        <v>-</v>
      </c>
      <c r="AA34" s="12" t="str">
        <f t="shared" si="6"/>
        <v>-</v>
      </c>
      <c r="AB34" s="12" t="str">
        <f t="shared" si="6"/>
        <v>-</v>
      </c>
      <c r="AC34" s="12" t="str">
        <f t="shared" si="6"/>
        <v>-</v>
      </c>
      <c r="AD34" s="12" t="str">
        <f t="shared" si="6"/>
        <v>-</v>
      </c>
      <c r="AE34" s="12" t="str">
        <f t="shared" si="6"/>
        <v>-</v>
      </c>
      <c r="AF34" s="12" t="str">
        <f t="shared" si="6"/>
        <v>-</v>
      </c>
      <c r="AG34" s="12" t="str">
        <f t="shared" si="6"/>
        <v>-</v>
      </c>
      <c r="AJ34" s="144">
        <f t="shared" ca="1" si="7"/>
        <v>0</v>
      </c>
      <c r="AK34" s="12">
        <f t="shared" ref="AK34:AK37" ca="1" si="10">AJ34*AR34</f>
        <v>0</v>
      </c>
      <c r="AL34" s="12">
        <f ca="1">AJ34*AS34</f>
        <v>0</v>
      </c>
      <c r="AN34" s="28"/>
      <c r="AO34" s="42" t="s">
        <v>153</v>
      </c>
      <c r="AP34" s="156"/>
      <c r="AQ34" s="158" t="s">
        <v>60</v>
      </c>
      <c r="AR34" s="149">
        <v>0</v>
      </c>
      <c r="AS34" s="149">
        <v>0</v>
      </c>
      <c r="AT34" s="155" t="s">
        <v>384</v>
      </c>
      <c r="AU34" s="141"/>
      <c r="AV34" s="141"/>
      <c r="AW34" s="141"/>
      <c r="AX34" s="141"/>
      <c r="AY34" s="141"/>
      <c r="AZ34" s="141"/>
      <c r="BA34" s="141"/>
      <c r="BB34" s="141"/>
      <c r="BC34" s="141"/>
      <c r="BD34" s="141"/>
      <c r="BE34" s="141"/>
      <c r="BF34" s="141"/>
      <c r="BG34" s="141"/>
      <c r="BH34" s="141"/>
      <c r="BI34" s="141"/>
      <c r="BJ34" s="141"/>
      <c r="BK34" s="141"/>
      <c r="BL34" s="141"/>
      <c r="BM34" s="141"/>
      <c r="BN34" s="141"/>
      <c r="BO34" s="141"/>
      <c r="BP34" s="141"/>
      <c r="BQ34" s="141"/>
      <c r="BR34" s="141"/>
      <c r="BS34" s="141"/>
      <c r="BT34" s="141"/>
      <c r="BU34" s="141"/>
      <c r="BV34" s="141"/>
      <c r="BW34" s="141"/>
      <c r="BX34" s="141"/>
      <c r="BY34" s="141"/>
    </row>
    <row r="35" spans="1:77" ht="15.75" customHeight="1" x14ac:dyDescent="0.2">
      <c r="A35" s="3" t="s">
        <v>444</v>
      </c>
      <c r="C35" s="12">
        <f t="shared" si="3"/>
        <v>1</v>
      </c>
      <c r="D35" s="12" t="str">
        <f t="shared" ref="D35:M37" si="11">IF(AU35="","-",AU35*$AR35*AU$96)</f>
        <v>-</v>
      </c>
      <c r="E35" s="12" t="str">
        <f t="shared" si="11"/>
        <v>-</v>
      </c>
      <c r="F35" s="12" t="str">
        <f t="shared" si="11"/>
        <v>-</v>
      </c>
      <c r="G35" s="12" t="str">
        <f t="shared" si="11"/>
        <v>-</v>
      </c>
      <c r="H35" s="12" t="str">
        <f t="shared" si="11"/>
        <v>-</v>
      </c>
      <c r="I35" s="12" t="str">
        <f t="shared" si="11"/>
        <v>-</v>
      </c>
      <c r="J35" s="12" t="str">
        <f t="shared" si="11"/>
        <v>-</v>
      </c>
      <c r="K35" s="12" t="str">
        <f t="shared" si="11"/>
        <v>-</v>
      </c>
      <c r="L35" s="12" t="str">
        <f t="shared" si="11"/>
        <v>-</v>
      </c>
      <c r="M35" s="12" t="str">
        <f t="shared" si="11"/>
        <v>-</v>
      </c>
      <c r="N35" s="12" t="str">
        <f t="shared" ref="N35:W37" si="12">IF(BE35="","-",BE35*$AR35*BE$96)</f>
        <v>-</v>
      </c>
      <c r="O35" s="12" t="str">
        <f t="shared" si="12"/>
        <v>-</v>
      </c>
      <c r="P35" s="12" t="str">
        <f t="shared" si="12"/>
        <v>-</v>
      </c>
      <c r="Q35" s="12" t="str">
        <f t="shared" si="12"/>
        <v>-</v>
      </c>
      <c r="R35" s="12" t="str">
        <f t="shared" si="12"/>
        <v>-</v>
      </c>
      <c r="S35" s="12" t="str">
        <f t="shared" si="12"/>
        <v>-</v>
      </c>
      <c r="T35" s="12" t="str">
        <f t="shared" si="12"/>
        <v>-</v>
      </c>
      <c r="U35" s="12" t="str">
        <f t="shared" si="12"/>
        <v>-</v>
      </c>
      <c r="V35" s="12" t="str">
        <f t="shared" si="12"/>
        <v>-</v>
      </c>
      <c r="W35" s="12" t="str">
        <f t="shared" si="12"/>
        <v>-</v>
      </c>
      <c r="X35" s="12" t="str">
        <f t="shared" ref="X35:AF37" si="13">IF(BO35="","-",BO35*$AR35*BO$96)</f>
        <v>-</v>
      </c>
      <c r="Y35" s="12" t="str">
        <f t="shared" si="13"/>
        <v>-</v>
      </c>
      <c r="Z35" s="12" t="str">
        <f t="shared" si="13"/>
        <v>-</v>
      </c>
      <c r="AA35" s="12" t="str">
        <f t="shared" si="13"/>
        <v>-</v>
      </c>
      <c r="AB35" s="12" t="str">
        <f t="shared" si="13"/>
        <v>-</v>
      </c>
      <c r="AC35" s="12" t="str">
        <f t="shared" si="13"/>
        <v>-</v>
      </c>
      <c r="AD35" s="12" t="str">
        <f t="shared" si="13"/>
        <v>-</v>
      </c>
      <c r="AE35" s="12" t="str">
        <f t="shared" si="13"/>
        <v>-</v>
      </c>
      <c r="AF35" s="12" t="str">
        <f t="shared" si="13"/>
        <v>-</v>
      </c>
      <c r="AG35" s="12" t="str">
        <f>IF(BD35="","-",BD35*$AR35*BD$96)</f>
        <v>-</v>
      </c>
      <c r="AJ35" s="144">
        <f t="shared" ca="1" si="7"/>
        <v>0</v>
      </c>
      <c r="AK35" s="12">
        <f t="shared" ca="1" si="10"/>
        <v>0</v>
      </c>
      <c r="AL35" s="12">
        <f ca="1">AJ35*AS35</f>
        <v>0</v>
      </c>
      <c r="AN35" s="28"/>
      <c r="AO35" s="42" t="s">
        <v>154</v>
      </c>
      <c r="AP35" s="156"/>
      <c r="AQ35" s="158" t="s">
        <v>60</v>
      </c>
      <c r="AR35" s="149">
        <v>0</v>
      </c>
      <c r="AS35" s="149">
        <v>0</v>
      </c>
      <c r="AT35" s="155" t="s">
        <v>384</v>
      </c>
      <c r="AU35" s="141"/>
      <c r="AV35" s="141"/>
      <c r="AW35" s="141"/>
      <c r="AX35" s="141"/>
      <c r="AY35" s="141"/>
      <c r="AZ35" s="141"/>
      <c r="BA35" s="141"/>
      <c r="BB35" s="141"/>
      <c r="BC35" s="141"/>
      <c r="BD35" s="141"/>
      <c r="BE35" s="141"/>
      <c r="BF35" s="141"/>
      <c r="BG35" s="141"/>
      <c r="BH35" s="141"/>
      <c r="BI35" s="141"/>
      <c r="BJ35" s="141"/>
      <c r="BK35" s="141"/>
      <c r="BL35" s="141"/>
      <c r="BM35" s="141"/>
      <c r="BN35" s="141"/>
      <c r="BO35" s="141"/>
      <c r="BP35" s="141"/>
      <c r="BQ35" s="141"/>
      <c r="BR35" s="141"/>
      <c r="BS35" s="141"/>
      <c r="BT35" s="141"/>
      <c r="BU35" s="141"/>
      <c r="BV35" s="141"/>
      <c r="BW35" s="141"/>
      <c r="BX35" s="141"/>
      <c r="BY35" s="141"/>
    </row>
    <row r="36" spans="1:77" ht="15.75" customHeight="1" x14ac:dyDescent="0.2">
      <c r="A36" s="3" t="s">
        <v>445</v>
      </c>
      <c r="C36" s="12">
        <f t="shared" si="3"/>
        <v>1</v>
      </c>
      <c r="D36" s="12" t="str">
        <f t="shared" si="11"/>
        <v>-</v>
      </c>
      <c r="E36" s="12" t="str">
        <f t="shared" si="11"/>
        <v>-</v>
      </c>
      <c r="F36" s="12" t="str">
        <f t="shared" si="11"/>
        <v>-</v>
      </c>
      <c r="G36" s="12" t="str">
        <f t="shared" si="11"/>
        <v>-</v>
      </c>
      <c r="H36" s="12" t="str">
        <f t="shared" si="11"/>
        <v>-</v>
      </c>
      <c r="I36" s="12" t="str">
        <f t="shared" si="11"/>
        <v>-</v>
      </c>
      <c r="J36" s="12" t="str">
        <f t="shared" si="11"/>
        <v>-</v>
      </c>
      <c r="K36" s="12" t="str">
        <f t="shared" si="11"/>
        <v>-</v>
      </c>
      <c r="L36" s="12" t="str">
        <f t="shared" si="11"/>
        <v>-</v>
      </c>
      <c r="M36" s="12" t="str">
        <f t="shared" si="11"/>
        <v>-</v>
      </c>
      <c r="N36" s="12" t="str">
        <f t="shared" si="12"/>
        <v>-</v>
      </c>
      <c r="O36" s="12" t="str">
        <f t="shared" si="12"/>
        <v>-</v>
      </c>
      <c r="P36" s="12" t="str">
        <f t="shared" si="12"/>
        <v>-</v>
      </c>
      <c r="Q36" s="12" t="str">
        <f t="shared" si="12"/>
        <v>-</v>
      </c>
      <c r="R36" s="12" t="str">
        <f t="shared" si="12"/>
        <v>-</v>
      </c>
      <c r="S36" s="12" t="str">
        <f t="shared" si="12"/>
        <v>-</v>
      </c>
      <c r="T36" s="12" t="str">
        <f t="shared" si="12"/>
        <v>-</v>
      </c>
      <c r="U36" s="12" t="str">
        <f t="shared" si="12"/>
        <v>-</v>
      </c>
      <c r="V36" s="12" t="str">
        <f t="shared" si="12"/>
        <v>-</v>
      </c>
      <c r="W36" s="12" t="str">
        <f t="shared" si="12"/>
        <v>-</v>
      </c>
      <c r="X36" s="12" t="str">
        <f t="shared" si="13"/>
        <v>-</v>
      </c>
      <c r="Y36" s="12" t="str">
        <f t="shared" si="13"/>
        <v>-</v>
      </c>
      <c r="Z36" s="12" t="str">
        <f t="shared" si="13"/>
        <v>-</v>
      </c>
      <c r="AA36" s="12" t="str">
        <f t="shared" si="13"/>
        <v>-</v>
      </c>
      <c r="AB36" s="12" t="str">
        <f t="shared" si="13"/>
        <v>-</v>
      </c>
      <c r="AC36" s="12" t="str">
        <f t="shared" si="13"/>
        <v>-</v>
      </c>
      <c r="AD36" s="12" t="str">
        <f t="shared" si="13"/>
        <v>-</v>
      </c>
      <c r="AE36" s="12" t="str">
        <f t="shared" si="13"/>
        <v>-</v>
      </c>
      <c r="AF36" s="12" t="str">
        <f t="shared" si="13"/>
        <v>-</v>
      </c>
      <c r="AG36" s="12" t="str">
        <f>IF(BD36="","-",BD36*$AR36*BD$96)</f>
        <v>-</v>
      </c>
      <c r="AJ36" s="144">
        <f t="shared" ca="1" si="7"/>
        <v>0</v>
      </c>
      <c r="AK36" s="12">
        <f t="shared" ca="1" si="10"/>
        <v>0</v>
      </c>
      <c r="AL36" s="12">
        <f ca="1">AJ36*AS36</f>
        <v>0</v>
      </c>
      <c r="AN36" s="28"/>
      <c r="AO36" s="42" t="s">
        <v>155</v>
      </c>
      <c r="AP36" s="156"/>
      <c r="AQ36" s="158" t="s">
        <v>60</v>
      </c>
      <c r="AR36" s="149">
        <v>0</v>
      </c>
      <c r="AS36" s="149">
        <v>0</v>
      </c>
      <c r="AT36" s="155" t="s">
        <v>384</v>
      </c>
      <c r="AU36" s="141"/>
      <c r="AV36" s="141"/>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1"/>
      <c r="BW36" s="141"/>
      <c r="BX36" s="141"/>
      <c r="BY36" s="141"/>
    </row>
    <row r="37" spans="1:77" ht="15.75" customHeight="1" x14ac:dyDescent="0.2">
      <c r="A37" s="3" t="s">
        <v>446</v>
      </c>
      <c r="C37" s="12">
        <f t="shared" si="3"/>
        <v>1</v>
      </c>
      <c r="D37" s="12" t="str">
        <f t="shared" si="11"/>
        <v>-</v>
      </c>
      <c r="E37" s="12" t="str">
        <f t="shared" si="11"/>
        <v>-</v>
      </c>
      <c r="F37" s="12" t="str">
        <f t="shared" si="11"/>
        <v>-</v>
      </c>
      <c r="G37" s="12" t="str">
        <f t="shared" si="11"/>
        <v>-</v>
      </c>
      <c r="H37" s="12" t="str">
        <f t="shared" si="11"/>
        <v>-</v>
      </c>
      <c r="I37" s="12" t="str">
        <f t="shared" si="11"/>
        <v>-</v>
      </c>
      <c r="J37" s="12" t="str">
        <f t="shared" si="11"/>
        <v>-</v>
      </c>
      <c r="K37" s="12" t="str">
        <f t="shared" si="11"/>
        <v>-</v>
      </c>
      <c r="L37" s="12" t="str">
        <f t="shared" si="11"/>
        <v>-</v>
      </c>
      <c r="M37" s="12" t="str">
        <f t="shared" si="11"/>
        <v>-</v>
      </c>
      <c r="N37" s="12" t="str">
        <f t="shared" si="12"/>
        <v>-</v>
      </c>
      <c r="O37" s="12" t="str">
        <f t="shared" si="12"/>
        <v>-</v>
      </c>
      <c r="P37" s="12" t="str">
        <f t="shared" si="12"/>
        <v>-</v>
      </c>
      <c r="Q37" s="12" t="str">
        <f t="shared" si="12"/>
        <v>-</v>
      </c>
      <c r="R37" s="12" t="str">
        <f t="shared" si="12"/>
        <v>-</v>
      </c>
      <c r="S37" s="12" t="str">
        <f t="shared" si="12"/>
        <v>-</v>
      </c>
      <c r="T37" s="12" t="str">
        <f t="shared" si="12"/>
        <v>-</v>
      </c>
      <c r="U37" s="12" t="str">
        <f t="shared" si="12"/>
        <v>-</v>
      </c>
      <c r="V37" s="12" t="str">
        <f t="shared" si="12"/>
        <v>-</v>
      </c>
      <c r="W37" s="12" t="str">
        <f t="shared" si="12"/>
        <v>-</v>
      </c>
      <c r="X37" s="12" t="str">
        <f t="shared" si="13"/>
        <v>-</v>
      </c>
      <c r="Y37" s="12" t="str">
        <f t="shared" si="13"/>
        <v>-</v>
      </c>
      <c r="Z37" s="12" t="str">
        <f t="shared" si="13"/>
        <v>-</v>
      </c>
      <c r="AA37" s="12" t="str">
        <f t="shared" si="13"/>
        <v>-</v>
      </c>
      <c r="AB37" s="12" t="str">
        <f t="shared" si="13"/>
        <v>-</v>
      </c>
      <c r="AC37" s="12" t="str">
        <f t="shared" si="13"/>
        <v>-</v>
      </c>
      <c r="AD37" s="12" t="str">
        <f t="shared" si="13"/>
        <v>-</v>
      </c>
      <c r="AE37" s="12" t="str">
        <f t="shared" si="13"/>
        <v>-</v>
      </c>
      <c r="AF37" s="12" t="str">
        <f t="shared" si="13"/>
        <v>-</v>
      </c>
      <c r="AG37" s="12" t="str">
        <f>IF(BD37="","-",BD37*$AR37*BD$96)</f>
        <v>-</v>
      </c>
      <c r="AJ37" s="144">
        <f t="shared" ca="1" si="7"/>
        <v>0</v>
      </c>
      <c r="AK37" s="12">
        <f t="shared" ca="1" si="10"/>
        <v>0</v>
      </c>
      <c r="AL37" s="12">
        <f ca="1">AJ37*AS37</f>
        <v>0</v>
      </c>
      <c r="AN37" s="28"/>
      <c r="AO37" s="42" t="s">
        <v>156</v>
      </c>
      <c r="AP37" s="157"/>
      <c r="AQ37" s="158" t="s">
        <v>60</v>
      </c>
      <c r="AR37" s="149">
        <v>0</v>
      </c>
      <c r="AS37" s="149">
        <v>0</v>
      </c>
      <c r="AT37" s="155" t="s">
        <v>384</v>
      </c>
      <c r="AU37" s="141"/>
      <c r="AV37" s="141"/>
      <c r="AW37" s="141"/>
      <c r="AX37" s="141"/>
      <c r="AY37" s="141"/>
      <c r="AZ37" s="141"/>
      <c r="BA37" s="141"/>
      <c r="BB37" s="141"/>
      <c r="BC37" s="141"/>
      <c r="BD37" s="141"/>
      <c r="BE37" s="141"/>
      <c r="BF37" s="141"/>
      <c r="BG37" s="141"/>
      <c r="BH37" s="141"/>
      <c r="BI37" s="141"/>
      <c r="BJ37" s="141"/>
      <c r="BK37" s="141"/>
      <c r="BL37" s="141"/>
      <c r="BM37" s="141"/>
      <c r="BN37" s="141"/>
      <c r="BO37" s="141"/>
      <c r="BP37" s="141"/>
      <c r="BQ37" s="141"/>
      <c r="BR37" s="141"/>
      <c r="BS37" s="141"/>
      <c r="BT37" s="141"/>
      <c r="BU37" s="141"/>
      <c r="BV37" s="141"/>
      <c r="BW37" s="141"/>
      <c r="BX37" s="141"/>
      <c r="BY37" s="141"/>
    </row>
    <row r="38" spans="1:77" ht="18.75" customHeight="1" x14ac:dyDescent="0.2">
      <c r="A38" s="3" t="s">
        <v>182</v>
      </c>
      <c r="AN38" s="28"/>
      <c r="AO38" s="136" t="str">
        <f>INDEX(g_lang_val,MATCH("so_2_1_3",g_lang_key,0))</f>
        <v>Gennemførelsesfase</v>
      </c>
      <c r="AP38" s="55"/>
      <c r="AQ38" s="55"/>
      <c r="AR38" s="77"/>
      <c r="AS38" s="77"/>
      <c r="AT38" s="71"/>
      <c r="AU38" s="150">
        <f t="shared" ref="AU38:BY38" ca="1" si="14">IF(AU$22="","",SUMIF($A:$A,$A38&amp;"_*",AU:AU))</f>
        <v>0</v>
      </c>
      <c r="AV38" s="150">
        <f t="shared" ca="1" si="14"/>
        <v>0</v>
      </c>
      <c r="AW38" s="150">
        <f t="shared" ca="1" si="14"/>
        <v>0</v>
      </c>
      <c r="AX38" s="150">
        <f t="shared" ca="1" si="14"/>
        <v>0</v>
      </c>
      <c r="AY38" s="150" t="str">
        <f t="shared" ca="1" si="14"/>
        <v/>
      </c>
      <c r="AZ38" s="150" t="str">
        <f t="shared" ca="1" si="14"/>
        <v/>
      </c>
      <c r="BA38" s="150" t="str">
        <f t="shared" ca="1" si="14"/>
        <v/>
      </c>
      <c r="BB38" s="150" t="str">
        <f t="shared" ca="1" si="14"/>
        <v/>
      </c>
      <c r="BC38" s="150" t="str">
        <f t="shared" ca="1" si="14"/>
        <v/>
      </c>
      <c r="BD38" s="150" t="str">
        <f t="shared" ca="1" si="14"/>
        <v/>
      </c>
      <c r="BE38" s="150" t="str">
        <f t="shared" ca="1" si="14"/>
        <v/>
      </c>
      <c r="BF38" s="150" t="str">
        <f t="shared" ca="1" si="14"/>
        <v/>
      </c>
      <c r="BG38" s="150" t="str">
        <f t="shared" ca="1" si="14"/>
        <v/>
      </c>
      <c r="BH38" s="150" t="str">
        <f t="shared" ca="1" si="14"/>
        <v/>
      </c>
      <c r="BI38" s="150" t="str">
        <f t="shared" ca="1" si="14"/>
        <v/>
      </c>
      <c r="BJ38" s="150" t="str">
        <f t="shared" ca="1" si="14"/>
        <v/>
      </c>
      <c r="BK38" s="150" t="str">
        <f t="shared" ca="1" si="14"/>
        <v/>
      </c>
      <c r="BL38" s="150" t="str">
        <f t="shared" ca="1" si="14"/>
        <v/>
      </c>
      <c r="BM38" s="150" t="str">
        <f t="shared" ca="1" si="14"/>
        <v/>
      </c>
      <c r="BN38" s="150" t="str">
        <f t="shared" ca="1" si="14"/>
        <v/>
      </c>
      <c r="BO38" s="150" t="str">
        <f t="shared" ca="1" si="14"/>
        <v/>
      </c>
      <c r="BP38" s="150" t="str">
        <f t="shared" ca="1" si="14"/>
        <v/>
      </c>
      <c r="BQ38" s="150" t="str">
        <f t="shared" ca="1" si="14"/>
        <v/>
      </c>
      <c r="BR38" s="150" t="str">
        <f t="shared" ca="1" si="14"/>
        <v/>
      </c>
      <c r="BS38" s="150" t="str">
        <f t="shared" ca="1" si="14"/>
        <v/>
      </c>
      <c r="BT38" s="150" t="str">
        <f t="shared" ca="1" si="14"/>
        <v/>
      </c>
      <c r="BU38" s="150" t="str">
        <f t="shared" ca="1" si="14"/>
        <v/>
      </c>
      <c r="BV38" s="150" t="str">
        <f t="shared" ca="1" si="14"/>
        <v/>
      </c>
      <c r="BW38" s="150" t="str">
        <f t="shared" ca="1" si="14"/>
        <v/>
      </c>
      <c r="BX38" s="150" t="str">
        <f t="shared" ca="1" si="14"/>
        <v/>
      </c>
      <c r="BY38" s="150" t="str">
        <f t="shared" ca="1" si="14"/>
        <v/>
      </c>
    </row>
    <row r="39" spans="1:77" ht="15.75" customHeight="1" x14ac:dyDescent="0.2">
      <c r="A39" s="3" t="s">
        <v>183</v>
      </c>
      <c r="C39" s="12">
        <f t="shared" ref="C39" si="15">IF(AQ39&lt;&gt;"",MATCH(AQ39,g_assets_sc_1,0),"")</f>
        <v>1</v>
      </c>
      <c r="D39" s="12" t="str">
        <f t="shared" ref="D39:AF39" si="16">IF(AU39="","-",AU39*$AR39*AU$96)</f>
        <v>-</v>
      </c>
      <c r="E39" s="12" t="str">
        <f t="shared" si="16"/>
        <v>-</v>
      </c>
      <c r="F39" s="12" t="str">
        <f t="shared" si="16"/>
        <v>-</v>
      </c>
      <c r="G39" s="12" t="str">
        <f t="shared" si="16"/>
        <v>-</v>
      </c>
      <c r="H39" s="12" t="str">
        <f t="shared" si="16"/>
        <v>-</v>
      </c>
      <c r="I39" s="12" t="str">
        <f t="shared" si="16"/>
        <v>-</v>
      </c>
      <c r="J39" s="12" t="str">
        <f t="shared" si="16"/>
        <v>-</v>
      </c>
      <c r="K39" s="12" t="str">
        <f t="shared" si="16"/>
        <v>-</v>
      </c>
      <c r="L39" s="12" t="str">
        <f t="shared" si="16"/>
        <v>-</v>
      </c>
      <c r="M39" s="12" t="str">
        <f t="shared" si="16"/>
        <v>-</v>
      </c>
      <c r="N39" s="12" t="str">
        <f t="shared" si="16"/>
        <v>-</v>
      </c>
      <c r="O39" s="12" t="str">
        <f t="shared" si="16"/>
        <v>-</v>
      </c>
      <c r="P39" s="12" t="str">
        <f t="shared" si="16"/>
        <v>-</v>
      </c>
      <c r="Q39" s="12" t="str">
        <f t="shared" si="16"/>
        <v>-</v>
      </c>
      <c r="R39" s="12" t="str">
        <f t="shared" si="16"/>
        <v>-</v>
      </c>
      <c r="S39" s="12" t="str">
        <f t="shared" si="16"/>
        <v>-</v>
      </c>
      <c r="T39" s="12" t="str">
        <f t="shared" si="16"/>
        <v>-</v>
      </c>
      <c r="U39" s="12" t="str">
        <f t="shared" si="16"/>
        <v>-</v>
      </c>
      <c r="V39" s="12" t="str">
        <f t="shared" si="16"/>
        <v>-</v>
      </c>
      <c r="W39" s="12" t="str">
        <f t="shared" si="16"/>
        <v>-</v>
      </c>
      <c r="X39" s="12" t="str">
        <f t="shared" si="16"/>
        <v>-</v>
      </c>
      <c r="Y39" s="12" t="str">
        <f t="shared" si="16"/>
        <v>-</v>
      </c>
      <c r="Z39" s="12" t="str">
        <f t="shared" si="16"/>
        <v>-</v>
      </c>
      <c r="AA39" s="12" t="str">
        <f t="shared" si="16"/>
        <v>-</v>
      </c>
      <c r="AB39" s="12" t="str">
        <f t="shared" si="16"/>
        <v>-</v>
      </c>
      <c r="AC39" s="12" t="str">
        <f t="shared" si="16"/>
        <v>-</v>
      </c>
      <c r="AD39" s="12" t="str">
        <f t="shared" si="16"/>
        <v>-</v>
      </c>
      <c r="AE39" s="12" t="str">
        <f t="shared" si="16"/>
        <v>-</v>
      </c>
      <c r="AF39" s="12" t="str">
        <f t="shared" si="16"/>
        <v>-</v>
      </c>
      <c r="AG39" s="12" t="str">
        <f>IF(BD39="","-",BD39*$AR39*BD$96)</f>
        <v>-</v>
      </c>
      <c r="AJ39" s="144">
        <f ca="1">SUMPRODUCT(AU39:BN39,AU$96:BN$96)</f>
        <v>0</v>
      </c>
      <c r="AK39" s="12">
        <f t="shared" ref="AK39" ca="1" si="17">AJ39*AR39</f>
        <v>0</v>
      </c>
      <c r="AL39" s="12">
        <f t="shared" ref="AL39" ca="1" si="18">AJ39*AS39</f>
        <v>0</v>
      </c>
      <c r="AN39" s="28"/>
      <c r="AO39" s="42" t="s">
        <v>157</v>
      </c>
      <c r="AP39"/>
      <c r="AQ39" s="158" t="s">
        <v>60</v>
      </c>
      <c r="AR39" s="149">
        <v>0</v>
      </c>
      <c r="AS39" s="149">
        <v>0</v>
      </c>
      <c r="AT39" s="155" t="s">
        <v>384</v>
      </c>
      <c r="AU39" s="141"/>
      <c r="AV39" s="141"/>
      <c r="AW39" s="141"/>
      <c r="AX39" s="141"/>
      <c r="AY39" s="141"/>
      <c r="AZ39" s="141"/>
      <c r="BA39" s="141"/>
      <c r="BB39" s="141"/>
      <c r="BC39" s="141"/>
      <c r="BD39" s="141"/>
      <c r="BE39" s="141"/>
      <c r="BF39" s="141"/>
      <c r="BG39" s="141"/>
      <c r="BH39" s="141"/>
      <c r="BI39" s="141"/>
      <c r="BJ39" s="141"/>
      <c r="BK39" s="141"/>
      <c r="BL39" s="141"/>
      <c r="BM39" s="141"/>
      <c r="BN39" s="141"/>
      <c r="BO39" s="141"/>
      <c r="BP39" s="141"/>
      <c r="BQ39" s="141"/>
      <c r="BR39" s="141"/>
      <c r="BS39" s="141"/>
      <c r="BT39" s="141"/>
      <c r="BU39" s="141"/>
      <c r="BV39" s="141"/>
      <c r="BW39" s="141"/>
      <c r="BX39" s="141"/>
      <c r="BY39" s="141"/>
    </row>
    <row r="40" spans="1:77" ht="15.75" customHeight="1" x14ac:dyDescent="0.2">
      <c r="A40" s="3" t="s">
        <v>184</v>
      </c>
      <c r="C40" s="12">
        <f t="shared" ref="C40:C88" si="19">IF(AQ40&lt;&gt;"",MATCH(AQ40,g_assets_sc_1,0),"")</f>
        <v>1</v>
      </c>
      <c r="D40" s="12" t="str">
        <f t="shared" ref="D40:D88" si="20">IF(AU40="","-",AU40*$AR40*AU$96)</f>
        <v>-</v>
      </c>
      <c r="E40" s="12" t="str">
        <f t="shared" ref="E40:E88" si="21">IF(AV40="","-",AV40*$AR40*AV$96)</f>
        <v>-</v>
      </c>
      <c r="F40" s="12" t="str">
        <f t="shared" ref="F40:F88" si="22">IF(AW40="","-",AW40*$AR40*AW$96)</f>
        <v>-</v>
      </c>
      <c r="G40" s="12" t="str">
        <f t="shared" ref="G40:G88" si="23">IF(AX40="","-",AX40*$AR40*AX$96)</f>
        <v>-</v>
      </c>
      <c r="H40" s="12" t="str">
        <f t="shared" ref="H40:H88" si="24">IF(AY40="","-",AY40*$AR40*AY$96)</f>
        <v>-</v>
      </c>
      <c r="I40" s="12" t="str">
        <f t="shared" ref="I40:I88" si="25">IF(AZ40="","-",AZ40*$AR40*AZ$96)</f>
        <v>-</v>
      </c>
      <c r="J40" s="12" t="str">
        <f t="shared" ref="J40:J88" si="26">IF(BA40="","-",BA40*$AR40*BA$96)</f>
        <v>-</v>
      </c>
      <c r="K40" s="12" t="str">
        <f t="shared" ref="K40:K88" si="27">IF(BB40="","-",BB40*$AR40*BB$96)</f>
        <v>-</v>
      </c>
      <c r="L40" s="12" t="str">
        <f t="shared" ref="L40:L88" si="28">IF(BC40="","-",BC40*$AR40*BC$96)</f>
        <v>-</v>
      </c>
      <c r="M40" s="12" t="str">
        <f t="shared" ref="M40:M88" si="29">IF(BD40="","-",BD40*$AR40*BD$96)</f>
        <v>-</v>
      </c>
      <c r="N40" s="12" t="str">
        <f t="shared" ref="N40:N88" si="30">IF(BE40="","-",BE40*$AR40*BE$96)</f>
        <v>-</v>
      </c>
      <c r="O40" s="12" t="str">
        <f t="shared" ref="O40:O88" si="31">IF(BF40="","-",BF40*$AR40*BF$96)</f>
        <v>-</v>
      </c>
      <c r="P40" s="12" t="str">
        <f t="shared" ref="P40:P88" si="32">IF(BG40="","-",BG40*$AR40*BG$96)</f>
        <v>-</v>
      </c>
      <c r="Q40" s="12" t="str">
        <f t="shared" ref="Q40:Q88" si="33">IF(BH40="","-",BH40*$AR40*BH$96)</f>
        <v>-</v>
      </c>
      <c r="R40" s="12" t="str">
        <f t="shared" ref="R40:R88" si="34">IF(BI40="","-",BI40*$AR40*BI$96)</f>
        <v>-</v>
      </c>
      <c r="S40" s="12" t="str">
        <f t="shared" ref="S40:S88" si="35">IF(BJ40="","-",BJ40*$AR40*BJ$96)</f>
        <v>-</v>
      </c>
      <c r="T40" s="12" t="str">
        <f t="shared" ref="T40:T88" si="36">IF(BK40="","-",BK40*$AR40*BK$96)</f>
        <v>-</v>
      </c>
      <c r="U40" s="12" t="str">
        <f t="shared" ref="U40:U88" si="37">IF(BL40="","-",BL40*$AR40*BL$96)</f>
        <v>-</v>
      </c>
      <c r="V40" s="12" t="str">
        <f t="shared" ref="V40:V88" si="38">IF(BM40="","-",BM40*$AR40*BM$96)</f>
        <v>-</v>
      </c>
      <c r="W40" s="12" t="str">
        <f t="shared" ref="W40:W88" si="39">IF(BN40="","-",BN40*$AR40*BN$96)</f>
        <v>-</v>
      </c>
      <c r="X40" s="12" t="str">
        <f t="shared" ref="X40:X88" si="40">IF(BO40="","-",BO40*$AR40*BO$96)</f>
        <v>-</v>
      </c>
      <c r="Y40" s="12" t="str">
        <f t="shared" ref="Y40:Y88" si="41">IF(BP40="","-",BP40*$AR40*BP$96)</f>
        <v>-</v>
      </c>
      <c r="Z40" s="12" t="str">
        <f t="shared" ref="Z40:Z88" si="42">IF(BQ40="","-",BQ40*$AR40*BQ$96)</f>
        <v>-</v>
      </c>
      <c r="AA40" s="12" t="str">
        <f t="shared" ref="AA40:AA88" si="43">IF(BR40="","-",BR40*$AR40*BR$96)</f>
        <v>-</v>
      </c>
      <c r="AB40" s="12" t="str">
        <f t="shared" ref="AB40:AB88" si="44">IF(BS40="","-",BS40*$AR40*BS$96)</f>
        <v>-</v>
      </c>
      <c r="AC40" s="12" t="str">
        <f t="shared" ref="AC40:AC88" si="45">IF(BT40="","-",BT40*$AR40*BT$96)</f>
        <v>-</v>
      </c>
      <c r="AD40" s="12" t="str">
        <f t="shared" ref="AD40:AD88" si="46">IF(BU40="","-",BU40*$AR40*BU$96)</f>
        <v>-</v>
      </c>
      <c r="AE40" s="12" t="str">
        <f t="shared" ref="AE40:AE88" si="47">IF(BV40="","-",BV40*$AR40*BV$96)</f>
        <v>-</v>
      </c>
      <c r="AF40" s="12" t="str">
        <f t="shared" ref="AF40:AF88" si="48">IF(BW40="","-",BW40*$AR40*BW$96)</f>
        <v>-</v>
      </c>
      <c r="AG40" s="12" t="str">
        <f t="shared" ref="AG40:AG88" si="49">IF(BD40="","-",BD40*$AR40*BD$96)</f>
        <v>-</v>
      </c>
      <c r="AJ40" s="144">
        <f t="shared" ref="AJ40:AJ88" ca="1" si="50">SUMPRODUCT(AU40:BN40,AU$96:BN$96)</f>
        <v>0</v>
      </c>
      <c r="AK40" s="12">
        <f t="shared" ref="AK40:AK88" ca="1" si="51">AJ40*AR40</f>
        <v>0</v>
      </c>
      <c r="AL40" s="12">
        <f t="shared" ref="AL40:AL88" ca="1" si="52">AJ40*AS40</f>
        <v>0</v>
      </c>
      <c r="AN40" s="28"/>
      <c r="AO40" s="42" t="s">
        <v>158</v>
      </c>
      <c r="AP40"/>
      <c r="AQ40" s="158" t="s">
        <v>60</v>
      </c>
      <c r="AR40" s="149">
        <v>0</v>
      </c>
      <c r="AS40" s="149">
        <v>0</v>
      </c>
      <c r="AT40" s="155" t="s">
        <v>384</v>
      </c>
      <c r="AU40" s="141"/>
      <c r="AV40" s="141"/>
      <c r="AW40" s="141"/>
      <c r="AX40" s="141"/>
      <c r="AY40" s="195"/>
      <c r="AZ40" s="195"/>
      <c r="BA40" s="141"/>
      <c r="BB40" s="141"/>
      <c r="BC40" s="141"/>
      <c r="BD40" s="141"/>
      <c r="BE40" s="141"/>
      <c r="BF40" s="141"/>
      <c r="BG40" s="141"/>
      <c r="BH40" s="141"/>
      <c r="BI40" s="141"/>
      <c r="BJ40" s="141"/>
      <c r="BK40" s="141"/>
      <c r="BL40" s="141"/>
      <c r="BM40" s="141"/>
      <c r="BN40" s="141"/>
      <c r="BO40" s="141"/>
      <c r="BP40" s="141"/>
      <c r="BQ40" s="141"/>
      <c r="BR40" s="141"/>
      <c r="BS40" s="141"/>
      <c r="BT40" s="141"/>
      <c r="BU40" s="141"/>
      <c r="BV40" s="141"/>
      <c r="BW40" s="141"/>
      <c r="BX40" s="141"/>
      <c r="BY40" s="141"/>
    </row>
    <row r="41" spans="1:77" ht="15.75" customHeight="1" x14ac:dyDescent="0.2">
      <c r="A41" s="3" t="s">
        <v>185</v>
      </c>
      <c r="C41" s="12">
        <f t="shared" si="19"/>
        <v>1</v>
      </c>
      <c r="D41" s="12" t="str">
        <f t="shared" si="20"/>
        <v>-</v>
      </c>
      <c r="E41" s="12" t="str">
        <f t="shared" si="21"/>
        <v>-</v>
      </c>
      <c r="F41" s="12" t="str">
        <f t="shared" si="22"/>
        <v>-</v>
      </c>
      <c r="G41" s="12" t="str">
        <f t="shared" si="23"/>
        <v>-</v>
      </c>
      <c r="H41" s="12" t="str">
        <f t="shared" si="24"/>
        <v>-</v>
      </c>
      <c r="I41" s="12" t="str">
        <f t="shared" si="25"/>
        <v>-</v>
      </c>
      <c r="J41" s="12" t="str">
        <f t="shared" si="26"/>
        <v>-</v>
      </c>
      <c r="K41" s="12" t="str">
        <f t="shared" si="27"/>
        <v>-</v>
      </c>
      <c r="L41" s="12" t="str">
        <f t="shared" si="28"/>
        <v>-</v>
      </c>
      <c r="M41" s="12" t="str">
        <f t="shared" si="29"/>
        <v>-</v>
      </c>
      <c r="N41" s="12" t="str">
        <f t="shared" si="30"/>
        <v>-</v>
      </c>
      <c r="O41" s="12" t="str">
        <f t="shared" si="31"/>
        <v>-</v>
      </c>
      <c r="P41" s="12" t="str">
        <f t="shared" si="32"/>
        <v>-</v>
      </c>
      <c r="Q41" s="12" t="str">
        <f t="shared" si="33"/>
        <v>-</v>
      </c>
      <c r="R41" s="12" t="str">
        <f t="shared" si="34"/>
        <v>-</v>
      </c>
      <c r="S41" s="12" t="str">
        <f t="shared" si="35"/>
        <v>-</v>
      </c>
      <c r="T41" s="12" t="str">
        <f t="shared" si="36"/>
        <v>-</v>
      </c>
      <c r="U41" s="12" t="str">
        <f t="shared" si="37"/>
        <v>-</v>
      </c>
      <c r="V41" s="12" t="str">
        <f t="shared" si="38"/>
        <v>-</v>
      </c>
      <c r="W41" s="12" t="str">
        <f t="shared" si="39"/>
        <v>-</v>
      </c>
      <c r="X41" s="12" t="str">
        <f t="shared" si="40"/>
        <v>-</v>
      </c>
      <c r="Y41" s="12" t="str">
        <f t="shared" si="41"/>
        <v>-</v>
      </c>
      <c r="Z41" s="12" t="str">
        <f t="shared" si="42"/>
        <v>-</v>
      </c>
      <c r="AA41" s="12" t="str">
        <f t="shared" si="43"/>
        <v>-</v>
      </c>
      <c r="AB41" s="12" t="str">
        <f t="shared" si="44"/>
        <v>-</v>
      </c>
      <c r="AC41" s="12" t="str">
        <f t="shared" si="45"/>
        <v>-</v>
      </c>
      <c r="AD41" s="12" t="str">
        <f t="shared" si="46"/>
        <v>-</v>
      </c>
      <c r="AE41" s="12" t="str">
        <f t="shared" si="47"/>
        <v>-</v>
      </c>
      <c r="AF41" s="12" t="str">
        <f t="shared" si="48"/>
        <v>-</v>
      </c>
      <c r="AG41" s="12" t="str">
        <f t="shared" si="49"/>
        <v>-</v>
      </c>
      <c r="AJ41" s="144">
        <f t="shared" ca="1" si="50"/>
        <v>0</v>
      </c>
      <c r="AK41" s="12">
        <f t="shared" ca="1" si="51"/>
        <v>0</v>
      </c>
      <c r="AL41" s="12">
        <f t="shared" ca="1" si="52"/>
        <v>0</v>
      </c>
      <c r="AN41" s="28"/>
      <c r="AO41" s="42" t="s">
        <v>159</v>
      </c>
      <c r="AP41"/>
      <c r="AQ41" s="158" t="s">
        <v>60</v>
      </c>
      <c r="AR41" s="149">
        <v>0</v>
      </c>
      <c r="AS41" s="149">
        <v>0</v>
      </c>
      <c r="AT41" s="155" t="s">
        <v>384</v>
      </c>
      <c r="AU41" s="141"/>
      <c r="AV41" s="141"/>
      <c r="AW41" s="141"/>
      <c r="AX41" s="141"/>
      <c r="AY41" s="195"/>
      <c r="AZ41" s="195"/>
      <c r="BA41" s="141"/>
      <c r="BB41" s="141"/>
      <c r="BC41" s="141"/>
      <c r="BD41" s="141"/>
      <c r="BE41" s="141"/>
      <c r="BF41" s="141"/>
      <c r="BG41" s="141"/>
      <c r="BH41" s="141"/>
      <c r="BI41" s="141"/>
      <c r="BJ41" s="141"/>
      <c r="BK41" s="141"/>
      <c r="BL41" s="141"/>
      <c r="BM41" s="141"/>
      <c r="BN41" s="141"/>
      <c r="BO41" s="141"/>
      <c r="BP41" s="141"/>
      <c r="BQ41" s="141"/>
      <c r="BR41" s="141"/>
      <c r="BS41" s="141"/>
      <c r="BT41" s="141"/>
      <c r="BU41" s="141"/>
      <c r="BV41" s="141"/>
      <c r="BW41" s="141"/>
      <c r="BX41" s="141"/>
      <c r="BY41" s="141"/>
    </row>
    <row r="42" spans="1:77" ht="15.75" customHeight="1" x14ac:dyDescent="0.2">
      <c r="A42" s="3" t="s">
        <v>186</v>
      </c>
      <c r="C42" s="12">
        <f t="shared" si="19"/>
        <v>1</v>
      </c>
      <c r="D42" s="12" t="str">
        <f t="shared" si="20"/>
        <v>-</v>
      </c>
      <c r="E42" s="12" t="str">
        <f t="shared" si="21"/>
        <v>-</v>
      </c>
      <c r="F42" s="12" t="str">
        <f t="shared" si="22"/>
        <v>-</v>
      </c>
      <c r="G42" s="12" t="str">
        <f t="shared" si="23"/>
        <v>-</v>
      </c>
      <c r="H42" s="12" t="str">
        <f t="shared" si="24"/>
        <v>-</v>
      </c>
      <c r="I42" s="12" t="str">
        <f t="shared" si="25"/>
        <v>-</v>
      </c>
      <c r="J42" s="12" t="str">
        <f t="shared" si="26"/>
        <v>-</v>
      </c>
      <c r="K42" s="12" t="str">
        <f t="shared" si="27"/>
        <v>-</v>
      </c>
      <c r="L42" s="12" t="str">
        <f t="shared" si="28"/>
        <v>-</v>
      </c>
      <c r="M42" s="12" t="str">
        <f t="shared" si="29"/>
        <v>-</v>
      </c>
      <c r="N42" s="12" t="str">
        <f t="shared" si="30"/>
        <v>-</v>
      </c>
      <c r="O42" s="12" t="str">
        <f t="shared" si="31"/>
        <v>-</v>
      </c>
      <c r="P42" s="12" t="str">
        <f t="shared" si="32"/>
        <v>-</v>
      </c>
      <c r="Q42" s="12" t="str">
        <f t="shared" si="33"/>
        <v>-</v>
      </c>
      <c r="R42" s="12" t="str">
        <f t="shared" si="34"/>
        <v>-</v>
      </c>
      <c r="S42" s="12" t="str">
        <f t="shared" si="35"/>
        <v>-</v>
      </c>
      <c r="T42" s="12" t="str">
        <f t="shared" si="36"/>
        <v>-</v>
      </c>
      <c r="U42" s="12" t="str">
        <f t="shared" si="37"/>
        <v>-</v>
      </c>
      <c r="V42" s="12" t="str">
        <f t="shared" si="38"/>
        <v>-</v>
      </c>
      <c r="W42" s="12" t="str">
        <f t="shared" si="39"/>
        <v>-</v>
      </c>
      <c r="X42" s="12" t="str">
        <f t="shared" si="40"/>
        <v>-</v>
      </c>
      <c r="Y42" s="12" t="str">
        <f t="shared" si="41"/>
        <v>-</v>
      </c>
      <c r="Z42" s="12" t="str">
        <f t="shared" si="42"/>
        <v>-</v>
      </c>
      <c r="AA42" s="12" t="str">
        <f t="shared" si="43"/>
        <v>-</v>
      </c>
      <c r="AB42" s="12" t="str">
        <f t="shared" si="44"/>
        <v>-</v>
      </c>
      <c r="AC42" s="12" t="str">
        <f t="shared" si="45"/>
        <v>-</v>
      </c>
      <c r="AD42" s="12" t="str">
        <f t="shared" si="46"/>
        <v>-</v>
      </c>
      <c r="AE42" s="12" t="str">
        <f t="shared" si="47"/>
        <v>-</v>
      </c>
      <c r="AF42" s="12" t="str">
        <f t="shared" si="48"/>
        <v>-</v>
      </c>
      <c r="AG42" s="12" t="str">
        <f t="shared" si="49"/>
        <v>-</v>
      </c>
      <c r="AJ42" s="144">
        <f t="shared" ca="1" si="50"/>
        <v>0</v>
      </c>
      <c r="AK42" s="12">
        <f t="shared" ca="1" si="51"/>
        <v>0</v>
      </c>
      <c r="AL42" s="12">
        <f t="shared" ca="1" si="52"/>
        <v>0</v>
      </c>
      <c r="AN42" s="28"/>
      <c r="AO42" s="42" t="s">
        <v>160</v>
      </c>
      <c r="AP42"/>
      <c r="AQ42" s="158" t="s">
        <v>60</v>
      </c>
      <c r="AR42" s="149">
        <v>0</v>
      </c>
      <c r="AS42" s="149">
        <v>0</v>
      </c>
      <c r="AT42" s="155" t="s">
        <v>384</v>
      </c>
      <c r="AU42" s="141"/>
      <c r="AV42" s="141"/>
      <c r="AW42" s="141"/>
      <c r="AX42" s="141"/>
      <c r="AY42" s="195"/>
      <c r="AZ42" s="195"/>
      <c r="BA42" s="141"/>
      <c r="BB42" s="141"/>
      <c r="BC42" s="141"/>
      <c r="BD42" s="141"/>
      <c r="BE42" s="141"/>
      <c r="BF42" s="141"/>
      <c r="BG42" s="141"/>
      <c r="BH42" s="141"/>
      <c r="BI42" s="141"/>
      <c r="BJ42" s="141"/>
      <c r="BK42" s="141"/>
      <c r="BL42" s="141"/>
      <c r="BM42" s="141"/>
      <c r="BN42" s="141"/>
      <c r="BO42" s="141"/>
      <c r="BP42" s="141"/>
      <c r="BQ42" s="141"/>
      <c r="BR42" s="141"/>
      <c r="BS42" s="141"/>
      <c r="BT42" s="141"/>
      <c r="BU42" s="141"/>
      <c r="BV42" s="141"/>
      <c r="BW42" s="141"/>
      <c r="BX42" s="141"/>
      <c r="BY42" s="141"/>
    </row>
    <row r="43" spans="1:77" ht="15.75" customHeight="1" x14ac:dyDescent="0.2">
      <c r="A43" s="3" t="s">
        <v>187</v>
      </c>
      <c r="C43" s="12">
        <f t="shared" si="19"/>
        <v>1</v>
      </c>
      <c r="D43" s="12" t="str">
        <f t="shared" si="20"/>
        <v>-</v>
      </c>
      <c r="E43" s="12" t="str">
        <f t="shared" si="21"/>
        <v>-</v>
      </c>
      <c r="F43" s="12" t="str">
        <f t="shared" si="22"/>
        <v>-</v>
      </c>
      <c r="G43" s="12" t="str">
        <f t="shared" si="23"/>
        <v>-</v>
      </c>
      <c r="H43" s="12" t="str">
        <f t="shared" si="24"/>
        <v>-</v>
      </c>
      <c r="I43" s="12" t="str">
        <f t="shared" si="25"/>
        <v>-</v>
      </c>
      <c r="J43" s="12" t="str">
        <f t="shared" si="26"/>
        <v>-</v>
      </c>
      <c r="K43" s="12" t="str">
        <f t="shared" si="27"/>
        <v>-</v>
      </c>
      <c r="L43" s="12" t="str">
        <f t="shared" si="28"/>
        <v>-</v>
      </c>
      <c r="M43" s="12" t="str">
        <f t="shared" si="29"/>
        <v>-</v>
      </c>
      <c r="N43" s="12" t="str">
        <f t="shared" si="30"/>
        <v>-</v>
      </c>
      <c r="O43" s="12" t="str">
        <f t="shared" si="31"/>
        <v>-</v>
      </c>
      <c r="P43" s="12" t="str">
        <f t="shared" si="32"/>
        <v>-</v>
      </c>
      <c r="Q43" s="12" t="str">
        <f t="shared" si="33"/>
        <v>-</v>
      </c>
      <c r="R43" s="12" t="str">
        <f t="shared" si="34"/>
        <v>-</v>
      </c>
      <c r="S43" s="12" t="str">
        <f t="shared" si="35"/>
        <v>-</v>
      </c>
      <c r="T43" s="12" t="str">
        <f t="shared" si="36"/>
        <v>-</v>
      </c>
      <c r="U43" s="12" t="str">
        <f t="shared" si="37"/>
        <v>-</v>
      </c>
      <c r="V43" s="12" t="str">
        <f t="shared" si="38"/>
        <v>-</v>
      </c>
      <c r="W43" s="12" t="str">
        <f t="shared" si="39"/>
        <v>-</v>
      </c>
      <c r="X43" s="12" t="str">
        <f t="shared" si="40"/>
        <v>-</v>
      </c>
      <c r="Y43" s="12" t="str">
        <f t="shared" si="41"/>
        <v>-</v>
      </c>
      <c r="Z43" s="12" t="str">
        <f t="shared" si="42"/>
        <v>-</v>
      </c>
      <c r="AA43" s="12" t="str">
        <f t="shared" si="43"/>
        <v>-</v>
      </c>
      <c r="AB43" s="12" t="str">
        <f t="shared" si="44"/>
        <v>-</v>
      </c>
      <c r="AC43" s="12" t="str">
        <f t="shared" si="45"/>
        <v>-</v>
      </c>
      <c r="AD43" s="12" t="str">
        <f t="shared" si="46"/>
        <v>-</v>
      </c>
      <c r="AE43" s="12" t="str">
        <f t="shared" si="47"/>
        <v>-</v>
      </c>
      <c r="AF43" s="12" t="str">
        <f t="shared" si="48"/>
        <v>-</v>
      </c>
      <c r="AG43" s="12" t="str">
        <f t="shared" si="49"/>
        <v>-</v>
      </c>
      <c r="AJ43" s="144">
        <f t="shared" ca="1" si="50"/>
        <v>0</v>
      </c>
      <c r="AK43" s="12">
        <f t="shared" ca="1" si="51"/>
        <v>0</v>
      </c>
      <c r="AL43" s="12">
        <f t="shared" ca="1" si="52"/>
        <v>0</v>
      </c>
      <c r="AN43" s="28"/>
      <c r="AO43" s="42" t="s">
        <v>161</v>
      </c>
      <c r="AP43"/>
      <c r="AQ43" s="158" t="s">
        <v>60</v>
      </c>
      <c r="AR43" s="149">
        <v>0</v>
      </c>
      <c r="AS43" s="149">
        <v>0</v>
      </c>
      <c r="AT43" s="155" t="s">
        <v>384</v>
      </c>
      <c r="AU43" s="141"/>
      <c r="AV43" s="141"/>
      <c r="AW43" s="141"/>
      <c r="AX43" s="141"/>
      <c r="AY43" s="195"/>
      <c r="AZ43" s="195"/>
      <c r="BA43" s="141"/>
      <c r="BB43" s="141"/>
      <c r="BC43" s="141"/>
      <c r="BD43" s="141"/>
      <c r="BE43" s="141"/>
      <c r="BF43" s="141"/>
      <c r="BG43" s="141"/>
      <c r="BH43" s="141"/>
      <c r="BI43" s="141"/>
      <c r="BJ43" s="141"/>
      <c r="BK43" s="141"/>
      <c r="BL43" s="141"/>
      <c r="BM43" s="141"/>
      <c r="BN43" s="141"/>
      <c r="BO43" s="141"/>
      <c r="BP43" s="141"/>
      <c r="BQ43" s="141"/>
      <c r="BR43" s="141"/>
      <c r="BS43" s="141"/>
      <c r="BT43" s="141"/>
      <c r="BU43" s="141"/>
      <c r="BV43" s="141"/>
      <c r="BW43" s="141"/>
      <c r="BX43" s="141"/>
      <c r="BY43" s="141"/>
    </row>
    <row r="44" spans="1:77" ht="15.75" customHeight="1" x14ac:dyDescent="0.2">
      <c r="A44" s="3" t="s">
        <v>188</v>
      </c>
      <c r="C44" s="12">
        <f t="shared" si="19"/>
        <v>1</v>
      </c>
      <c r="D44" s="12" t="str">
        <f t="shared" si="20"/>
        <v>-</v>
      </c>
      <c r="E44" s="12" t="str">
        <f t="shared" si="21"/>
        <v>-</v>
      </c>
      <c r="F44" s="12" t="str">
        <f t="shared" si="22"/>
        <v>-</v>
      </c>
      <c r="G44" s="12" t="str">
        <f t="shared" si="23"/>
        <v>-</v>
      </c>
      <c r="H44" s="12" t="str">
        <f t="shared" si="24"/>
        <v>-</v>
      </c>
      <c r="I44" s="12" t="str">
        <f t="shared" si="25"/>
        <v>-</v>
      </c>
      <c r="J44" s="12" t="str">
        <f t="shared" si="26"/>
        <v>-</v>
      </c>
      <c r="K44" s="12" t="str">
        <f t="shared" si="27"/>
        <v>-</v>
      </c>
      <c r="L44" s="12" t="str">
        <f t="shared" si="28"/>
        <v>-</v>
      </c>
      <c r="M44" s="12" t="str">
        <f t="shared" si="29"/>
        <v>-</v>
      </c>
      <c r="N44" s="12" t="str">
        <f t="shared" si="30"/>
        <v>-</v>
      </c>
      <c r="O44" s="12" t="str">
        <f t="shared" si="31"/>
        <v>-</v>
      </c>
      <c r="P44" s="12" t="str">
        <f t="shared" si="32"/>
        <v>-</v>
      </c>
      <c r="Q44" s="12" t="str">
        <f t="shared" si="33"/>
        <v>-</v>
      </c>
      <c r="R44" s="12" t="str">
        <f t="shared" si="34"/>
        <v>-</v>
      </c>
      <c r="S44" s="12" t="str">
        <f t="shared" si="35"/>
        <v>-</v>
      </c>
      <c r="T44" s="12" t="str">
        <f t="shared" si="36"/>
        <v>-</v>
      </c>
      <c r="U44" s="12" t="str">
        <f t="shared" si="37"/>
        <v>-</v>
      </c>
      <c r="V44" s="12" t="str">
        <f t="shared" si="38"/>
        <v>-</v>
      </c>
      <c r="W44" s="12" t="str">
        <f t="shared" si="39"/>
        <v>-</v>
      </c>
      <c r="X44" s="12" t="str">
        <f t="shared" si="40"/>
        <v>-</v>
      </c>
      <c r="Y44" s="12" t="str">
        <f t="shared" si="41"/>
        <v>-</v>
      </c>
      <c r="Z44" s="12" t="str">
        <f t="shared" si="42"/>
        <v>-</v>
      </c>
      <c r="AA44" s="12" t="str">
        <f t="shared" si="43"/>
        <v>-</v>
      </c>
      <c r="AB44" s="12" t="str">
        <f t="shared" si="44"/>
        <v>-</v>
      </c>
      <c r="AC44" s="12" t="str">
        <f t="shared" si="45"/>
        <v>-</v>
      </c>
      <c r="AD44" s="12" t="str">
        <f t="shared" si="46"/>
        <v>-</v>
      </c>
      <c r="AE44" s="12" t="str">
        <f t="shared" si="47"/>
        <v>-</v>
      </c>
      <c r="AF44" s="12" t="str">
        <f t="shared" si="48"/>
        <v>-</v>
      </c>
      <c r="AG44" s="12" t="str">
        <f t="shared" si="49"/>
        <v>-</v>
      </c>
      <c r="AJ44" s="144">
        <f t="shared" ca="1" si="50"/>
        <v>0</v>
      </c>
      <c r="AK44" s="12">
        <f t="shared" ca="1" si="51"/>
        <v>0</v>
      </c>
      <c r="AL44" s="12">
        <f t="shared" ca="1" si="52"/>
        <v>0</v>
      </c>
      <c r="AN44" s="28"/>
      <c r="AO44" s="42" t="s">
        <v>552</v>
      </c>
      <c r="AP44"/>
      <c r="AQ44" s="158" t="s">
        <v>60</v>
      </c>
      <c r="AR44" s="149">
        <v>0</v>
      </c>
      <c r="AS44" s="149">
        <v>0</v>
      </c>
      <c r="AT44" s="155" t="s">
        <v>384</v>
      </c>
      <c r="AU44" s="141"/>
      <c r="AV44" s="141"/>
      <c r="AW44" s="141"/>
      <c r="AX44" s="141"/>
      <c r="AY44" s="195"/>
      <c r="AZ44" s="195"/>
      <c r="BA44" s="141"/>
      <c r="BB44" s="141"/>
      <c r="BC44" s="141"/>
      <c r="BD44" s="141"/>
      <c r="BE44" s="141"/>
      <c r="BF44" s="141"/>
      <c r="BG44" s="141"/>
      <c r="BH44" s="141"/>
      <c r="BI44" s="141"/>
      <c r="BJ44" s="141"/>
      <c r="BK44" s="141"/>
      <c r="BL44" s="141"/>
      <c r="BM44" s="141"/>
      <c r="BN44" s="141"/>
      <c r="BO44" s="141"/>
      <c r="BP44" s="141"/>
      <c r="BQ44" s="141"/>
      <c r="BR44" s="141"/>
      <c r="BS44" s="141"/>
      <c r="BT44" s="141"/>
      <c r="BU44" s="141"/>
      <c r="BV44" s="141"/>
      <c r="BW44" s="141"/>
      <c r="BX44" s="141"/>
      <c r="BY44" s="141"/>
    </row>
    <row r="45" spans="1:77" ht="15.75" customHeight="1" x14ac:dyDescent="0.2">
      <c r="A45" s="3" t="s">
        <v>189</v>
      </c>
      <c r="C45" s="12">
        <f t="shared" si="19"/>
        <v>1</v>
      </c>
      <c r="D45" s="12" t="str">
        <f t="shared" si="20"/>
        <v>-</v>
      </c>
      <c r="E45" s="12" t="str">
        <f t="shared" si="21"/>
        <v>-</v>
      </c>
      <c r="F45" s="12" t="str">
        <f t="shared" si="22"/>
        <v>-</v>
      </c>
      <c r="G45" s="12" t="str">
        <f t="shared" si="23"/>
        <v>-</v>
      </c>
      <c r="H45" s="12" t="str">
        <f t="shared" si="24"/>
        <v>-</v>
      </c>
      <c r="I45" s="12" t="str">
        <f t="shared" si="25"/>
        <v>-</v>
      </c>
      <c r="J45" s="12" t="str">
        <f t="shared" si="26"/>
        <v>-</v>
      </c>
      <c r="K45" s="12" t="str">
        <f t="shared" si="27"/>
        <v>-</v>
      </c>
      <c r="L45" s="12" t="str">
        <f t="shared" si="28"/>
        <v>-</v>
      </c>
      <c r="M45" s="12" t="str">
        <f t="shared" si="29"/>
        <v>-</v>
      </c>
      <c r="N45" s="12" t="str">
        <f t="shared" si="30"/>
        <v>-</v>
      </c>
      <c r="O45" s="12" t="str">
        <f t="shared" si="31"/>
        <v>-</v>
      </c>
      <c r="P45" s="12" t="str">
        <f t="shared" si="32"/>
        <v>-</v>
      </c>
      <c r="Q45" s="12" t="str">
        <f t="shared" si="33"/>
        <v>-</v>
      </c>
      <c r="R45" s="12" t="str">
        <f t="shared" si="34"/>
        <v>-</v>
      </c>
      <c r="S45" s="12" t="str">
        <f t="shared" si="35"/>
        <v>-</v>
      </c>
      <c r="T45" s="12" t="str">
        <f t="shared" si="36"/>
        <v>-</v>
      </c>
      <c r="U45" s="12" t="str">
        <f t="shared" si="37"/>
        <v>-</v>
      </c>
      <c r="V45" s="12" t="str">
        <f t="shared" si="38"/>
        <v>-</v>
      </c>
      <c r="W45" s="12" t="str">
        <f t="shared" si="39"/>
        <v>-</v>
      </c>
      <c r="X45" s="12" t="str">
        <f t="shared" si="40"/>
        <v>-</v>
      </c>
      <c r="Y45" s="12" t="str">
        <f t="shared" si="41"/>
        <v>-</v>
      </c>
      <c r="Z45" s="12" t="str">
        <f t="shared" si="42"/>
        <v>-</v>
      </c>
      <c r="AA45" s="12" t="str">
        <f t="shared" si="43"/>
        <v>-</v>
      </c>
      <c r="AB45" s="12" t="str">
        <f t="shared" si="44"/>
        <v>-</v>
      </c>
      <c r="AC45" s="12" t="str">
        <f t="shared" si="45"/>
        <v>-</v>
      </c>
      <c r="AD45" s="12" t="str">
        <f t="shared" si="46"/>
        <v>-</v>
      </c>
      <c r="AE45" s="12" t="str">
        <f t="shared" si="47"/>
        <v>-</v>
      </c>
      <c r="AF45" s="12" t="str">
        <f t="shared" si="48"/>
        <v>-</v>
      </c>
      <c r="AG45" s="12" t="str">
        <f t="shared" si="49"/>
        <v>-</v>
      </c>
      <c r="AJ45" s="144">
        <f t="shared" ca="1" si="50"/>
        <v>0</v>
      </c>
      <c r="AK45" s="12">
        <f t="shared" ca="1" si="51"/>
        <v>0</v>
      </c>
      <c r="AL45" s="12">
        <f t="shared" ca="1" si="52"/>
        <v>0</v>
      </c>
      <c r="AN45" s="28"/>
      <c r="AO45" s="42" t="s">
        <v>162</v>
      </c>
      <c r="AP45"/>
      <c r="AQ45" s="158" t="s">
        <v>60</v>
      </c>
      <c r="AR45" s="149">
        <v>0</v>
      </c>
      <c r="AS45" s="149">
        <v>0</v>
      </c>
      <c r="AT45" s="155" t="s">
        <v>384</v>
      </c>
      <c r="AU45" s="141"/>
      <c r="AV45" s="141"/>
      <c r="AW45" s="141"/>
      <c r="AX45" s="141"/>
      <c r="AY45" s="195"/>
      <c r="AZ45" s="195"/>
      <c r="BA45" s="141"/>
      <c r="BB45" s="141"/>
      <c r="BC45" s="141"/>
      <c r="BD45" s="141"/>
      <c r="BE45" s="141"/>
      <c r="BF45" s="141"/>
      <c r="BG45" s="141"/>
      <c r="BH45" s="141"/>
      <c r="BI45" s="141"/>
      <c r="BJ45" s="141"/>
      <c r="BK45" s="141"/>
      <c r="BL45" s="141"/>
      <c r="BM45" s="141"/>
      <c r="BN45" s="141"/>
      <c r="BO45" s="141"/>
      <c r="BP45" s="141"/>
      <c r="BQ45" s="141"/>
      <c r="BR45" s="141"/>
      <c r="BS45" s="141"/>
      <c r="BT45" s="141"/>
      <c r="BU45" s="141"/>
      <c r="BV45" s="141"/>
      <c r="BW45" s="141"/>
      <c r="BX45" s="141"/>
      <c r="BY45" s="141"/>
    </row>
    <row r="46" spans="1:77" ht="15.75" customHeight="1" x14ac:dyDescent="0.2">
      <c r="A46" s="3" t="s">
        <v>190</v>
      </c>
      <c r="C46" s="12">
        <f t="shared" si="19"/>
        <v>1</v>
      </c>
      <c r="D46" s="12" t="str">
        <f t="shared" si="20"/>
        <v>-</v>
      </c>
      <c r="E46" s="12" t="str">
        <f t="shared" si="21"/>
        <v>-</v>
      </c>
      <c r="F46" s="12" t="str">
        <f t="shared" si="22"/>
        <v>-</v>
      </c>
      <c r="G46" s="12" t="str">
        <f t="shared" si="23"/>
        <v>-</v>
      </c>
      <c r="H46" s="12" t="str">
        <f t="shared" si="24"/>
        <v>-</v>
      </c>
      <c r="I46" s="12" t="str">
        <f t="shared" si="25"/>
        <v>-</v>
      </c>
      <c r="J46" s="12" t="str">
        <f t="shared" si="26"/>
        <v>-</v>
      </c>
      <c r="K46" s="12" t="str">
        <f t="shared" si="27"/>
        <v>-</v>
      </c>
      <c r="L46" s="12" t="str">
        <f t="shared" si="28"/>
        <v>-</v>
      </c>
      <c r="M46" s="12" t="str">
        <f t="shared" si="29"/>
        <v>-</v>
      </c>
      <c r="N46" s="12" t="str">
        <f t="shared" si="30"/>
        <v>-</v>
      </c>
      <c r="O46" s="12" t="str">
        <f t="shared" si="31"/>
        <v>-</v>
      </c>
      <c r="P46" s="12" t="str">
        <f t="shared" si="32"/>
        <v>-</v>
      </c>
      <c r="Q46" s="12" t="str">
        <f t="shared" si="33"/>
        <v>-</v>
      </c>
      <c r="R46" s="12" t="str">
        <f t="shared" si="34"/>
        <v>-</v>
      </c>
      <c r="S46" s="12" t="str">
        <f t="shared" si="35"/>
        <v>-</v>
      </c>
      <c r="T46" s="12" t="str">
        <f t="shared" si="36"/>
        <v>-</v>
      </c>
      <c r="U46" s="12" t="str">
        <f t="shared" si="37"/>
        <v>-</v>
      </c>
      <c r="V46" s="12" t="str">
        <f t="shared" si="38"/>
        <v>-</v>
      </c>
      <c r="W46" s="12" t="str">
        <f t="shared" si="39"/>
        <v>-</v>
      </c>
      <c r="X46" s="12" t="str">
        <f t="shared" si="40"/>
        <v>-</v>
      </c>
      <c r="Y46" s="12" t="str">
        <f t="shared" si="41"/>
        <v>-</v>
      </c>
      <c r="Z46" s="12" t="str">
        <f t="shared" si="42"/>
        <v>-</v>
      </c>
      <c r="AA46" s="12" t="str">
        <f t="shared" si="43"/>
        <v>-</v>
      </c>
      <c r="AB46" s="12" t="str">
        <f t="shared" si="44"/>
        <v>-</v>
      </c>
      <c r="AC46" s="12" t="str">
        <f t="shared" si="45"/>
        <v>-</v>
      </c>
      <c r="AD46" s="12" t="str">
        <f t="shared" si="46"/>
        <v>-</v>
      </c>
      <c r="AE46" s="12" t="str">
        <f t="shared" si="47"/>
        <v>-</v>
      </c>
      <c r="AF46" s="12" t="str">
        <f t="shared" si="48"/>
        <v>-</v>
      </c>
      <c r="AG46" s="12" t="str">
        <f t="shared" si="49"/>
        <v>-</v>
      </c>
      <c r="AJ46" s="144">
        <f t="shared" ca="1" si="50"/>
        <v>0</v>
      </c>
      <c r="AK46" s="12">
        <f t="shared" ca="1" si="51"/>
        <v>0</v>
      </c>
      <c r="AL46" s="12">
        <f t="shared" ca="1" si="52"/>
        <v>0</v>
      </c>
      <c r="AN46" s="28"/>
      <c r="AO46" s="42" t="s">
        <v>163</v>
      </c>
      <c r="AP46"/>
      <c r="AQ46" s="158" t="s">
        <v>60</v>
      </c>
      <c r="AR46" s="149">
        <v>0</v>
      </c>
      <c r="AS46" s="149">
        <v>0</v>
      </c>
      <c r="AT46" s="155" t="s">
        <v>384</v>
      </c>
      <c r="AU46" s="141"/>
      <c r="AV46" s="141"/>
      <c r="AW46" s="141"/>
      <c r="AX46" s="141"/>
      <c r="AY46" s="195"/>
      <c r="AZ46" s="195"/>
      <c r="BA46" s="141"/>
      <c r="BB46" s="141"/>
      <c r="BC46" s="141"/>
      <c r="BD46" s="141"/>
      <c r="BE46" s="141"/>
      <c r="BF46" s="141"/>
      <c r="BG46" s="141"/>
      <c r="BH46" s="141"/>
      <c r="BI46" s="141"/>
      <c r="BJ46" s="141"/>
      <c r="BK46" s="141"/>
      <c r="BL46" s="141"/>
      <c r="BM46" s="141"/>
      <c r="BN46" s="141"/>
      <c r="BO46" s="141"/>
      <c r="BP46" s="141"/>
      <c r="BQ46" s="141"/>
      <c r="BR46" s="141"/>
      <c r="BS46" s="141"/>
      <c r="BT46" s="141"/>
      <c r="BU46" s="141"/>
      <c r="BV46" s="141"/>
      <c r="BW46" s="141"/>
      <c r="BX46" s="141"/>
      <c r="BY46" s="141"/>
    </row>
    <row r="47" spans="1:77" ht="15.75" customHeight="1" x14ac:dyDescent="0.2">
      <c r="A47" s="3" t="s">
        <v>191</v>
      </c>
      <c r="C47" s="12">
        <f t="shared" si="19"/>
        <v>1</v>
      </c>
      <c r="D47" s="12" t="str">
        <f t="shared" si="20"/>
        <v>-</v>
      </c>
      <c r="E47" s="12" t="str">
        <f t="shared" si="21"/>
        <v>-</v>
      </c>
      <c r="F47" s="12" t="str">
        <f t="shared" si="22"/>
        <v>-</v>
      </c>
      <c r="G47" s="12" t="str">
        <f t="shared" si="23"/>
        <v>-</v>
      </c>
      <c r="H47" s="12" t="str">
        <f t="shared" si="24"/>
        <v>-</v>
      </c>
      <c r="I47" s="12" t="str">
        <f t="shared" si="25"/>
        <v>-</v>
      </c>
      <c r="J47" s="12" t="str">
        <f t="shared" si="26"/>
        <v>-</v>
      </c>
      <c r="K47" s="12" t="str">
        <f t="shared" si="27"/>
        <v>-</v>
      </c>
      <c r="L47" s="12" t="str">
        <f t="shared" si="28"/>
        <v>-</v>
      </c>
      <c r="M47" s="12" t="str">
        <f t="shared" si="29"/>
        <v>-</v>
      </c>
      <c r="N47" s="12" t="str">
        <f t="shared" si="30"/>
        <v>-</v>
      </c>
      <c r="O47" s="12" t="str">
        <f t="shared" si="31"/>
        <v>-</v>
      </c>
      <c r="P47" s="12" t="str">
        <f t="shared" si="32"/>
        <v>-</v>
      </c>
      <c r="Q47" s="12" t="str">
        <f t="shared" si="33"/>
        <v>-</v>
      </c>
      <c r="R47" s="12" t="str">
        <f t="shared" si="34"/>
        <v>-</v>
      </c>
      <c r="S47" s="12" t="str">
        <f t="shared" si="35"/>
        <v>-</v>
      </c>
      <c r="T47" s="12" t="str">
        <f t="shared" si="36"/>
        <v>-</v>
      </c>
      <c r="U47" s="12" t="str">
        <f t="shared" si="37"/>
        <v>-</v>
      </c>
      <c r="V47" s="12" t="str">
        <f t="shared" si="38"/>
        <v>-</v>
      </c>
      <c r="W47" s="12" t="str">
        <f t="shared" si="39"/>
        <v>-</v>
      </c>
      <c r="X47" s="12" t="str">
        <f t="shared" si="40"/>
        <v>-</v>
      </c>
      <c r="Y47" s="12" t="str">
        <f t="shared" si="41"/>
        <v>-</v>
      </c>
      <c r="Z47" s="12" t="str">
        <f t="shared" si="42"/>
        <v>-</v>
      </c>
      <c r="AA47" s="12" t="str">
        <f t="shared" si="43"/>
        <v>-</v>
      </c>
      <c r="AB47" s="12" t="str">
        <f t="shared" si="44"/>
        <v>-</v>
      </c>
      <c r="AC47" s="12" t="str">
        <f t="shared" si="45"/>
        <v>-</v>
      </c>
      <c r="AD47" s="12" t="str">
        <f t="shared" si="46"/>
        <v>-</v>
      </c>
      <c r="AE47" s="12" t="str">
        <f t="shared" si="47"/>
        <v>-</v>
      </c>
      <c r="AF47" s="12" t="str">
        <f t="shared" si="48"/>
        <v>-</v>
      </c>
      <c r="AG47" s="12" t="str">
        <f t="shared" si="49"/>
        <v>-</v>
      </c>
      <c r="AJ47" s="144">
        <f t="shared" ca="1" si="50"/>
        <v>0</v>
      </c>
      <c r="AK47" s="12">
        <f t="shared" ca="1" si="51"/>
        <v>0</v>
      </c>
      <c r="AL47" s="12">
        <f t="shared" ca="1" si="52"/>
        <v>0</v>
      </c>
      <c r="AN47" s="28"/>
      <c r="AO47" s="42" t="s">
        <v>164</v>
      </c>
      <c r="AP47"/>
      <c r="AQ47" s="158" t="s">
        <v>60</v>
      </c>
      <c r="AR47" s="149">
        <v>0</v>
      </c>
      <c r="AS47" s="149">
        <v>0</v>
      </c>
      <c r="AT47" s="155" t="s">
        <v>384</v>
      </c>
      <c r="AU47" s="141"/>
      <c r="AV47" s="141"/>
      <c r="AW47" s="141"/>
      <c r="AX47" s="141"/>
      <c r="AY47" s="195"/>
      <c r="AZ47" s="195"/>
      <c r="BA47" s="141"/>
      <c r="BB47" s="141"/>
      <c r="BC47" s="141"/>
      <c r="BD47" s="141"/>
      <c r="BE47" s="141"/>
      <c r="BF47" s="141"/>
      <c r="BG47" s="141"/>
      <c r="BH47" s="141"/>
      <c r="BI47" s="141"/>
      <c r="BJ47" s="141"/>
      <c r="BK47" s="141"/>
      <c r="BL47" s="141"/>
      <c r="BM47" s="141"/>
      <c r="BN47" s="141"/>
      <c r="BO47" s="141"/>
      <c r="BP47" s="141"/>
      <c r="BQ47" s="141"/>
      <c r="BR47" s="141"/>
      <c r="BS47" s="141"/>
      <c r="BT47" s="141"/>
      <c r="BU47" s="141"/>
      <c r="BV47" s="141"/>
      <c r="BW47" s="141"/>
      <c r="BX47" s="141"/>
      <c r="BY47" s="141"/>
    </row>
    <row r="48" spans="1:77" ht="15.75" customHeight="1" x14ac:dyDescent="0.2">
      <c r="A48" s="3" t="s">
        <v>192</v>
      </c>
      <c r="C48" s="12">
        <f t="shared" si="19"/>
        <v>1</v>
      </c>
      <c r="D48" s="12" t="str">
        <f t="shared" si="20"/>
        <v>-</v>
      </c>
      <c r="E48" s="12" t="str">
        <f t="shared" si="21"/>
        <v>-</v>
      </c>
      <c r="F48" s="12" t="str">
        <f t="shared" si="22"/>
        <v>-</v>
      </c>
      <c r="G48" s="12" t="str">
        <f t="shared" si="23"/>
        <v>-</v>
      </c>
      <c r="H48" s="12" t="str">
        <f t="shared" si="24"/>
        <v>-</v>
      </c>
      <c r="I48" s="12" t="str">
        <f t="shared" si="25"/>
        <v>-</v>
      </c>
      <c r="J48" s="12" t="str">
        <f t="shared" si="26"/>
        <v>-</v>
      </c>
      <c r="K48" s="12" t="str">
        <f t="shared" si="27"/>
        <v>-</v>
      </c>
      <c r="L48" s="12" t="str">
        <f t="shared" si="28"/>
        <v>-</v>
      </c>
      <c r="M48" s="12" t="str">
        <f t="shared" si="29"/>
        <v>-</v>
      </c>
      <c r="N48" s="12" t="str">
        <f t="shared" si="30"/>
        <v>-</v>
      </c>
      <c r="O48" s="12" t="str">
        <f t="shared" si="31"/>
        <v>-</v>
      </c>
      <c r="P48" s="12" t="str">
        <f t="shared" si="32"/>
        <v>-</v>
      </c>
      <c r="Q48" s="12" t="str">
        <f t="shared" si="33"/>
        <v>-</v>
      </c>
      <c r="R48" s="12" t="str">
        <f t="shared" si="34"/>
        <v>-</v>
      </c>
      <c r="S48" s="12" t="str">
        <f t="shared" si="35"/>
        <v>-</v>
      </c>
      <c r="T48" s="12" t="str">
        <f t="shared" si="36"/>
        <v>-</v>
      </c>
      <c r="U48" s="12" t="str">
        <f t="shared" si="37"/>
        <v>-</v>
      </c>
      <c r="V48" s="12" t="str">
        <f t="shared" si="38"/>
        <v>-</v>
      </c>
      <c r="W48" s="12" t="str">
        <f t="shared" si="39"/>
        <v>-</v>
      </c>
      <c r="X48" s="12" t="str">
        <f t="shared" si="40"/>
        <v>-</v>
      </c>
      <c r="Y48" s="12" t="str">
        <f t="shared" si="41"/>
        <v>-</v>
      </c>
      <c r="Z48" s="12" t="str">
        <f t="shared" si="42"/>
        <v>-</v>
      </c>
      <c r="AA48" s="12" t="str">
        <f t="shared" si="43"/>
        <v>-</v>
      </c>
      <c r="AB48" s="12" t="str">
        <f t="shared" si="44"/>
        <v>-</v>
      </c>
      <c r="AC48" s="12" t="str">
        <f t="shared" si="45"/>
        <v>-</v>
      </c>
      <c r="AD48" s="12" t="str">
        <f t="shared" si="46"/>
        <v>-</v>
      </c>
      <c r="AE48" s="12" t="str">
        <f t="shared" si="47"/>
        <v>-</v>
      </c>
      <c r="AF48" s="12" t="str">
        <f t="shared" si="48"/>
        <v>-</v>
      </c>
      <c r="AG48" s="12" t="str">
        <f t="shared" si="49"/>
        <v>-</v>
      </c>
      <c r="AJ48" s="144">
        <f t="shared" ca="1" si="50"/>
        <v>0</v>
      </c>
      <c r="AK48" s="12">
        <f t="shared" ca="1" si="51"/>
        <v>0</v>
      </c>
      <c r="AL48" s="12">
        <f t="shared" ca="1" si="52"/>
        <v>0</v>
      </c>
      <c r="AN48" s="28"/>
      <c r="AO48" s="42" t="s">
        <v>165</v>
      </c>
      <c r="AP48"/>
      <c r="AQ48" s="158" t="s">
        <v>60</v>
      </c>
      <c r="AR48" s="149">
        <v>0</v>
      </c>
      <c r="AS48" s="149">
        <v>0</v>
      </c>
      <c r="AT48" s="155" t="s">
        <v>384</v>
      </c>
      <c r="AU48" s="141"/>
      <c r="AV48" s="141"/>
      <c r="AW48" s="141"/>
      <c r="AX48" s="141"/>
      <c r="AY48" s="195"/>
      <c r="AZ48" s="195"/>
      <c r="BA48" s="141"/>
      <c r="BB48" s="141"/>
      <c r="BC48" s="141"/>
      <c r="BD48" s="141"/>
      <c r="BE48" s="141"/>
      <c r="BF48" s="141"/>
      <c r="BG48" s="141"/>
      <c r="BH48" s="141"/>
      <c r="BI48" s="141"/>
      <c r="BJ48" s="141"/>
      <c r="BK48" s="141"/>
      <c r="BL48" s="141"/>
      <c r="BM48" s="141"/>
      <c r="BN48" s="141"/>
      <c r="BO48" s="141"/>
      <c r="BP48" s="141"/>
      <c r="BQ48" s="141"/>
      <c r="BR48" s="141"/>
      <c r="BS48" s="141"/>
      <c r="BT48" s="141"/>
      <c r="BU48" s="141"/>
      <c r="BV48" s="141"/>
      <c r="BW48" s="141"/>
      <c r="BX48" s="141"/>
      <c r="BY48" s="141"/>
    </row>
    <row r="49" spans="1:77" ht="15.75" customHeight="1" x14ac:dyDescent="0.2">
      <c r="A49" s="3" t="s">
        <v>193</v>
      </c>
      <c r="C49" s="12">
        <f t="shared" si="19"/>
        <v>1</v>
      </c>
      <c r="D49" s="12" t="str">
        <f t="shared" si="20"/>
        <v>-</v>
      </c>
      <c r="E49" s="12" t="str">
        <f t="shared" si="21"/>
        <v>-</v>
      </c>
      <c r="F49" s="12" t="str">
        <f t="shared" si="22"/>
        <v>-</v>
      </c>
      <c r="G49" s="12" t="str">
        <f t="shared" si="23"/>
        <v>-</v>
      </c>
      <c r="H49" s="12" t="str">
        <f t="shared" si="24"/>
        <v>-</v>
      </c>
      <c r="I49" s="12" t="str">
        <f t="shared" si="25"/>
        <v>-</v>
      </c>
      <c r="J49" s="12" t="str">
        <f t="shared" si="26"/>
        <v>-</v>
      </c>
      <c r="K49" s="12" t="str">
        <f t="shared" si="27"/>
        <v>-</v>
      </c>
      <c r="L49" s="12" t="str">
        <f t="shared" si="28"/>
        <v>-</v>
      </c>
      <c r="M49" s="12" t="str">
        <f t="shared" si="29"/>
        <v>-</v>
      </c>
      <c r="N49" s="12" t="str">
        <f t="shared" si="30"/>
        <v>-</v>
      </c>
      <c r="O49" s="12" t="str">
        <f t="shared" si="31"/>
        <v>-</v>
      </c>
      <c r="P49" s="12" t="str">
        <f t="shared" si="32"/>
        <v>-</v>
      </c>
      <c r="Q49" s="12" t="str">
        <f t="shared" si="33"/>
        <v>-</v>
      </c>
      <c r="R49" s="12" t="str">
        <f t="shared" si="34"/>
        <v>-</v>
      </c>
      <c r="S49" s="12" t="str">
        <f t="shared" si="35"/>
        <v>-</v>
      </c>
      <c r="T49" s="12" t="str">
        <f t="shared" si="36"/>
        <v>-</v>
      </c>
      <c r="U49" s="12" t="str">
        <f t="shared" si="37"/>
        <v>-</v>
      </c>
      <c r="V49" s="12" t="str">
        <f t="shared" si="38"/>
        <v>-</v>
      </c>
      <c r="W49" s="12" t="str">
        <f t="shared" si="39"/>
        <v>-</v>
      </c>
      <c r="X49" s="12" t="str">
        <f t="shared" si="40"/>
        <v>-</v>
      </c>
      <c r="Y49" s="12" t="str">
        <f t="shared" si="41"/>
        <v>-</v>
      </c>
      <c r="Z49" s="12" t="str">
        <f t="shared" si="42"/>
        <v>-</v>
      </c>
      <c r="AA49" s="12" t="str">
        <f t="shared" si="43"/>
        <v>-</v>
      </c>
      <c r="AB49" s="12" t="str">
        <f t="shared" si="44"/>
        <v>-</v>
      </c>
      <c r="AC49" s="12" t="str">
        <f t="shared" si="45"/>
        <v>-</v>
      </c>
      <c r="AD49" s="12" t="str">
        <f t="shared" si="46"/>
        <v>-</v>
      </c>
      <c r="AE49" s="12" t="str">
        <f t="shared" si="47"/>
        <v>-</v>
      </c>
      <c r="AF49" s="12" t="str">
        <f t="shared" si="48"/>
        <v>-</v>
      </c>
      <c r="AG49" s="12" t="str">
        <f t="shared" si="49"/>
        <v>-</v>
      </c>
      <c r="AJ49" s="144">
        <f t="shared" ca="1" si="50"/>
        <v>0</v>
      </c>
      <c r="AK49" s="12">
        <f t="shared" ca="1" si="51"/>
        <v>0</v>
      </c>
      <c r="AL49" s="12">
        <f t="shared" ca="1" si="52"/>
        <v>0</v>
      </c>
      <c r="AN49" s="28"/>
      <c r="AO49" s="42" t="s">
        <v>447</v>
      </c>
      <c r="AP49"/>
      <c r="AQ49" s="158" t="s">
        <v>60</v>
      </c>
      <c r="AR49" s="149">
        <v>0</v>
      </c>
      <c r="AS49" s="149">
        <v>0</v>
      </c>
      <c r="AT49" s="155" t="s">
        <v>384</v>
      </c>
      <c r="AU49" s="141"/>
      <c r="AV49" s="141"/>
      <c r="AW49" s="141"/>
      <c r="AX49" s="141"/>
      <c r="AY49" s="195"/>
      <c r="AZ49" s="195"/>
      <c r="BA49" s="141"/>
      <c r="BB49" s="141"/>
      <c r="BC49" s="141"/>
      <c r="BD49" s="141"/>
      <c r="BE49" s="141"/>
      <c r="BF49" s="141"/>
      <c r="BG49" s="141"/>
      <c r="BH49" s="141"/>
      <c r="BI49" s="141"/>
      <c r="BJ49" s="141"/>
      <c r="BK49" s="141"/>
      <c r="BL49" s="141"/>
      <c r="BM49" s="141"/>
      <c r="BN49" s="141"/>
      <c r="BO49" s="141"/>
      <c r="BP49" s="141"/>
      <c r="BQ49" s="141"/>
      <c r="BR49" s="141"/>
      <c r="BS49" s="141"/>
      <c r="BT49" s="141"/>
      <c r="BU49" s="141"/>
      <c r="BV49" s="141"/>
      <c r="BW49" s="141"/>
      <c r="BX49" s="141"/>
      <c r="BY49" s="141"/>
    </row>
    <row r="50" spans="1:77" ht="15.75" customHeight="1" x14ac:dyDescent="0.2">
      <c r="A50" s="3" t="s">
        <v>194</v>
      </c>
      <c r="C50" s="12">
        <f t="shared" si="19"/>
        <v>1</v>
      </c>
      <c r="D50" s="12" t="str">
        <f t="shared" si="20"/>
        <v>-</v>
      </c>
      <c r="E50" s="12" t="str">
        <f t="shared" si="21"/>
        <v>-</v>
      </c>
      <c r="F50" s="12" t="str">
        <f t="shared" si="22"/>
        <v>-</v>
      </c>
      <c r="G50" s="12" t="str">
        <f t="shared" si="23"/>
        <v>-</v>
      </c>
      <c r="H50" s="12" t="str">
        <f t="shared" si="24"/>
        <v>-</v>
      </c>
      <c r="I50" s="12" t="str">
        <f t="shared" si="25"/>
        <v>-</v>
      </c>
      <c r="J50" s="12" t="str">
        <f t="shared" si="26"/>
        <v>-</v>
      </c>
      <c r="K50" s="12" t="str">
        <f t="shared" si="27"/>
        <v>-</v>
      </c>
      <c r="L50" s="12" t="str">
        <f t="shared" si="28"/>
        <v>-</v>
      </c>
      <c r="M50" s="12" t="str">
        <f t="shared" si="29"/>
        <v>-</v>
      </c>
      <c r="N50" s="12" t="str">
        <f t="shared" si="30"/>
        <v>-</v>
      </c>
      <c r="O50" s="12" t="str">
        <f t="shared" si="31"/>
        <v>-</v>
      </c>
      <c r="P50" s="12" t="str">
        <f t="shared" si="32"/>
        <v>-</v>
      </c>
      <c r="Q50" s="12" t="str">
        <f t="shared" si="33"/>
        <v>-</v>
      </c>
      <c r="R50" s="12" t="str">
        <f t="shared" si="34"/>
        <v>-</v>
      </c>
      <c r="S50" s="12" t="str">
        <f t="shared" si="35"/>
        <v>-</v>
      </c>
      <c r="T50" s="12" t="str">
        <f t="shared" si="36"/>
        <v>-</v>
      </c>
      <c r="U50" s="12" t="str">
        <f t="shared" si="37"/>
        <v>-</v>
      </c>
      <c r="V50" s="12" t="str">
        <f t="shared" si="38"/>
        <v>-</v>
      </c>
      <c r="W50" s="12" t="str">
        <f t="shared" si="39"/>
        <v>-</v>
      </c>
      <c r="X50" s="12" t="str">
        <f t="shared" si="40"/>
        <v>-</v>
      </c>
      <c r="Y50" s="12" t="str">
        <f t="shared" si="41"/>
        <v>-</v>
      </c>
      <c r="Z50" s="12" t="str">
        <f t="shared" si="42"/>
        <v>-</v>
      </c>
      <c r="AA50" s="12" t="str">
        <f t="shared" si="43"/>
        <v>-</v>
      </c>
      <c r="AB50" s="12" t="str">
        <f t="shared" si="44"/>
        <v>-</v>
      </c>
      <c r="AC50" s="12" t="str">
        <f t="shared" si="45"/>
        <v>-</v>
      </c>
      <c r="AD50" s="12" t="str">
        <f t="shared" si="46"/>
        <v>-</v>
      </c>
      <c r="AE50" s="12" t="str">
        <f t="shared" si="47"/>
        <v>-</v>
      </c>
      <c r="AF50" s="12" t="str">
        <f t="shared" si="48"/>
        <v>-</v>
      </c>
      <c r="AG50" s="12" t="str">
        <f t="shared" si="49"/>
        <v>-</v>
      </c>
      <c r="AJ50" s="144">
        <f t="shared" ca="1" si="50"/>
        <v>0</v>
      </c>
      <c r="AK50" s="12">
        <f t="shared" ca="1" si="51"/>
        <v>0</v>
      </c>
      <c r="AL50" s="12">
        <f t="shared" ca="1" si="52"/>
        <v>0</v>
      </c>
      <c r="AN50" s="28"/>
      <c r="AO50" s="42" t="s">
        <v>448</v>
      </c>
      <c r="AP50"/>
      <c r="AQ50" s="158" t="s">
        <v>60</v>
      </c>
      <c r="AR50" s="149">
        <v>0</v>
      </c>
      <c r="AS50" s="149">
        <v>0</v>
      </c>
      <c r="AT50" s="155" t="s">
        <v>384</v>
      </c>
      <c r="AU50" s="141"/>
      <c r="AV50" s="141"/>
      <c r="AW50" s="141"/>
      <c r="AX50" s="141"/>
      <c r="AY50" s="141"/>
      <c r="AZ50" s="141"/>
      <c r="BA50" s="141"/>
      <c r="BB50" s="141"/>
      <c r="BC50" s="141"/>
      <c r="BD50" s="141"/>
      <c r="BE50" s="141"/>
      <c r="BF50" s="141"/>
      <c r="BG50" s="141"/>
      <c r="BH50" s="141"/>
      <c r="BI50" s="141"/>
      <c r="BJ50" s="141"/>
      <c r="BK50" s="141"/>
      <c r="BL50" s="141"/>
      <c r="BM50" s="141"/>
      <c r="BN50" s="141"/>
      <c r="BO50" s="141"/>
      <c r="BP50" s="141"/>
      <c r="BQ50" s="141"/>
      <c r="BR50" s="141"/>
      <c r="BS50" s="141"/>
      <c r="BT50" s="141"/>
      <c r="BU50" s="141"/>
      <c r="BV50" s="141"/>
      <c r="BW50" s="141"/>
      <c r="BX50" s="141"/>
      <c r="BY50" s="141"/>
    </row>
    <row r="51" spans="1:77" ht="15.75" customHeight="1" x14ac:dyDescent="0.2">
      <c r="A51" s="3" t="s">
        <v>195</v>
      </c>
      <c r="C51" s="12">
        <f t="shared" si="19"/>
        <v>1</v>
      </c>
      <c r="D51" s="12" t="str">
        <f t="shared" si="20"/>
        <v>-</v>
      </c>
      <c r="E51" s="12" t="str">
        <f t="shared" si="21"/>
        <v>-</v>
      </c>
      <c r="F51" s="12" t="str">
        <f t="shared" si="22"/>
        <v>-</v>
      </c>
      <c r="G51" s="12" t="str">
        <f t="shared" si="23"/>
        <v>-</v>
      </c>
      <c r="H51" s="12" t="str">
        <f t="shared" si="24"/>
        <v>-</v>
      </c>
      <c r="I51" s="12" t="str">
        <f t="shared" si="25"/>
        <v>-</v>
      </c>
      <c r="J51" s="12" t="str">
        <f t="shared" si="26"/>
        <v>-</v>
      </c>
      <c r="K51" s="12" t="str">
        <f t="shared" si="27"/>
        <v>-</v>
      </c>
      <c r="L51" s="12" t="str">
        <f t="shared" si="28"/>
        <v>-</v>
      </c>
      <c r="M51" s="12" t="str">
        <f t="shared" si="29"/>
        <v>-</v>
      </c>
      <c r="N51" s="12" t="str">
        <f t="shared" si="30"/>
        <v>-</v>
      </c>
      <c r="O51" s="12" t="str">
        <f t="shared" si="31"/>
        <v>-</v>
      </c>
      <c r="P51" s="12" t="str">
        <f t="shared" si="32"/>
        <v>-</v>
      </c>
      <c r="Q51" s="12" t="str">
        <f t="shared" si="33"/>
        <v>-</v>
      </c>
      <c r="R51" s="12" t="str">
        <f t="shared" si="34"/>
        <v>-</v>
      </c>
      <c r="S51" s="12" t="str">
        <f t="shared" si="35"/>
        <v>-</v>
      </c>
      <c r="T51" s="12" t="str">
        <f t="shared" si="36"/>
        <v>-</v>
      </c>
      <c r="U51" s="12" t="str">
        <f t="shared" si="37"/>
        <v>-</v>
      </c>
      <c r="V51" s="12" t="str">
        <f t="shared" si="38"/>
        <v>-</v>
      </c>
      <c r="W51" s="12" t="str">
        <f t="shared" si="39"/>
        <v>-</v>
      </c>
      <c r="X51" s="12" t="str">
        <f t="shared" si="40"/>
        <v>-</v>
      </c>
      <c r="Y51" s="12" t="str">
        <f t="shared" si="41"/>
        <v>-</v>
      </c>
      <c r="Z51" s="12" t="str">
        <f t="shared" si="42"/>
        <v>-</v>
      </c>
      <c r="AA51" s="12" t="str">
        <f t="shared" si="43"/>
        <v>-</v>
      </c>
      <c r="AB51" s="12" t="str">
        <f t="shared" si="44"/>
        <v>-</v>
      </c>
      <c r="AC51" s="12" t="str">
        <f t="shared" si="45"/>
        <v>-</v>
      </c>
      <c r="AD51" s="12" t="str">
        <f t="shared" si="46"/>
        <v>-</v>
      </c>
      <c r="AE51" s="12" t="str">
        <f t="shared" si="47"/>
        <v>-</v>
      </c>
      <c r="AF51" s="12" t="str">
        <f t="shared" si="48"/>
        <v>-</v>
      </c>
      <c r="AG51" s="12" t="str">
        <f t="shared" si="49"/>
        <v>-</v>
      </c>
      <c r="AJ51" s="144">
        <f t="shared" ca="1" si="50"/>
        <v>0</v>
      </c>
      <c r="AK51" s="12">
        <f t="shared" ca="1" si="51"/>
        <v>0</v>
      </c>
      <c r="AL51" s="12">
        <f t="shared" ca="1" si="52"/>
        <v>0</v>
      </c>
      <c r="AN51" s="28"/>
      <c r="AO51" s="42" t="s">
        <v>449</v>
      </c>
      <c r="AP51"/>
      <c r="AQ51" s="158" t="s">
        <v>60</v>
      </c>
      <c r="AR51" s="149">
        <v>0</v>
      </c>
      <c r="AS51" s="149">
        <v>0</v>
      </c>
      <c r="AT51" s="155" t="s">
        <v>384</v>
      </c>
      <c r="AU51" s="141"/>
      <c r="AV51" s="141"/>
      <c r="AW51" s="141"/>
      <c r="AX51" s="141"/>
      <c r="AY51" s="141"/>
      <c r="AZ51" s="141"/>
      <c r="BA51" s="141"/>
      <c r="BB51" s="141"/>
      <c r="BC51" s="141"/>
      <c r="BD51" s="141"/>
      <c r="BE51" s="141"/>
      <c r="BF51" s="141"/>
      <c r="BG51" s="141"/>
      <c r="BH51" s="141"/>
      <c r="BI51" s="141"/>
      <c r="BJ51" s="141"/>
      <c r="BK51" s="141"/>
      <c r="BL51" s="141"/>
      <c r="BM51" s="141"/>
      <c r="BN51" s="141"/>
      <c r="BO51" s="141"/>
      <c r="BP51" s="141"/>
      <c r="BQ51" s="141"/>
      <c r="BR51" s="141"/>
      <c r="BS51" s="141"/>
      <c r="BT51" s="141"/>
      <c r="BU51" s="141"/>
      <c r="BV51" s="141"/>
      <c r="BW51" s="141"/>
      <c r="BX51" s="141"/>
      <c r="BY51" s="141"/>
    </row>
    <row r="52" spans="1:77" ht="15.75" customHeight="1" x14ac:dyDescent="0.2">
      <c r="A52" s="3" t="s">
        <v>196</v>
      </c>
      <c r="C52" s="12">
        <f t="shared" si="19"/>
        <v>1</v>
      </c>
      <c r="D52" s="12" t="str">
        <f t="shared" si="20"/>
        <v>-</v>
      </c>
      <c r="E52" s="12" t="str">
        <f t="shared" si="21"/>
        <v>-</v>
      </c>
      <c r="F52" s="12" t="str">
        <f t="shared" si="22"/>
        <v>-</v>
      </c>
      <c r="G52" s="12" t="str">
        <f t="shared" si="23"/>
        <v>-</v>
      </c>
      <c r="H52" s="12" t="str">
        <f t="shared" si="24"/>
        <v>-</v>
      </c>
      <c r="I52" s="12" t="str">
        <f t="shared" si="25"/>
        <v>-</v>
      </c>
      <c r="J52" s="12" t="str">
        <f t="shared" si="26"/>
        <v>-</v>
      </c>
      <c r="K52" s="12" t="str">
        <f t="shared" si="27"/>
        <v>-</v>
      </c>
      <c r="L52" s="12" t="str">
        <f t="shared" si="28"/>
        <v>-</v>
      </c>
      <c r="M52" s="12" t="str">
        <f t="shared" si="29"/>
        <v>-</v>
      </c>
      <c r="N52" s="12" t="str">
        <f t="shared" si="30"/>
        <v>-</v>
      </c>
      <c r="O52" s="12" t="str">
        <f t="shared" si="31"/>
        <v>-</v>
      </c>
      <c r="P52" s="12" t="str">
        <f t="shared" si="32"/>
        <v>-</v>
      </c>
      <c r="Q52" s="12" t="str">
        <f t="shared" si="33"/>
        <v>-</v>
      </c>
      <c r="R52" s="12" t="str">
        <f t="shared" si="34"/>
        <v>-</v>
      </c>
      <c r="S52" s="12" t="str">
        <f t="shared" si="35"/>
        <v>-</v>
      </c>
      <c r="T52" s="12" t="str">
        <f t="shared" si="36"/>
        <v>-</v>
      </c>
      <c r="U52" s="12" t="str">
        <f t="shared" si="37"/>
        <v>-</v>
      </c>
      <c r="V52" s="12" t="str">
        <f t="shared" si="38"/>
        <v>-</v>
      </c>
      <c r="W52" s="12" t="str">
        <f t="shared" si="39"/>
        <v>-</v>
      </c>
      <c r="X52" s="12" t="str">
        <f t="shared" si="40"/>
        <v>-</v>
      </c>
      <c r="Y52" s="12" t="str">
        <f t="shared" si="41"/>
        <v>-</v>
      </c>
      <c r="Z52" s="12" t="str">
        <f t="shared" si="42"/>
        <v>-</v>
      </c>
      <c r="AA52" s="12" t="str">
        <f t="shared" si="43"/>
        <v>-</v>
      </c>
      <c r="AB52" s="12" t="str">
        <f t="shared" si="44"/>
        <v>-</v>
      </c>
      <c r="AC52" s="12" t="str">
        <f t="shared" si="45"/>
        <v>-</v>
      </c>
      <c r="AD52" s="12" t="str">
        <f t="shared" si="46"/>
        <v>-</v>
      </c>
      <c r="AE52" s="12" t="str">
        <f t="shared" si="47"/>
        <v>-</v>
      </c>
      <c r="AF52" s="12" t="str">
        <f t="shared" si="48"/>
        <v>-</v>
      </c>
      <c r="AG52" s="12" t="str">
        <f t="shared" si="49"/>
        <v>-</v>
      </c>
      <c r="AJ52" s="144">
        <f t="shared" ca="1" si="50"/>
        <v>0</v>
      </c>
      <c r="AK52" s="12">
        <f t="shared" ca="1" si="51"/>
        <v>0</v>
      </c>
      <c r="AL52" s="12">
        <f t="shared" ca="1" si="52"/>
        <v>0</v>
      </c>
      <c r="AN52" s="28"/>
      <c r="AO52" s="42" t="s">
        <v>450</v>
      </c>
      <c r="AP52"/>
      <c r="AQ52" s="158" t="s">
        <v>60</v>
      </c>
      <c r="AR52" s="149">
        <v>0</v>
      </c>
      <c r="AS52" s="149">
        <v>0</v>
      </c>
      <c r="AT52" s="155" t="s">
        <v>384</v>
      </c>
      <c r="AU52" s="141"/>
      <c r="AV52" s="141"/>
      <c r="AW52" s="141"/>
      <c r="AX52" s="141"/>
      <c r="AY52" s="141"/>
      <c r="AZ52" s="141"/>
      <c r="BA52" s="141"/>
      <c r="BB52" s="141"/>
      <c r="BC52" s="141"/>
      <c r="BD52" s="141"/>
      <c r="BE52" s="141"/>
      <c r="BF52" s="141"/>
      <c r="BG52" s="141"/>
      <c r="BH52" s="141"/>
      <c r="BI52" s="141"/>
      <c r="BJ52" s="141"/>
      <c r="BK52" s="141"/>
      <c r="BL52" s="141"/>
      <c r="BM52" s="141"/>
      <c r="BN52" s="141"/>
      <c r="BO52" s="141"/>
      <c r="BP52" s="141"/>
      <c r="BQ52" s="141"/>
      <c r="BR52" s="141"/>
      <c r="BS52" s="141"/>
      <c r="BT52" s="141"/>
      <c r="BU52" s="141"/>
      <c r="BV52" s="141"/>
      <c r="BW52" s="141"/>
      <c r="BX52" s="141"/>
      <c r="BY52" s="141"/>
    </row>
    <row r="53" spans="1:77" ht="15.75" customHeight="1" x14ac:dyDescent="0.2">
      <c r="A53" s="3" t="s">
        <v>197</v>
      </c>
      <c r="C53" s="12">
        <f t="shared" si="19"/>
        <v>1</v>
      </c>
      <c r="D53" s="12" t="str">
        <f t="shared" si="20"/>
        <v>-</v>
      </c>
      <c r="E53" s="12" t="str">
        <f t="shared" si="21"/>
        <v>-</v>
      </c>
      <c r="F53" s="12" t="str">
        <f t="shared" si="22"/>
        <v>-</v>
      </c>
      <c r="G53" s="12" t="str">
        <f t="shared" si="23"/>
        <v>-</v>
      </c>
      <c r="H53" s="12" t="str">
        <f t="shared" si="24"/>
        <v>-</v>
      </c>
      <c r="I53" s="12" t="str">
        <f t="shared" si="25"/>
        <v>-</v>
      </c>
      <c r="J53" s="12" t="str">
        <f t="shared" si="26"/>
        <v>-</v>
      </c>
      <c r="K53" s="12" t="str">
        <f t="shared" si="27"/>
        <v>-</v>
      </c>
      <c r="L53" s="12" t="str">
        <f t="shared" si="28"/>
        <v>-</v>
      </c>
      <c r="M53" s="12" t="str">
        <f t="shared" si="29"/>
        <v>-</v>
      </c>
      <c r="N53" s="12" t="str">
        <f t="shared" si="30"/>
        <v>-</v>
      </c>
      <c r="O53" s="12" t="str">
        <f t="shared" si="31"/>
        <v>-</v>
      </c>
      <c r="P53" s="12" t="str">
        <f t="shared" si="32"/>
        <v>-</v>
      </c>
      <c r="Q53" s="12" t="str">
        <f t="shared" si="33"/>
        <v>-</v>
      </c>
      <c r="R53" s="12" t="str">
        <f t="shared" si="34"/>
        <v>-</v>
      </c>
      <c r="S53" s="12" t="str">
        <f t="shared" si="35"/>
        <v>-</v>
      </c>
      <c r="T53" s="12" t="str">
        <f t="shared" si="36"/>
        <v>-</v>
      </c>
      <c r="U53" s="12" t="str">
        <f t="shared" si="37"/>
        <v>-</v>
      </c>
      <c r="V53" s="12" t="str">
        <f t="shared" si="38"/>
        <v>-</v>
      </c>
      <c r="W53" s="12" t="str">
        <f t="shared" si="39"/>
        <v>-</v>
      </c>
      <c r="X53" s="12" t="str">
        <f t="shared" si="40"/>
        <v>-</v>
      </c>
      <c r="Y53" s="12" t="str">
        <f t="shared" si="41"/>
        <v>-</v>
      </c>
      <c r="Z53" s="12" t="str">
        <f t="shared" si="42"/>
        <v>-</v>
      </c>
      <c r="AA53" s="12" t="str">
        <f t="shared" si="43"/>
        <v>-</v>
      </c>
      <c r="AB53" s="12" t="str">
        <f t="shared" si="44"/>
        <v>-</v>
      </c>
      <c r="AC53" s="12" t="str">
        <f t="shared" si="45"/>
        <v>-</v>
      </c>
      <c r="AD53" s="12" t="str">
        <f t="shared" si="46"/>
        <v>-</v>
      </c>
      <c r="AE53" s="12" t="str">
        <f t="shared" si="47"/>
        <v>-</v>
      </c>
      <c r="AF53" s="12" t="str">
        <f t="shared" si="48"/>
        <v>-</v>
      </c>
      <c r="AG53" s="12" t="str">
        <f t="shared" si="49"/>
        <v>-</v>
      </c>
      <c r="AJ53" s="144">
        <f t="shared" ca="1" si="50"/>
        <v>0</v>
      </c>
      <c r="AK53" s="12">
        <f t="shared" ca="1" si="51"/>
        <v>0</v>
      </c>
      <c r="AL53" s="12">
        <f t="shared" ca="1" si="52"/>
        <v>0</v>
      </c>
      <c r="AN53" s="28"/>
      <c r="AO53" s="42" t="s">
        <v>451</v>
      </c>
      <c r="AP53"/>
      <c r="AQ53" s="158" t="s">
        <v>60</v>
      </c>
      <c r="AR53" s="149">
        <v>0</v>
      </c>
      <c r="AS53" s="149">
        <v>0</v>
      </c>
      <c r="AT53" s="155" t="s">
        <v>384</v>
      </c>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1"/>
      <c r="BQ53" s="141"/>
      <c r="BR53" s="141"/>
      <c r="BS53" s="141"/>
      <c r="BT53" s="141"/>
      <c r="BU53" s="141"/>
      <c r="BV53" s="141"/>
      <c r="BW53" s="141"/>
      <c r="BX53" s="141"/>
      <c r="BY53" s="141"/>
    </row>
    <row r="54" spans="1:77" ht="15.75" customHeight="1" x14ac:dyDescent="0.2">
      <c r="A54" s="3" t="s">
        <v>487</v>
      </c>
      <c r="C54" s="12">
        <f t="shared" si="19"/>
        <v>1</v>
      </c>
      <c r="D54" s="12" t="str">
        <f t="shared" si="20"/>
        <v>-</v>
      </c>
      <c r="E54" s="12" t="str">
        <f t="shared" si="21"/>
        <v>-</v>
      </c>
      <c r="F54" s="12" t="str">
        <f t="shared" si="22"/>
        <v>-</v>
      </c>
      <c r="G54" s="12" t="str">
        <f t="shared" si="23"/>
        <v>-</v>
      </c>
      <c r="H54" s="12" t="str">
        <f t="shared" si="24"/>
        <v>-</v>
      </c>
      <c r="I54" s="12" t="str">
        <f t="shared" si="25"/>
        <v>-</v>
      </c>
      <c r="J54" s="12" t="str">
        <f t="shared" si="26"/>
        <v>-</v>
      </c>
      <c r="K54" s="12" t="str">
        <f t="shared" si="27"/>
        <v>-</v>
      </c>
      <c r="L54" s="12" t="str">
        <f t="shared" si="28"/>
        <v>-</v>
      </c>
      <c r="M54" s="12" t="str">
        <f t="shared" si="29"/>
        <v>-</v>
      </c>
      <c r="N54" s="12" t="str">
        <f t="shared" si="30"/>
        <v>-</v>
      </c>
      <c r="O54" s="12" t="str">
        <f t="shared" si="31"/>
        <v>-</v>
      </c>
      <c r="P54" s="12" t="str">
        <f t="shared" si="32"/>
        <v>-</v>
      </c>
      <c r="Q54" s="12" t="str">
        <f t="shared" si="33"/>
        <v>-</v>
      </c>
      <c r="R54" s="12" t="str">
        <f t="shared" si="34"/>
        <v>-</v>
      </c>
      <c r="S54" s="12" t="str">
        <f t="shared" si="35"/>
        <v>-</v>
      </c>
      <c r="T54" s="12" t="str">
        <f t="shared" si="36"/>
        <v>-</v>
      </c>
      <c r="U54" s="12" t="str">
        <f t="shared" si="37"/>
        <v>-</v>
      </c>
      <c r="V54" s="12" t="str">
        <f t="shared" si="38"/>
        <v>-</v>
      </c>
      <c r="W54" s="12" t="str">
        <f t="shared" si="39"/>
        <v>-</v>
      </c>
      <c r="X54" s="12" t="str">
        <f t="shared" si="40"/>
        <v>-</v>
      </c>
      <c r="Y54" s="12" t="str">
        <f t="shared" si="41"/>
        <v>-</v>
      </c>
      <c r="Z54" s="12" t="str">
        <f t="shared" si="42"/>
        <v>-</v>
      </c>
      <c r="AA54" s="12" t="str">
        <f t="shared" si="43"/>
        <v>-</v>
      </c>
      <c r="AB54" s="12" t="str">
        <f t="shared" si="44"/>
        <v>-</v>
      </c>
      <c r="AC54" s="12" t="str">
        <f t="shared" si="45"/>
        <v>-</v>
      </c>
      <c r="AD54" s="12" t="str">
        <f t="shared" si="46"/>
        <v>-</v>
      </c>
      <c r="AE54" s="12" t="str">
        <f t="shared" si="47"/>
        <v>-</v>
      </c>
      <c r="AF54" s="12" t="str">
        <f t="shared" si="48"/>
        <v>-</v>
      </c>
      <c r="AG54" s="12" t="str">
        <f t="shared" si="49"/>
        <v>-</v>
      </c>
      <c r="AJ54" s="144">
        <f t="shared" ca="1" si="50"/>
        <v>0</v>
      </c>
      <c r="AK54" s="12">
        <f t="shared" ca="1" si="51"/>
        <v>0</v>
      </c>
      <c r="AL54" s="12">
        <f t="shared" ca="1" si="52"/>
        <v>0</v>
      </c>
      <c r="AN54" s="28"/>
      <c r="AO54" s="42" t="s">
        <v>452</v>
      </c>
      <c r="AP54"/>
      <c r="AQ54" s="158" t="s">
        <v>60</v>
      </c>
      <c r="AR54" s="149">
        <v>0</v>
      </c>
      <c r="AS54" s="149">
        <v>0</v>
      </c>
      <c r="AT54" s="155" t="s">
        <v>384</v>
      </c>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1"/>
      <c r="BS54" s="141"/>
      <c r="BT54" s="141"/>
      <c r="BU54" s="141"/>
      <c r="BV54" s="141"/>
      <c r="BW54" s="141"/>
      <c r="BX54" s="141"/>
      <c r="BY54" s="141"/>
    </row>
    <row r="55" spans="1:77" ht="15.75" customHeight="1" x14ac:dyDescent="0.2">
      <c r="A55" s="3" t="s">
        <v>488</v>
      </c>
      <c r="C55" s="12">
        <f t="shared" si="19"/>
        <v>1</v>
      </c>
      <c r="D55" s="12" t="str">
        <f t="shared" si="20"/>
        <v>-</v>
      </c>
      <c r="E55" s="12" t="str">
        <f t="shared" si="21"/>
        <v>-</v>
      </c>
      <c r="F55" s="12" t="str">
        <f t="shared" si="22"/>
        <v>-</v>
      </c>
      <c r="G55" s="12" t="str">
        <f t="shared" si="23"/>
        <v>-</v>
      </c>
      <c r="H55" s="12" t="str">
        <f t="shared" si="24"/>
        <v>-</v>
      </c>
      <c r="I55" s="12" t="str">
        <f t="shared" si="25"/>
        <v>-</v>
      </c>
      <c r="J55" s="12" t="str">
        <f t="shared" si="26"/>
        <v>-</v>
      </c>
      <c r="K55" s="12" t="str">
        <f t="shared" si="27"/>
        <v>-</v>
      </c>
      <c r="L55" s="12" t="str">
        <f t="shared" si="28"/>
        <v>-</v>
      </c>
      <c r="M55" s="12" t="str">
        <f t="shared" si="29"/>
        <v>-</v>
      </c>
      <c r="N55" s="12" t="str">
        <f t="shared" si="30"/>
        <v>-</v>
      </c>
      <c r="O55" s="12" t="str">
        <f t="shared" si="31"/>
        <v>-</v>
      </c>
      <c r="P55" s="12" t="str">
        <f t="shared" si="32"/>
        <v>-</v>
      </c>
      <c r="Q55" s="12" t="str">
        <f t="shared" si="33"/>
        <v>-</v>
      </c>
      <c r="R55" s="12" t="str">
        <f t="shared" si="34"/>
        <v>-</v>
      </c>
      <c r="S55" s="12" t="str">
        <f t="shared" si="35"/>
        <v>-</v>
      </c>
      <c r="T55" s="12" t="str">
        <f t="shared" si="36"/>
        <v>-</v>
      </c>
      <c r="U55" s="12" t="str">
        <f t="shared" si="37"/>
        <v>-</v>
      </c>
      <c r="V55" s="12" t="str">
        <f t="shared" si="38"/>
        <v>-</v>
      </c>
      <c r="W55" s="12" t="str">
        <f t="shared" si="39"/>
        <v>-</v>
      </c>
      <c r="X55" s="12" t="str">
        <f t="shared" si="40"/>
        <v>-</v>
      </c>
      <c r="Y55" s="12" t="str">
        <f t="shared" si="41"/>
        <v>-</v>
      </c>
      <c r="Z55" s="12" t="str">
        <f t="shared" si="42"/>
        <v>-</v>
      </c>
      <c r="AA55" s="12" t="str">
        <f t="shared" si="43"/>
        <v>-</v>
      </c>
      <c r="AB55" s="12" t="str">
        <f t="shared" si="44"/>
        <v>-</v>
      </c>
      <c r="AC55" s="12" t="str">
        <f t="shared" si="45"/>
        <v>-</v>
      </c>
      <c r="AD55" s="12" t="str">
        <f t="shared" si="46"/>
        <v>-</v>
      </c>
      <c r="AE55" s="12" t="str">
        <f t="shared" si="47"/>
        <v>-</v>
      </c>
      <c r="AF55" s="12" t="str">
        <f t="shared" si="48"/>
        <v>-</v>
      </c>
      <c r="AG55" s="12" t="str">
        <f t="shared" si="49"/>
        <v>-</v>
      </c>
      <c r="AJ55" s="144">
        <f t="shared" ca="1" si="50"/>
        <v>0</v>
      </c>
      <c r="AK55" s="12">
        <f t="shared" ca="1" si="51"/>
        <v>0</v>
      </c>
      <c r="AL55" s="12">
        <f t="shared" ca="1" si="52"/>
        <v>0</v>
      </c>
      <c r="AN55" s="28"/>
      <c r="AO55" s="42" t="s">
        <v>453</v>
      </c>
      <c r="AP55"/>
      <c r="AQ55" s="158" t="s">
        <v>60</v>
      </c>
      <c r="AR55" s="149">
        <v>0</v>
      </c>
      <c r="AS55" s="149">
        <v>0</v>
      </c>
      <c r="AT55" s="155" t="s">
        <v>384</v>
      </c>
      <c r="AU55" s="141"/>
      <c r="AV55" s="141"/>
      <c r="AW55" s="141"/>
      <c r="AX55" s="141"/>
      <c r="AY55" s="141"/>
      <c r="AZ55" s="141"/>
      <c r="BA55" s="141"/>
      <c r="BB55" s="141"/>
      <c r="BC55" s="141"/>
      <c r="BD55" s="141"/>
      <c r="BE55" s="141"/>
      <c r="BF55" s="141"/>
      <c r="BG55" s="141"/>
      <c r="BH55" s="141"/>
      <c r="BI55" s="141"/>
      <c r="BJ55" s="141"/>
      <c r="BK55" s="141"/>
      <c r="BL55" s="141"/>
      <c r="BM55" s="141"/>
      <c r="BN55" s="141"/>
      <c r="BO55" s="141"/>
      <c r="BP55" s="141"/>
      <c r="BQ55" s="141"/>
      <c r="BR55" s="141"/>
      <c r="BS55" s="141"/>
      <c r="BT55" s="141"/>
      <c r="BU55" s="141"/>
      <c r="BV55" s="141"/>
      <c r="BW55" s="141"/>
      <c r="BX55" s="141"/>
      <c r="BY55" s="141"/>
    </row>
    <row r="56" spans="1:77" ht="15.75" customHeight="1" x14ac:dyDescent="0.2">
      <c r="A56" s="3" t="s">
        <v>489</v>
      </c>
      <c r="C56" s="12">
        <f t="shared" si="19"/>
        <v>1</v>
      </c>
      <c r="D56" s="12" t="str">
        <f t="shared" si="20"/>
        <v>-</v>
      </c>
      <c r="E56" s="12" t="str">
        <f t="shared" si="21"/>
        <v>-</v>
      </c>
      <c r="F56" s="12" t="str">
        <f t="shared" si="22"/>
        <v>-</v>
      </c>
      <c r="G56" s="12" t="str">
        <f t="shared" si="23"/>
        <v>-</v>
      </c>
      <c r="H56" s="12" t="str">
        <f t="shared" si="24"/>
        <v>-</v>
      </c>
      <c r="I56" s="12" t="str">
        <f t="shared" si="25"/>
        <v>-</v>
      </c>
      <c r="J56" s="12" t="str">
        <f t="shared" si="26"/>
        <v>-</v>
      </c>
      <c r="K56" s="12" t="str">
        <f t="shared" si="27"/>
        <v>-</v>
      </c>
      <c r="L56" s="12" t="str">
        <f t="shared" si="28"/>
        <v>-</v>
      </c>
      <c r="M56" s="12" t="str">
        <f t="shared" si="29"/>
        <v>-</v>
      </c>
      <c r="N56" s="12" t="str">
        <f t="shared" si="30"/>
        <v>-</v>
      </c>
      <c r="O56" s="12" t="str">
        <f t="shared" si="31"/>
        <v>-</v>
      </c>
      <c r="P56" s="12" t="str">
        <f t="shared" si="32"/>
        <v>-</v>
      </c>
      <c r="Q56" s="12" t="str">
        <f t="shared" si="33"/>
        <v>-</v>
      </c>
      <c r="R56" s="12" t="str">
        <f t="shared" si="34"/>
        <v>-</v>
      </c>
      <c r="S56" s="12" t="str">
        <f t="shared" si="35"/>
        <v>-</v>
      </c>
      <c r="T56" s="12" t="str">
        <f t="shared" si="36"/>
        <v>-</v>
      </c>
      <c r="U56" s="12" t="str">
        <f t="shared" si="37"/>
        <v>-</v>
      </c>
      <c r="V56" s="12" t="str">
        <f t="shared" si="38"/>
        <v>-</v>
      </c>
      <c r="W56" s="12" t="str">
        <f t="shared" si="39"/>
        <v>-</v>
      </c>
      <c r="X56" s="12" t="str">
        <f t="shared" si="40"/>
        <v>-</v>
      </c>
      <c r="Y56" s="12" t="str">
        <f t="shared" si="41"/>
        <v>-</v>
      </c>
      <c r="Z56" s="12" t="str">
        <f t="shared" si="42"/>
        <v>-</v>
      </c>
      <c r="AA56" s="12" t="str">
        <f t="shared" si="43"/>
        <v>-</v>
      </c>
      <c r="AB56" s="12" t="str">
        <f t="shared" si="44"/>
        <v>-</v>
      </c>
      <c r="AC56" s="12" t="str">
        <f t="shared" si="45"/>
        <v>-</v>
      </c>
      <c r="AD56" s="12" t="str">
        <f t="shared" si="46"/>
        <v>-</v>
      </c>
      <c r="AE56" s="12" t="str">
        <f t="shared" si="47"/>
        <v>-</v>
      </c>
      <c r="AF56" s="12" t="str">
        <f t="shared" si="48"/>
        <v>-</v>
      </c>
      <c r="AG56" s="12" t="str">
        <f t="shared" si="49"/>
        <v>-</v>
      </c>
      <c r="AJ56" s="144">
        <f t="shared" ca="1" si="50"/>
        <v>0</v>
      </c>
      <c r="AK56" s="12">
        <f t="shared" ca="1" si="51"/>
        <v>0</v>
      </c>
      <c r="AL56" s="12">
        <f t="shared" ca="1" si="52"/>
        <v>0</v>
      </c>
      <c r="AN56" s="28"/>
      <c r="AO56" s="42" t="s">
        <v>454</v>
      </c>
      <c r="AP56"/>
      <c r="AQ56" s="158" t="s">
        <v>60</v>
      </c>
      <c r="AR56" s="149">
        <v>0</v>
      </c>
      <c r="AS56" s="149">
        <v>0</v>
      </c>
      <c r="AT56" s="155" t="s">
        <v>384</v>
      </c>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c r="BX56" s="141"/>
      <c r="BY56" s="141"/>
    </row>
    <row r="57" spans="1:77" ht="15.75" customHeight="1" x14ac:dyDescent="0.2">
      <c r="A57" s="3" t="s">
        <v>490</v>
      </c>
      <c r="C57" s="12">
        <f t="shared" si="19"/>
        <v>1</v>
      </c>
      <c r="D57" s="12" t="str">
        <f t="shared" si="20"/>
        <v>-</v>
      </c>
      <c r="E57" s="12" t="str">
        <f t="shared" si="21"/>
        <v>-</v>
      </c>
      <c r="F57" s="12" t="str">
        <f t="shared" si="22"/>
        <v>-</v>
      </c>
      <c r="G57" s="12" t="str">
        <f t="shared" si="23"/>
        <v>-</v>
      </c>
      <c r="H57" s="12" t="str">
        <f t="shared" si="24"/>
        <v>-</v>
      </c>
      <c r="I57" s="12" t="str">
        <f t="shared" si="25"/>
        <v>-</v>
      </c>
      <c r="J57" s="12" t="str">
        <f t="shared" si="26"/>
        <v>-</v>
      </c>
      <c r="K57" s="12" t="str">
        <f t="shared" si="27"/>
        <v>-</v>
      </c>
      <c r="L57" s="12" t="str">
        <f t="shared" si="28"/>
        <v>-</v>
      </c>
      <c r="M57" s="12" t="str">
        <f t="shared" si="29"/>
        <v>-</v>
      </c>
      <c r="N57" s="12" t="str">
        <f t="shared" si="30"/>
        <v>-</v>
      </c>
      <c r="O57" s="12" t="str">
        <f t="shared" si="31"/>
        <v>-</v>
      </c>
      <c r="P57" s="12" t="str">
        <f t="shared" si="32"/>
        <v>-</v>
      </c>
      <c r="Q57" s="12" t="str">
        <f t="shared" si="33"/>
        <v>-</v>
      </c>
      <c r="R57" s="12" t="str">
        <f t="shared" si="34"/>
        <v>-</v>
      </c>
      <c r="S57" s="12" t="str">
        <f t="shared" si="35"/>
        <v>-</v>
      </c>
      <c r="T57" s="12" t="str">
        <f t="shared" si="36"/>
        <v>-</v>
      </c>
      <c r="U57" s="12" t="str">
        <f t="shared" si="37"/>
        <v>-</v>
      </c>
      <c r="V57" s="12" t="str">
        <f t="shared" si="38"/>
        <v>-</v>
      </c>
      <c r="W57" s="12" t="str">
        <f t="shared" si="39"/>
        <v>-</v>
      </c>
      <c r="X57" s="12" t="str">
        <f t="shared" si="40"/>
        <v>-</v>
      </c>
      <c r="Y57" s="12" t="str">
        <f t="shared" si="41"/>
        <v>-</v>
      </c>
      <c r="Z57" s="12" t="str">
        <f t="shared" si="42"/>
        <v>-</v>
      </c>
      <c r="AA57" s="12" t="str">
        <f t="shared" si="43"/>
        <v>-</v>
      </c>
      <c r="AB57" s="12" t="str">
        <f t="shared" si="44"/>
        <v>-</v>
      </c>
      <c r="AC57" s="12" t="str">
        <f t="shared" si="45"/>
        <v>-</v>
      </c>
      <c r="AD57" s="12" t="str">
        <f t="shared" si="46"/>
        <v>-</v>
      </c>
      <c r="AE57" s="12" t="str">
        <f t="shared" si="47"/>
        <v>-</v>
      </c>
      <c r="AF57" s="12" t="str">
        <f t="shared" si="48"/>
        <v>-</v>
      </c>
      <c r="AG57" s="12" t="str">
        <f t="shared" si="49"/>
        <v>-</v>
      </c>
      <c r="AJ57" s="144">
        <f t="shared" ca="1" si="50"/>
        <v>0</v>
      </c>
      <c r="AK57" s="12">
        <f t="shared" ca="1" si="51"/>
        <v>0</v>
      </c>
      <c r="AL57" s="12">
        <f t="shared" ca="1" si="52"/>
        <v>0</v>
      </c>
      <c r="AN57" s="28"/>
      <c r="AO57" s="42" t="s">
        <v>455</v>
      </c>
      <c r="AP57"/>
      <c r="AQ57" s="158" t="s">
        <v>60</v>
      </c>
      <c r="AR57" s="149">
        <v>0</v>
      </c>
      <c r="AS57" s="149">
        <v>0</v>
      </c>
      <c r="AT57" s="155" t="s">
        <v>384</v>
      </c>
      <c r="AU57" s="141"/>
      <c r="AV57" s="141"/>
      <c r="AW57" s="141"/>
      <c r="AX57" s="141"/>
      <c r="AY57" s="141"/>
      <c r="AZ57" s="141"/>
      <c r="BA57" s="141"/>
      <c r="BB57" s="141"/>
      <c r="BC57" s="141"/>
      <c r="BD57" s="141"/>
      <c r="BE57" s="141"/>
      <c r="BF57" s="141"/>
      <c r="BG57" s="141"/>
      <c r="BH57" s="141"/>
      <c r="BI57" s="141"/>
      <c r="BJ57" s="141"/>
      <c r="BK57" s="141"/>
      <c r="BL57" s="141"/>
      <c r="BM57" s="141"/>
      <c r="BN57" s="141"/>
      <c r="BO57" s="141"/>
      <c r="BP57" s="141"/>
      <c r="BQ57" s="141"/>
      <c r="BR57" s="141"/>
      <c r="BS57" s="141"/>
      <c r="BT57" s="141"/>
      <c r="BU57" s="141"/>
      <c r="BV57" s="141"/>
      <c r="BW57" s="141"/>
      <c r="BX57" s="141"/>
      <c r="BY57" s="141"/>
    </row>
    <row r="58" spans="1:77" ht="15.75" customHeight="1" x14ac:dyDescent="0.2">
      <c r="A58" s="3" t="s">
        <v>491</v>
      </c>
      <c r="C58" s="12">
        <f t="shared" si="19"/>
        <v>1</v>
      </c>
      <c r="D58" s="12" t="str">
        <f t="shared" si="20"/>
        <v>-</v>
      </c>
      <c r="E58" s="12" t="str">
        <f t="shared" si="21"/>
        <v>-</v>
      </c>
      <c r="F58" s="12" t="str">
        <f t="shared" si="22"/>
        <v>-</v>
      </c>
      <c r="G58" s="12" t="str">
        <f t="shared" si="23"/>
        <v>-</v>
      </c>
      <c r="H58" s="12" t="str">
        <f t="shared" si="24"/>
        <v>-</v>
      </c>
      <c r="I58" s="12" t="str">
        <f t="shared" si="25"/>
        <v>-</v>
      </c>
      <c r="J58" s="12" t="str">
        <f t="shared" si="26"/>
        <v>-</v>
      </c>
      <c r="K58" s="12" t="str">
        <f t="shared" si="27"/>
        <v>-</v>
      </c>
      <c r="L58" s="12" t="str">
        <f t="shared" si="28"/>
        <v>-</v>
      </c>
      <c r="M58" s="12" t="str">
        <f t="shared" si="29"/>
        <v>-</v>
      </c>
      <c r="N58" s="12" t="str">
        <f t="shared" si="30"/>
        <v>-</v>
      </c>
      <c r="O58" s="12" t="str">
        <f t="shared" si="31"/>
        <v>-</v>
      </c>
      <c r="P58" s="12" t="str">
        <f t="shared" si="32"/>
        <v>-</v>
      </c>
      <c r="Q58" s="12" t="str">
        <f t="shared" si="33"/>
        <v>-</v>
      </c>
      <c r="R58" s="12" t="str">
        <f t="shared" si="34"/>
        <v>-</v>
      </c>
      <c r="S58" s="12" t="str">
        <f t="shared" si="35"/>
        <v>-</v>
      </c>
      <c r="T58" s="12" t="str">
        <f t="shared" si="36"/>
        <v>-</v>
      </c>
      <c r="U58" s="12" t="str">
        <f t="shared" si="37"/>
        <v>-</v>
      </c>
      <c r="V58" s="12" t="str">
        <f t="shared" si="38"/>
        <v>-</v>
      </c>
      <c r="W58" s="12" t="str">
        <f t="shared" si="39"/>
        <v>-</v>
      </c>
      <c r="X58" s="12" t="str">
        <f t="shared" si="40"/>
        <v>-</v>
      </c>
      <c r="Y58" s="12" t="str">
        <f t="shared" si="41"/>
        <v>-</v>
      </c>
      <c r="Z58" s="12" t="str">
        <f t="shared" si="42"/>
        <v>-</v>
      </c>
      <c r="AA58" s="12" t="str">
        <f t="shared" si="43"/>
        <v>-</v>
      </c>
      <c r="AB58" s="12" t="str">
        <f t="shared" si="44"/>
        <v>-</v>
      </c>
      <c r="AC58" s="12" t="str">
        <f t="shared" si="45"/>
        <v>-</v>
      </c>
      <c r="AD58" s="12" t="str">
        <f t="shared" si="46"/>
        <v>-</v>
      </c>
      <c r="AE58" s="12" t="str">
        <f t="shared" si="47"/>
        <v>-</v>
      </c>
      <c r="AF58" s="12" t="str">
        <f t="shared" si="48"/>
        <v>-</v>
      </c>
      <c r="AG58" s="12" t="str">
        <f t="shared" si="49"/>
        <v>-</v>
      </c>
      <c r="AJ58" s="144">
        <f t="shared" ca="1" si="50"/>
        <v>0</v>
      </c>
      <c r="AK58" s="12">
        <f t="shared" ca="1" si="51"/>
        <v>0</v>
      </c>
      <c r="AL58" s="12">
        <f t="shared" ca="1" si="52"/>
        <v>0</v>
      </c>
      <c r="AN58" s="28"/>
      <c r="AO58" s="42" t="s">
        <v>456</v>
      </c>
      <c r="AP58"/>
      <c r="AQ58" s="158" t="s">
        <v>60</v>
      </c>
      <c r="AR58" s="149">
        <v>0</v>
      </c>
      <c r="AS58" s="149">
        <v>0</v>
      </c>
      <c r="AT58" s="155" t="s">
        <v>384</v>
      </c>
      <c r="AU58" s="141"/>
      <c r="AV58" s="141"/>
      <c r="AW58" s="141"/>
      <c r="AX58" s="141"/>
      <c r="AY58" s="141"/>
      <c r="AZ58" s="141"/>
      <c r="BA58" s="141"/>
      <c r="BB58" s="141"/>
      <c r="BC58" s="141"/>
      <c r="BD58" s="141"/>
      <c r="BE58" s="141"/>
      <c r="BF58" s="141"/>
      <c r="BG58" s="141"/>
      <c r="BH58" s="141"/>
      <c r="BI58" s="141"/>
      <c r="BJ58" s="141"/>
      <c r="BK58" s="141"/>
      <c r="BL58" s="141"/>
      <c r="BM58" s="141"/>
      <c r="BN58" s="141"/>
      <c r="BO58" s="141"/>
      <c r="BP58" s="141"/>
      <c r="BQ58" s="141"/>
      <c r="BR58" s="141"/>
      <c r="BS58" s="141"/>
      <c r="BT58" s="141"/>
      <c r="BU58" s="141"/>
      <c r="BV58" s="141"/>
      <c r="BW58" s="141"/>
      <c r="BX58" s="141"/>
      <c r="BY58" s="141"/>
    </row>
    <row r="59" spans="1:77" ht="15.75" hidden="1" customHeight="1" outlineLevel="1" x14ac:dyDescent="0.2">
      <c r="A59" s="3" t="s">
        <v>492</v>
      </c>
      <c r="C59" s="12">
        <f t="shared" si="19"/>
        <v>1</v>
      </c>
      <c r="D59" s="12" t="str">
        <f t="shared" si="20"/>
        <v>-</v>
      </c>
      <c r="E59" s="12" t="str">
        <f t="shared" si="21"/>
        <v>-</v>
      </c>
      <c r="F59" s="12" t="str">
        <f t="shared" si="22"/>
        <v>-</v>
      </c>
      <c r="G59" s="12" t="str">
        <f t="shared" si="23"/>
        <v>-</v>
      </c>
      <c r="H59" s="12" t="str">
        <f t="shared" si="24"/>
        <v>-</v>
      </c>
      <c r="I59" s="12" t="str">
        <f t="shared" si="25"/>
        <v>-</v>
      </c>
      <c r="J59" s="12" t="str">
        <f t="shared" si="26"/>
        <v>-</v>
      </c>
      <c r="K59" s="12" t="str">
        <f t="shared" si="27"/>
        <v>-</v>
      </c>
      <c r="L59" s="12" t="str">
        <f t="shared" si="28"/>
        <v>-</v>
      </c>
      <c r="M59" s="12" t="str">
        <f t="shared" si="29"/>
        <v>-</v>
      </c>
      <c r="N59" s="12" t="str">
        <f t="shared" si="30"/>
        <v>-</v>
      </c>
      <c r="O59" s="12" t="str">
        <f t="shared" si="31"/>
        <v>-</v>
      </c>
      <c r="P59" s="12" t="str">
        <f t="shared" si="32"/>
        <v>-</v>
      </c>
      <c r="Q59" s="12" t="str">
        <f t="shared" si="33"/>
        <v>-</v>
      </c>
      <c r="R59" s="12" t="str">
        <f t="shared" si="34"/>
        <v>-</v>
      </c>
      <c r="S59" s="12" t="str">
        <f t="shared" si="35"/>
        <v>-</v>
      </c>
      <c r="T59" s="12" t="str">
        <f t="shared" si="36"/>
        <v>-</v>
      </c>
      <c r="U59" s="12" t="str">
        <f t="shared" si="37"/>
        <v>-</v>
      </c>
      <c r="V59" s="12" t="str">
        <f t="shared" si="38"/>
        <v>-</v>
      </c>
      <c r="W59" s="12" t="str">
        <f t="shared" si="39"/>
        <v>-</v>
      </c>
      <c r="X59" s="12" t="str">
        <f t="shared" si="40"/>
        <v>-</v>
      </c>
      <c r="Y59" s="12" t="str">
        <f t="shared" si="41"/>
        <v>-</v>
      </c>
      <c r="Z59" s="12" t="str">
        <f t="shared" si="42"/>
        <v>-</v>
      </c>
      <c r="AA59" s="12" t="str">
        <f t="shared" si="43"/>
        <v>-</v>
      </c>
      <c r="AB59" s="12" t="str">
        <f t="shared" si="44"/>
        <v>-</v>
      </c>
      <c r="AC59" s="12" t="str">
        <f t="shared" si="45"/>
        <v>-</v>
      </c>
      <c r="AD59" s="12" t="str">
        <f t="shared" si="46"/>
        <v>-</v>
      </c>
      <c r="AE59" s="12" t="str">
        <f t="shared" si="47"/>
        <v>-</v>
      </c>
      <c r="AF59" s="12" t="str">
        <f t="shared" si="48"/>
        <v>-</v>
      </c>
      <c r="AG59" s="12" t="str">
        <f t="shared" si="49"/>
        <v>-</v>
      </c>
      <c r="AJ59" s="144">
        <f t="shared" ca="1" si="50"/>
        <v>0</v>
      </c>
      <c r="AK59" s="12">
        <f t="shared" ca="1" si="51"/>
        <v>0</v>
      </c>
      <c r="AL59" s="12">
        <f t="shared" ca="1" si="52"/>
        <v>0</v>
      </c>
      <c r="AN59" s="28"/>
      <c r="AO59" s="42" t="s">
        <v>457</v>
      </c>
      <c r="AP59"/>
      <c r="AQ59" s="158" t="s">
        <v>60</v>
      </c>
      <c r="AR59" s="149">
        <v>0</v>
      </c>
      <c r="AS59" s="149">
        <v>0</v>
      </c>
      <c r="AT59" s="155" t="s">
        <v>384</v>
      </c>
      <c r="AU59" s="141"/>
      <c r="AV59" s="141"/>
      <c r="AW59" s="141"/>
      <c r="AX59" s="141"/>
      <c r="AY59" s="141"/>
      <c r="AZ59" s="141"/>
      <c r="BA59" s="141"/>
      <c r="BB59" s="141"/>
      <c r="BC59" s="141"/>
      <c r="BD59" s="141"/>
      <c r="BE59" s="141"/>
      <c r="BF59" s="141"/>
      <c r="BG59" s="141"/>
      <c r="BH59" s="141"/>
      <c r="BI59" s="141"/>
      <c r="BJ59" s="141"/>
      <c r="BK59" s="141"/>
      <c r="BL59" s="141"/>
      <c r="BM59" s="141"/>
      <c r="BN59" s="141"/>
      <c r="BO59" s="141"/>
      <c r="BP59" s="141"/>
      <c r="BQ59" s="141"/>
      <c r="BR59" s="141"/>
      <c r="BS59" s="141"/>
      <c r="BT59" s="141"/>
      <c r="BU59" s="141"/>
      <c r="BV59" s="141"/>
      <c r="BW59" s="141"/>
      <c r="BX59" s="141"/>
      <c r="BY59" s="141"/>
    </row>
    <row r="60" spans="1:77" ht="15.75" hidden="1" customHeight="1" outlineLevel="1" x14ac:dyDescent="0.2">
      <c r="A60" s="3" t="s">
        <v>493</v>
      </c>
      <c r="C60" s="12">
        <f t="shared" si="19"/>
        <v>1</v>
      </c>
      <c r="D60" s="12" t="str">
        <f t="shared" si="20"/>
        <v>-</v>
      </c>
      <c r="E60" s="12" t="str">
        <f t="shared" si="21"/>
        <v>-</v>
      </c>
      <c r="F60" s="12" t="str">
        <f t="shared" si="22"/>
        <v>-</v>
      </c>
      <c r="G60" s="12" t="str">
        <f t="shared" si="23"/>
        <v>-</v>
      </c>
      <c r="H60" s="12" t="str">
        <f t="shared" si="24"/>
        <v>-</v>
      </c>
      <c r="I60" s="12" t="str">
        <f t="shared" si="25"/>
        <v>-</v>
      </c>
      <c r="J60" s="12" t="str">
        <f t="shared" si="26"/>
        <v>-</v>
      </c>
      <c r="K60" s="12" t="str">
        <f t="shared" si="27"/>
        <v>-</v>
      </c>
      <c r="L60" s="12" t="str">
        <f t="shared" si="28"/>
        <v>-</v>
      </c>
      <c r="M60" s="12" t="str">
        <f t="shared" si="29"/>
        <v>-</v>
      </c>
      <c r="N60" s="12" t="str">
        <f t="shared" si="30"/>
        <v>-</v>
      </c>
      <c r="O60" s="12" t="str">
        <f t="shared" si="31"/>
        <v>-</v>
      </c>
      <c r="P60" s="12" t="str">
        <f t="shared" si="32"/>
        <v>-</v>
      </c>
      <c r="Q60" s="12" t="str">
        <f t="shared" si="33"/>
        <v>-</v>
      </c>
      <c r="R60" s="12" t="str">
        <f t="shared" si="34"/>
        <v>-</v>
      </c>
      <c r="S60" s="12" t="str">
        <f t="shared" si="35"/>
        <v>-</v>
      </c>
      <c r="T60" s="12" t="str">
        <f t="shared" si="36"/>
        <v>-</v>
      </c>
      <c r="U60" s="12" t="str">
        <f t="shared" si="37"/>
        <v>-</v>
      </c>
      <c r="V60" s="12" t="str">
        <f t="shared" si="38"/>
        <v>-</v>
      </c>
      <c r="W60" s="12" t="str">
        <f t="shared" si="39"/>
        <v>-</v>
      </c>
      <c r="X60" s="12" t="str">
        <f t="shared" si="40"/>
        <v>-</v>
      </c>
      <c r="Y60" s="12" t="str">
        <f t="shared" si="41"/>
        <v>-</v>
      </c>
      <c r="Z60" s="12" t="str">
        <f t="shared" si="42"/>
        <v>-</v>
      </c>
      <c r="AA60" s="12" t="str">
        <f t="shared" si="43"/>
        <v>-</v>
      </c>
      <c r="AB60" s="12" t="str">
        <f t="shared" si="44"/>
        <v>-</v>
      </c>
      <c r="AC60" s="12" t="str">
        <f t="shared" si="45"/>
        <v>-</v>
      </c>
      <c r="AD60" s="12" t="str">
        <f t="shared" si="46"/>
        <v>-</v>
      </c>
      <c r="AE60" s="12" t="str">
        <f t="shared" si="47"/>
        <v>-</v>
      </c>
      <c r="AF60" s="12" t="str">
        <f t="shared" si="48"/>
        <v>-</v>
      </c>
      <c r="AG60" s="12" t="str">
        <f t="shared" si="49"/>
        <v>-</v>
      </c>
      <c r="AJ60" s="144">
        <f t="shared" ca="1" si="50"/>
        <v>0</v>
      </c>
      <c r="AK60" s="12">
        <f t="shared" ca="1" si="51"/>
        <v>0</v>
      </c>
      <c r="AL60" s="12">
        <f t="shared" ca="1" si="52"/>
        <v>0</v>
      </c>
      <c r="AN60" s="28"/>
      <c r="AO60" s="42" t="s">
        <v>458</v>
      </c>
      <c r="AP60"/>
      <c r="AQ60" s="158" t="s">
        <v>60</v>
      </c>
      <c r="AR60" s="149">
        <v>0</v>
      </c>
      <c r="AS60" s="149">
        <v>0</v>
      </c>
      <c r="AT60" s="155" t="s">
        <v>384</v>
      </c>
      <c r="AU60" s="141"/>
      <c r="AV60" s="141"/>
      <c r="AW60" s="141"/>
      <c r="AX60" s="141"/>
      <c r="AY60" s="141"/>
      <c r="AZ60" s="141"/>
      <c r="BA60" s="141"/>
      <c r="BB60" s="141"/>
      <c r="BC60" s="141"/>
      <c r="BD60" s="141"/>
      <c r="BE60" s="141"/>
      <c r="BF60" s="141"/>
      <c r="BG60" s="141"/>
      <c r="BH60" s="141"/>
      <c r="BI60" s="141"/>
      <c r="BJ60" s="141"/>
      <c r="BK60" s="141"/>
      <c r="BL60" s="141"/>
      <c r="BM60" s="141"/>
      <c r="BN60" s="141"/>
      <c r="BO60" s="141"/>
      <c r="BP60" s="141"/>
      <c r="BQ60" s="141"/>
      <c r="BR60" s="141"/>
      <c r="BS60" s="141"/>
      <c r="BT60" s="141"/>
      <c r="BU60" s="141"/>
      <c r="BV60" s="141"/>
      <c r="BW60" s="141"/>
      <c r="BX60" s="141"/>
      <c r="BY60" s="141"/>
    </row>
    <row r="61" spans="1:77" ht="15.75" hidden="1" customHeight="1" outlineLevel="1" x14ac:dyDescent="0.2">
      <c r="A61" s="3" t="s">
        <v>494</v>
      </c>
      <c r="C61" s="12">
        <f t="shared" si="19"/>
        <v>1</v>
      </c>
      <c r="D61" s="12" t="str">
        <f t="shared" si="20"/>
        <v>-</v>
      </c>
      <c r="E61" s="12" t="str">
        <f t="shared" si="21"/>
        <v>-</v>
      </c>
      <c r="F61" s="12" t="str">
        <f t="shared" si="22"/>
        <v>-</v>
      </c>
      <c r="G61" s="12" t="str">
        <f t="shared" si="23"/>
        <v>-</v>
      </c>
      <c r="H61" s="12" t="str">
        <f t="shared" si="24"/>
        <v>-</v>
      </c>
      <c r="I61" s="12" t="str">
        <f t="shared" si="25"/>
        <v>-</v>
      </c>
      <c r="J61" s="12" t="str">
        <f t="shared" si="26"/>
        <v>-</v>
      </c>
      <c r="K61" s="12" t="str">
        <f t="shared" si="27"/>
        <v>-</v>
      </c>
      <c r="L61" s="12" t="str">
        <f t="shared" si="28"/>
        <v>-</v>
      </c>
      <c r="M61" s="12" t="str">
        <f t="shared" si="29"/>
        <v>-</v>
      </c>
      <c r="N61" s="12" t="str">
        <f t="shared" si="30"/>
        <v>-</v>
      </c>
      <c r="O61" s="12" t="str">
        <f t="shared" si="31"/>
        <v>-</v>
      </c>
      <c r="P61" s="12" t="str">
        <f t="shared" si="32"/>
        <v>-</v>
      </c>
      <c r="Q61" s="12" t="str">
        <f t="shared" si="33"/>
        <v>-</v>
      </c>
      <c r="R61" s="12" t="str">
        <f t="shared" si="34"/>
        <v>-</v>
      </c>
      <c r="S61" s="12" t="str">
        <f t="shared" si="35"/>
        <v>-</v>
      </c>
      <c r="T61" s="12" t="str">
        <f t="shared" si="36"/>
        <v>-</v>
      </c>
      <c r="U61" s="12" t="str">
        <f t="shared" si="37"/>
        <v>-</v>
      </c>
      <c r="V61" s="12" t="str">
        <f t="shared" si="38"/>
        <v>-</v>
      </c>
      <c r="W61" s="12" t="str">
        <f t="shared" si="39"/>
        <v>-</v>
      </c>
      <c r="X61" s="12" t="str">
        <f t="shared" si="40"/>
        <v>-</v>
      </c>
      <c r="Y61" s="12" t="str">
        <f t="shared" si="41"/>
        <v>-</v>
      </c>
      <c r="Z61" s="12" t="str">
        <f t="shared" si="42"/>
        <v>-</v>
      </c>
      <c r="AA61" s="12" t="str">
        <f t="shared" si="43"/>
        <v>-</v>
      </c>
      <c r="AB61" s="12" t="str">
        <f t="shared" si="44"/>
        <v>-</v>
      </c>
      <c r="AC61" s="12" t="str">
        <f t="shared" si="45"/>
        <v>-</v>
      </c>
      <c r="AD61" s="12" t="str">
        <f t="shared" si="46"/>
        <v>-</v>
      </c>
      <c r="AE61" s="12" t="str">
        <f t="shared" si="47"/>
        <v>-</v>
      </c>
      <c r="AF61" s="12" t="str">
        <f t="shared" si="48"/>
        <v>-</v>
      </c>
      <c r="AG61" s="12" t="str">
        <f t="shared" si="49"/>
        <v>-</v>
      </c>
      <c r="AJ61" s="144">
        <f t="shared" ca="1" si="50"/>
        <v>0</v>
      </c>
      <c r="AK61" s="12">
        <f t="shared" ca="1" si="51"/>
        <v>0</v>
      </c>
      <c r="AL61" s="12">
        <f t="shared" ca="1" si="52"/>
        <v>0</v>
      </c>
      <c r="AN61" s="28"/>
      <c r="AO61" s="42" t="s">
        <v>459</v>
      </c>
      <c r="AP61"/>
      <c r="AQ61" s="158" t="s">
        <v>60</v>
      </c>
      <c r="AR61" s="149">
        <v>0</v>
      </c>
      <c r="AS61" s="149">
        <v>0</v>
      </c>
      <c r="AT61" s="155" t="s">
        <v>384</v>
      </c>
      <c r="AU61" s="141"/>
      <c r="AV61" s="141"/>
      <c r="AW61" s="141"/>
      <c r="AX61" s="141"/>
      <c r="AY61" s="141"/>
      <c r="AZ61" s="141"/>
      <c r="BA61" s="141"/>
      <c r="BB61" s="141"/>
      <c r="BC61" s="141"/>
      <c r="BD61" s="141"/>
      <c r="BE61" s="141"/>
      <c r="BF61" s="141"/>
      <c r="BG61" s="141"/>
      <c r="BH61" s="141"/>
      <c r="BI61" s="141"/>
      <c r="BJ61" s="141"/>
      <c r="BK61" s="141"/>
      <c r="BL61" s="141"/>
      <c r="BM61" s="141"/>
      <c r="BN61" s="141"/>
      <c r="BO61" s="141"/>
      <c r="BP61" s="141"/>
      <c r="BQ61" s="141"/>
      <c r="BR61" s="141"/>
      <c r="BS61" s="141"/>
      <c r="BT61" s="141"/>
      <c r="BU61" s="141"/>
      <c r="BV61" s="141"/>
      <c r="BW61" s="141"/>
      <c r="BX61" s="141"/>
      <c r="BY61" s="141"/>
    </row>
    <row r="62" spans="1:77" ht="15.75" hidden="1" customHeight="1" outlineLevel="1" x14ac:dyDescent="0.2">
      <c r="A62" s="3" t="s">
        <v>495</v>
      </c>
      <c r="C62" s="12">
        <f t="shared" si="19"/>
        <v>1</v>
      </c>
      <c r="D62" s="12" t="str">
        <f t="shared" si="20"/>
        <v>-</v>
      </c>
      <c r="E62" s="12" t="str">
        <f t="shared" si="21"/>
        <v>-</v>
      </c>
      <c r="F62" s="12" t="str">
        <f t="shared" si="22"/>
        <v>-</v>
      </c>
      <c r="G62" s="12" t="str">
        <f t="shared" si="23"/>
        <v>-</v>
      </c>
      <c r="H62" s="12" t="str">
        <f t="shared" si="24"/>
        <v>-</v>
      </c>
      <c r="I62" s="12" t="str">
        <f t="shared" si="25"/>
        <v>-</v>
      </c>
      <c r="J62" s="12" t="str">
        <f t="shared" si="26"/>
        <v>-</v>
      </c>
      <c r="K62" s="12" t="str">
        <f t="shared" si="27"/>
        <v>-</v>
      </c>
      <c r="L62" s="12" t="str">
        <f t="shared" si="28"/>
        <v>-</v>
      </c>
      <c r="M62" s="12" t="str">
        <f t="shared" si="29"/>
        <v>-</v>
      </c>
      <c r="N62" s="12" t="str">
        <f t="shared" si="30"/>
        <v>-</v>
      </c>
      <c r="O62" s="12" t="str">
        <f t="shared" si="31"/>
        <v>-</v>
      </c>
      <c r="P62" s="12" t="str">
        <f t="shared" si="32"/>
        <v>-</v>
      </c>
      <c r="Q62" s="12" t="str">
        <f t="shared" si="33"/>
        <v>-</v>
      </c>
      <c r="R62" s="12" t="str">
        <f t="shared" si="34"/>
        <v>-</v>
      </c>
      <c r="S62" s="12" t="str">
        <f t="shared" si="35"/>
        <v>-</v>
      </c>
      <c r="T62" s="12" t="str">
        <f t="shared" si="36"/>
        <v>-</v>
      </c>
      <c r="U62" s="12" t="str">
        <f t="shared" si="37"/>
        <v>-</v>
      </c>
      <c r="V62" s="12" t="str">
        <f t="shared" si="38"/>
        <v>-</v>
      </c>
      <c r="W62" s="12" t="str">
        <f t="shared" si="39"/>
        <v>-</v>
      </c>
      <c r="X62" s="12" t="str">
        <f t="shared" si="40"/>
        <v>-</v>
      </c>
      <c r="Y62" s="12" t="str">
        <f t="shared" si="41"/>
        <v>-</v>
      </c>
      <c r="Z62" s="12" t="str">
        <f t="shared" si="42"/>
        <v>-</v>
      </c>
      <c r="AA62" s="12" t="str">
        <f t="shared" si="43"/>
        <v>-</v>
      </c>
      <c r="AB62" s="12" t="str">
        <f t="shared" si="44"/>
        <v>-</v>
      </c>
      <c r="AC62" s="12" t="str">
        <f t="shared" si="45"/>
        <v>-</v>
      </c>
      <c r="AD62" s="12" t="str">
        <f t="shared" si="46"/>
        <v>-</v>
      </c>
      <c r="AE62" s="12" t="str">
        <f t="shared" si="47"/>
        <v>-</v>
      </c>
      <c r="AF62" s="12" t="str">
        <f t="shared" si="48"/>
        <v>-</v>
      </c>
      <c r="AG62" s="12" t="str">
        <f t="shared" si="49"/>
        <v>-</v>
      </c>
      <c r="AJ62" s="144">
        <f t="shared" ca="1" si="50"/>
        <v>0</v>
      </c>
      <c r="AK62" s="12">
        <f t="shared" ca="1" si="51"/>
        <v>0</v>
      </c>
      <c r="AL62" s="12">
        <f t="shared" ca="1" si="52"/>
        <v>0</v>
      </c>
      <c r="AN62" s="28"/>
      <c r="AO62" s="42" t="s">
        <v>460</v>
      </c>
      <c r="AP62"/>
      <c r="AQ62" s="158" t="s">
        <v>60</v>
      </c>
      <c r="AR62" s="149">
        <v>0</v>
      </c>
      <c r="AS62" s="149">
        <v>0</v>
      </c>
      <c r="AT62" s="155" t="s">
        <v>384</v>
      </c>
      <c r="AU62" s="141"/>
      <c r="AV62" s="141"/>
      <c r="AW62" s="141"/>
      <c r="AX62" s="141"/>
      <c r="AY62" s="141"/>
      <c r="AZ62" s="141"/>
      <c r="BA62" s="141"/>
      <c r="BB62" s="141"/>
      <c r="BC62" s="141"/>
      <c r="BD62" s="141"/>
      <c r="BE62" s="141"/>
      <c r="BF62" s="141"/>
      <c r="BG62" s="141"/>
      <c r="BH62" s="141"/>
      <c r="BI62" s="141"/>
      <c r="BJ62" s="141"/>
      <c r="BK62" s="141"/>
      <c r="BL62" s="141"/>
      <c r="BM62" s="141"/>
      <c r="BN62" s="141"/>
      <c r="BO62" s="141"/>
      <c r="BP62" s="141"/>
      <c r="BQ62" s="141"/>
      <c r="BR62" s="141"/>
      <c r="BS62" s="141"/>
      <c r="BT62" s="141"/>
      <c r="BU62" s="141"/>
      <c r="BV62" s="141"/>
      <c r="BW62" s="141"/>
      <c r="BX62" s="141"/>
      <c r="BY62" s="141"/>
    </row>
    <row r="63" spans="1:77" ht="15.75" hidden="1" customHeight="1" outlineLevel="1" x14ac:dyDescent="0.2">
      <c r="A63" s="3" t="s">
        <v>496</v>
      </c>
      <c r="C63" s="12">
        <f t="shared" si="19"/>
        <v>1</v>
      </c>
      <c r="D63" s="12" t="str">
        <f t="shared" si="20"/>
        <v>-</v>
      </c>
      <c r="E63" s="12" t="str">
        <f t="shared" si="21"/>
        <v>-</v>
      </c>
      <c r="F63" s="12" t="str">
        <f t="shared" si="22"/>
        <v>-</v>
      </c>
      <c r="G63" s="12" t="str">
        <f t="shared" si="23"/>
        <v>-</v>
      </c>
      <c r="H63" s="12" t="str">
        <f t="shared" si="24"/>
        <v>-</v>
      </c>
      <c r="I63" s="12" t="str">
        <f t="shared" si="25"/>
        <v>-</v>
      </c>
      <c r="J63" s="12" t="str">
        <f t="shared" si="26"/>
        <v>-</v>
      </c>
      <c r="K63" s="12" t="str">
        <f t="shared" si="27"/>
        <v>-</v>
      </c>
      <c r="L63" s="12" t="str">
        <f t="shared" si="28"/>
        <v>-</v>
      </c>
      <c r="M63" s="12" t="str">
        <f t="shared" si="29"/>
        <v>-</v>
      </c>
      <c r="N63" s="12" t="str">
        <f t="shared" si="30"/>
        <v>-</v>
      </c>
      <c r="O63" s="12" t="str">
        <f t="shared" si="31"/>
        <v>-</v>
      </c>
      <c r="P63" s="12" t="str">
        <f t="shared" si="32"/>
        <v>-</v>
      </c>
      <c r="Q63" s="12" t="str">
        <f t="shared" si="33"/>
        <v>-</v>
      </c>
      <c r="R63" s="12" t="str">
        <f t="shared" si="34"/>
        <v>-</v>
      </c>
      <c r="S63" s="12" t="str">
        <f t="shared" si="35"/>
        <v>-</v>
      </c>
      <c r="T63" s="12" t="str">
        <f t="shared" si="36"/>
        <v>-</v>
      </c>
      <c r="U63" s="12" t="str">
        <f t="shared" si="37"/>
        <v>-</v>
      </c>
      <c r="V63" s="12" t="str">
        <f t="shared" si="38"/>
        <v>-</v>
      </c>
      <c r="W63" s="12" t="str">
        <f t="shared" si="39"/>
        <v>-</v>
      </c>
      <c r="X63" s="12" t="str">
        <f t="shared" si="40"/>
        <v>-</v>
      </c>
      <c r="Y63" s="12" t="str">
        <f t="shared" si="41"/>
        <v>-</v>
      </c>
      <c r="Z63" s="12" t="str">
        <f t="shared" si="42"/>
        <v>-</v>
      </c>
      <c r="AA63" s="12" t="str">
        <f t="shared" si="43"/>
        <v>-</v>
      </c>
      <c r="AB63" s="12" t="str">
        <f t="shared" si="44"/>
        <v>-</v>
      </c>
      <c r="AC63" s="12" t="str">
        <f t="shared" si="45"/>
        <v>-</v>
      </c>
      <c r="AD63" s="12" t="str">
        <f t="shared" si="46"/>
        <v>-</v>
      </c>
      <c r="AE63" s="12" t="str">
        <f t="shared" si="47"/>
        <v>-</v>
      </c>
      <c r="AF63" s="12" t="str">
        <f t="shared" si="48"/>
        <v>-</v>
      </c>
      <c r="AG63" s="12" t="str">
        <f t="shared" si="49"/>
        <v>-</v>
      </c>
      <c r="AJ63" s="144">
        <f t="shared" ca="1" si="50"/>
        <v>0</v>
      </c>
      <c r="AK63" s="12">
        <f t="shared" ca="1" si="51"/>
        <v>0</v>
      </c>
      <c r="AL63" s="12">
        <f t="shared" ca="1" si="52"/>
        <v>0</v>
      </c>
      <c r="AN63" s="28"/>
      <c r="AO63" s="42" t="s">
        <v>461</v>
      </c>
      <c r="AP63"/>
      <c r="AQ63" s="158" t="s">
        <v>60</v>
      </c>
      <c r="AR63" s="149">
        <v>0</v>
      </c>
      <c r="AS63" s="149">
        <v>0</v>
      </c>
      <c r="AT63" s="155" t="s">
        <v>384</v>
      </c>
      <c r="AU63" s="141"/>
      <c r="AV63" s="141"/>
      <c r="AW63" s="141"/>
      <c r="AX63" s="141"/>
      <c r="AY63" s="141"/>
      <c r="AZ63" s="141"/>
      <c r="BA63" s="141"/>
      <c r="BB63" s="141"/>
      <c r="BC63" s="141"/>
      <c r="BD63" s="141"/>
      <c r="BE63" s="141"/>
      <c r="BF63" s="141"/>
      <c r="BG63" s="141"/>
      <c r="BH63" s="141"/>
      <c r="BI63" s="141"/>
      <c r="BJ63" s="141"/>
      <c r="BK63" s="141"/>
      <c r="BL63" s="141"/>
      <c r="BM63" s="141"/>
      <c r="BN63" s="141"/>
      <c r="BO63" s="141"/>
      <c r="BP63" s="141"/>
      <c r="BQ63" s="141"/>
      <c r="BR63" s="141"/>
      <c r="BS63" s="141"/>
      <c r="BT63" s="141"/>
      <c r="BU63" s="141"/>
      <c r="BV63" s="141"/>
      <c r="BW63" s="141"/>
      <c r="BX63" s="141"/>
      <c r="BY63" s="141"/>
    </row>
    <row r="64" spans="1:77" ht="15.75" hidden="1" customHeight="1" outlineLevel="1" x14ac:dyDescent="0.2">
      <c r="A64" s="3" t="s">
        <v>497</v>
      </c>
      <c r="C64" s="12">
        <f t="shared" si="19"/>
        <v>1</v>
      </c>
      <c r="D64" s="12" t="str">
        <f t="shared" si="20"/>
        <v>-</v>
      </c>
      <c r="E64" s="12" t="str">
        <f t="shared" si="21"/>
        <v>-</v>
      </c>
      <c r="F64" s="12" t="str">
        <f t="shared" si="22"/>
        <v>-</v>
      </c>
      <c r="G64" s="12" t="str">
        <f t="shared" si="23"/>
        <v>-</v>
      </c>
      <c r="H64" s="12" t="str">
        <f t="shared" si="24"/>
        <v>-</v>
      </c>
      <c r="I64" s="12" t="str">
        <f t="shared" si="25"/>
        <v>-</v>
      </c>
      <c r="J64" s="12" t="str">
        <f t="shared" si="26"/>
        <v>-</v>
      </c>
      <c r="K64" s="12" t="str">
        <f t="shared" si="27"/>
        <v>-</v>
      </c>
      <c r="L64" s="12" t="str">
        <f t="shared" si="28"/>
        <v>-</v>
      </c>
      <c r="M64" s="12" t="str">
        <f t="shared" si="29"/>
        <v>-</v>
      </c>
      <c r="N64" s="12" t="str">
        <f t="shared" si="30"/>
        <v>-</v>
      </c>
      <c r="O64" s="12" t="str">
        <f t="shared" si="31"/>
        <v>-</v>
      </c>
      <c r="P64" s="12" t="str">
        <f t="shared" si="32"/>
        <v>-</v>
      </c>
      <c r="Q64" s="12" t="str">
        <f t="shared" si="33"/>
        <v>-</v>
      </c>
      <c r="R64" s="12" t="str">
        <f t="shared" si="34"/>
        <v>-</v>
      </c>
      <c r="S64" s="12" t="str">
        <f t="shared" si="35"/>
        <v>-</v>
      </c>
      <c r="T64" s="12" t="str">
        <f t="shared" si="36"/>
        <v>-</v>
      </c>
      <c r="U64" s="12" t="str">
        <f t="shared" si="37"/>
        <v>-</v>
      </c>
      <c r="V64" s="12" t="str">
        <f t="shared" si="38"/>
        <v>-</v>
      </c>
      <c r="W64" s="12" t="str">
        <f t="shared" si="39"/>
        <v>-</v>
      </c>
      <c r="X64" s="12" t="str">
        <f t="shared" si="40"/>
        <v>-</v>
      </c>
      <c r="Y64" s="12" t="str">
        <f t="shared" si="41"/>
        <v>-</v>
      </c>
      <c r="Z64" s="12" t="str">
        <f t="shared" si="42"/>
        <v>-</v>
      </c>
      <c r="AA64" s="12" t="str">
        <f t="shared" si="43"/>
        <v>-</v>
      </c>
      <c r="AB64" s="12" t="str">
        <f t="shared" si="44"/>
        <v>-</v>
      </c>
      <c r="AC64" s="12" t="str">
        <f t="shared" si="45"/>
        <v>-</v>
      </c>
      <c r="AD64" s="12" t="str">
        <f t="shared" si="46"/>
        <v>-</v>
      </c>
      <c r="AE64" s="12" t="str">
        <f t="shared" si="47"/>
        <v>-</v>
      </c>
      <c r="AF64" s="12" t="str">
        <f t="shared" si="48"/>
        <v>-</v>
      </c>
      <c r="AG64" s="12" t="str">
        <f t="shared" si="49"/>
        <v>-</v>
      </c>
      <c r="AJ64" s="144">
        <f t="shared" ca="1" si="50"/>
        <v>0</v>
      </c>
      <c r="AK64" s="12">
        <f t="shared" ca="1" si="51"/>
        <v>0</v>
      </c>
      <c r="AL64" s="12">
        <f t="shared" ca="1" si="52"/>
        <v>0</v>
      </c>
      <c r="AN64" s="28"/>
      <c r="AO64" s="42" t="s">
        <v>462</v>
      </c>
      <c r="AP64" s="156"/>
      <c r="AQ64" s="158" t="s">
        <v>60</v>
      </c>
      <c r="AR64" s="149">
        <v>0</v>
      </c>
      <c r="AS64" s="149">
        <v>0</v>
      </c>
      <c r="AT64" s="155" t="s">
        <v>384</v>
      </c>
      <c r="AU64" s="141"/>
      <c r="AV64" s="141"/>
      <c r="AW64" s="141"/>
      <c r="AX64" s="141"/>
      <c r="AY64" s="141"/>
      <c r="AZ64" s="141"/>
      <c r="BA64" s="141"/>
      <c r="BB64" s="141"/>
      <c r="BC64" s="141"/>
      <c r="BD64" s="141"/>
      <c r="BE64" s="141"/>
      <c r="BF64" s="141"/>
      <c r="BG64" s="141"/>
      <c r="BH64" s="141"/>
      <c r="BI64" s="141"/>
      <c r="BJ64" s="141"/>
      <c r="BK64" s="141"/>
      <c r="BL64" s="141"/>
      <c r="BM64" s="141"/>
      <c r="BN64" s="141"/>
      <c r="BO64" s="141"/>
      <c r="BP64" s="141"/>
      <c r="BQ64" s="141"/>
      <c r="BR64" s="141"/>
      <c r="BS64" s="141"/>
      <c r="BT64" s="141"/>
      <c r="BU64" s="141"/>
      <c r="BV64" s="141"/>
      <c r="BW64" s="141"/>
      <c r="BX64" s="141"/>
      <c r="BY64" s="141"/>
    </row>
    <row r="65" spans="1:77" ht="15.75" hidden="1" customHeight="1" outlineLevel="1" x14ac:dyDescent="0.2">
      <c r="A65" s="3" t="s">
        <v>498</v>
      </c>
      <c r="C65" s="12">
        <f t="shared" si="19"/>
        <v>1</v>
      </c>
      <c r="D65" s="12" t="str">
        <f t="shared" si="20"/>
        <v>-</v>
      </c>
      <c r="E65" s="12" t="str">
        <f t="shared" si="21"/>
        <v>-</v>
      </c>
      <c r="F65" s="12" t="str">
        <f t="shared" si="22"/>
        <v>-</v>
      </c>
      <c r="G65" s="12" t="str">
        <f t="shared" si="23"/>
        <v>-</v>
      </c>
      <c r="H65" s="12" t="str">
        <f t="shared" si="24"/>
        <v>-</v>
      </c>
      <c r="I65" s="12" t="str">
        <f t="shared" si="25"/>
        <v>-</v>
      </c>
      <c r="J65" s="12" t="str">
        <f t="shared" si="26"/>
        <v>-</v>
      </c>
      <c r="K65" s="12" t="str">
        <f t="shared" si="27"/>
        <v>-</v>
      </c>
      <c r="L65" s="12" t="str">
        <f t="shared" si="28"/>
        <v>-</v>
      </c>
      <c r="M65" s="12" t="str">
        <f t="shared" si="29"/>
        <v>-</v>
      </c>
      <c r="N65" s="12" t="str">
        <f t="shared" si="30"/>
        <v>-</v>
      </c>
      <c r="O65" s="12" t="str">
        <f t="shared" si="31"/>
        <v>-</v>
      </c>
      <c r="P65" s="12" t="str">
        <f t="shared" si="32"/>
        <v>-</v>
      </c>
      <c r="Q65" s="12" t="str">
        <f t="shared" si="33"/>
        <v>-</v>
      </c>
      <c r="R65" s="12" t="str">
        <f t="shared" si="34"/>
        <v>-</v>
      </c>
      <c r="S65" s="12" t="str">
        <f t="shared" si="35"/>
        <v>-</v>
      </c>
      <c r="T65" s="12" t="str">
        <f t="shared" si="36"/>
        <v>-</v>
      </c>
      <c r="U65" s="12" t="str">
        <f t="shared" si="37"/>
        <v>-</v>
      </c>
      <c r="V65" s="12" t="str">
        <f t="shared" si="38"/>
        <v>-</v>
      </c>
      <c r="W65" s="12" t="str">
        <f t="shared" si="39"/>
        <v>-</v>
      </c>
      <c r="X65" s="12" t="str">
        <f t="shared" si="40"/>
        <v>-</v>
      </c>
      <c r="Y65" s="12" t="str">
        <f t="shared" si="41"/>
        <v>-</v>
      </c>
      <c r="Z65" s="12" t="str">
        <f t="shared" si="42"/>
        <v>-</v>
      </c>
      <c r="AA65" s="12" t="str">
        <f t="shared" si="43"/>
        <v>-</v>
      </c>
      <c r="AB65" s="12" t="str">
        <f t="shared" si="44"/>
        <v>-</v>
      </c>
      <c r="AC65" s="12" t="str">
        <f t="shared" si="45"/>
        <v>-</v>
      </c>
      <c r="AD65" s="12" t="str">
        <f t="shared" si="46"/>
        <v>-</v>
      </c>
      <c r="AE65" s="12" t="str">
        <f t="shared" si="47"/>
        <v>-</v>
      </c>
      <c r="AF65" s="12" t="str">
        <f t="shared" si="48"/>
        <v>-</v>
      </c>
      <c r="AG65" s="12" t="str">
        <f t="shared" si="49"/>
        <v>-</v>
      </c>
      <c r="AJ65" s="144">
        <f t="shared" ca="1" si="50"/>
        <v>0</v>
      </c>
      <c r="AK65" s="12">
        <f t="shared" ca="1" si="51"/>
        <v>0</v>
      </c>
      <c r="AL65" s="12">
        <f t="shared" ca="1" si="52"/>
        <v>0</v>
      </c>
      <c r="AN65" s="28"/>
      <c r="AO65" s="42" t="s">
        <v>463</v>
      </c>
      <c r="AP65" s="156"/>
      <c r="AQ65" s="158" t="s">
        <v>60</v>
      </c>
      <c r="AR65" s="149">
        <v>0</v>
      </c>
      <c r="AS65" s="149">
        <v>0</v>
      </c>
      <c r="AT65" s="155" t="s">
        <v>384</v>
      </c>
      <c r="AU65" s="141"/>
      <c r="AV65" s="141"/>
      <c r="AW65" s="141"/>
      <c r="AX65" s="141"/>
      <c r="AY65" s="141"/>
      <c r="AZ65" s="141"/>
      <c r="BA65" s="141"/>
      <c r="BB65" s="141"/>
      <c r="BC65" s="141"/>
      <c r="BD65" s="141"/>
      <c r="BE65" s="141"/>
      <c r="BF65" s="141"/>
      <c r="BG65" s="141"/>
      <c r="BH65" s="141"/>
      <c r="BI65" s="141"/>
      <c r="BJ65" s="141"/>
      <c r="BK65" s="141"/>
      <c r="BL65" s="141"/>
      <c r="BM65" s="141"/>
      <c r="BN65" s="141"/>
      <c r="BO65" s="141"/>
      <c r="BP65" s="141"/>
      <c r="BQ65" s="141"/>
      <c r="BR65" s="141"/>
      <c r="BS65" s="141"/>
      <c r="BT65" s="141"/>
      <c r="BU65" s="141"/>
      <c r="BV65" s="141"/>
      <c r="BW65" s="141"/>
      <c r="BX65" s="141"/>
      <c r="BY65" s="141"/>
    </row>
    <row r="66" spans="1:77" ht="15.75" hidden="1" customHeight="1" outlineLevel="1" x14ac:dyDescent="0.2">
      <c r="A66" s="3" t="s">
        <v>499</v>
      </c>
      <c r="C66" s="12">
        <f t="shared" si="19"/>
        <v>1</v>
      </c>
      <c r="D66" s="12" t="str">
        <f t="shared" si="20"/>
        <v>-</v>
      </c>
      <c r="E66" s="12" t="str">
        <f t="shared" si="21"/>
        <v>-</v>
      </c>
      <c r="F66" s="12" t="str">
        <f t="shared" si="22"/>
        <v>-</v>
      </c>
      <c r="G66" s="12" t="str">
        <f t="shared" si="23"/>
        <v>-</v>
      </c>
      <c r="H66" s="12" t="str">
        <f t="shared" si="24"/>
        <v>-</v>
      </c>
      <c r="I66" s="12" t="str">
        <f t="shared" si="25"/>
        <v>-</v>
      </c>
      <c r="J66" s="12" t="str">
        <f t="shared" si="26"/>
        <v>-</v>
      </c>
      <c r="K66" s="12" t="str">
        <f t="shared" si="27"/>
        <v>-</v>
      </c>
      <c r="L66" s="12" t="str">
        <f t="shared" si="28"/>
        <v>-</v>
      </c>
      <c r="M66" s="12" t="str">
        <f t="shared" si="29"/>
        <v>-</v>
      </c>
      <c r="N66" s="12" t="str">
        <f t="shared" si="30"/>
        <v>-</v>
      </c>
      <c r="O66" s="12" t="str">
        <f t="shared" si="31"/>
        <v>-</v>
      </c>
      <c r="P66" s="12" t="str">
        <f t="shared" si="32"/>
        <v>-</v>
      </c>
      <c r="Q66" s="12" t="str">
        <f t="shared" si="33"/>
        <v>-</v>
      </c>
      <c r="R66" s="12" t="str">
        <f t="shared" si="34"/>
        <v>-</v>
      </c>
      <c r="S66" s="12" t="str">
        <f t="shared" si="35"/>
        <v>-</v>
      </c>
      <c r="T66" s="12" t="str">
        <f t="shared" si="36"/>
        <v>-</v>
      </c>
      <c r="U66" s="12" t="str">
        <f t="shared" si="37"/>
        <v>-</v>
      </c>
      <c r="V66" s="12" t="str">
        <f t="shared" si="38"/>
        <v>-</v>
      </c>
      <c r="W66" s="12" t="str">
        <f t="shared" si="39"/>
        <v>-</v>
      </c>
      <c r="X66" s="12" t="str">
        <f t="shared" si="40"/>
        <v>-</v>
      </c>
      <c r="Y66" s="12" t="str">
        <f t="shared" si="41"/>
        <v>-</v>
      </c>
      <c r="Z66" s="12" t="str">
        <f t="shared" si="42"/>
        <v>-</v>
      </c>
      <c r="AA66" s="12" t="str">
        <f t="shared" si="43"/>
        <v>-</v>
      </c>
      <c r="AB66" s="12" t="str">
        <f t="shared" si="44"/>
        <v>-</v>
      </c>
      <c r="AC66" s="12" t="str">
        <f t="shared" si="45"/>
        <v>-</v>
      </c>
      <c r="AD66" s="12" t="str">
        <f t="shared" si="46"/>
        <v>-</v>
      </c>
      <c r="AE66" s="12" t="str">
        <f t="shared" si="47"/>
        <v>-</v>
      </c>
      <c r="AF66" s="12" t="str">
        <f t="shared" si="48"/>
        <v>-</v>
      </c>
      <c r="AG66" s="12" t="str">
        <f t="shared" si="49"/>
        <v>-</v>
      </c>
      <c r="AJ66" s="144">
        <f t="shared" ca="1" si="50"/>
        <v>0</v>
      </c>
      <c r="AK66" s="12">
        <f t="shared" ca="1" si="51"/>
        <v>0</v>
      </c>
      <c r="AL66" s="12">
        <f t="shared" ca="1" si="52"/>
        <v>0</v>
      </c>
      <c r="AN66" s="28"/>
      <c r="AO66" s="42" t="s">
        <v>464</v>
      </c>
      <c r="AP66" s="156"/>
      <c r="AQ66" s="158" t="s">
        <v>60</v>
      </c>
      <c r="AR66" s="149">
        <v>0</v>
      </c>
      <c r="AS66" s="149">
        <v>0</v>
      </c>
      <c r="AT66" s="155" t="s">
        <v>384</v>
      </c>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row>
    <row r="67" spans="1:77" ht="15.75" hidden="1" customHeight="1" outlineLevel="1" x14ac:dyDescent="0.2">
      <c r="A67" s="3" t="s">
        <v>500</v>
      </c>
      <c r="C67" s="12">
        <f t="shared" si="19"/>
        <v>1</v>
      </c>
      <c r="D67" s="12" t="str">
        <f t="shared" si="20"/>
        <v>-</v>
      </c>
      <c r="E67" s="12" t="str">
        <f t="shared" si="21"/>
        <v>-</v>
      </c>
      <c r="F67" s="12" t="str">
        <f t="shared" si="22"/>
        <v>-</v>
      </c>
      <c r="G67" s="12" t="str">
        <f t="shared" si="23"/>
        <v>-</v>
      </c>
      <c r="H67" s="12" t="str">
        <f t="shared" si="24"/>
        <v>-</v>
      </c>
      <c r="I67" s="12" t="str">
        <f t="shared" si="25"/>
        <v>-</v>
      </c>
      <c r="J67" s="12" t="str">
        <f t="shared" si="26"/>
        <v>-</v>
      </c>
      <c r="K67" s="12" t="str">
        <f t="shared" si="27"/>
        <v>-</v>
      </c>
      <c r="L67" s="12" t="str">
        <f t="shared" si="28"/>
        <v>-</v>
      </c>
      <c r="M67" s="12" t="str">
        <f t="shared" si="29"/>
        <v>-</v>
      </c>
      <c r="N67" s="12" t="str">
        <f t="shared" si="30"/>
        <v>-</v>
      </c>
      <c r="O67" s="12" t="str">
        <f t="shared" si="31"/>
        <v>-</v>
      </c>
      <c r="P67" s="12" t="str">
        <f t="shared" si="32"/>
        <v>-</v>
      </c>
      <c r="Q67" s="12" t="str">
        <f t="shared" si="33"/>
        <v>-</v>
      </c>
      <c r="R67" s="12" t="str">
        <f t="shared" si="34"/>
        <v>-</v>
      </c>
      <c r="S67" s="12" t="str">
        <f t="shared" si="35"/>
        <v>-</v>
      </c>
      <c r="T67" s="12" t="str">
        <f t="shared" si="36"/>
        <v>-</v>
      </c>
      <c r="U67" s="12" t="str">
        <f t="shared" si="37"/>
        <v>-</v>
      </c>
      <c r="V67" s="12" t="str">
        <f t="shared" si="38"/>
        <v>-</v>
      </c>
      <c r="W67" s="12" t="str">
        <f t="shared" si="39"/>
        <v>-</v>
      </c>
      <c r="X67" s="12" t="str">
        <f t="shared" si="40"/>
        <v>-</v>
      </c>
      <c r="Y67" s="12" t="str">
        <f t="shared" si="41"/>
        <v>-</v>
      </c>
      <c r="Z67" s="12" t="str">
        <f t="shared" si="42"/>
        <v>-</v>
      </c>
      <c r="AA67" s="12" t="str">
        <f t="shared" si="43"/>
        <v>-</v>
      </c>
      <c r="AB67" s="12" t="str">
        <f t="shared" si="44"/>
        <v>-</v>
      </c>
      <c r="AC67" s="12" t="str">
        <f t="shared" si="45"/>
        <v>-</v>
      </c>
      <c r="AD67" s="12" t="str">
        <f t="shared" si="46"/>
        <v>-</v>
      </c>
      <c r="AE67" s="12" t="str">
        <f t="shared" si="47"/>
        <v>-</v>
      </c>
      <c r="AF67" s="12" t="str">
        <f t="shared" si="48"/>
        <v>-</v>
      </c>
      <c r="AG67" s="12" t="str">
        <f t="shared" si="49"/>
        <v>-</v>
      </c>
      <c r="AJ67" s="144">
        <f t="shared" ca="1" si="50"/>
        <v>0</v>
      </c>
      <c r="AK67" s="12">
        <f t="shared" ca="1" si="51"/>
        <v>0</v>
      </c>
      <c r="AL67" s="12">
        <f t="shared" ca="1" si="52"/>
        <v>0</v>
      </c>
      <c r="AN67" s="28"/>
      <c r="AO67" s="42" t="s">
        <v>465</v>
      </c>
      <c r="AP67" s="156"/>
      <c r="AQ67" s="158" t="s">
        <v>60</v>
      </c>
      <c r="AR67" s="149">
        <v>0</v>
      </c>
      <c r="AS67" s="149">
        <v>0</v>
      </c>
      <c r="AT67" s="155" t="s">
        <v>384</v>
      </c>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row>
    <row r="68" spans="1:77" ht="15.75" hidden="1" customHeight="1" outlineLevel="1" x14ac:dyDescent="0.2">
      <c r="A68" s="3" t="s">
        <v>501</v>
      </c>
      <c r="C68" s="12">
        <f t="shared" si="19"/>
        <v>1</v>
      </c>
      <c r="D68" s="12" t="str">
        <f t="shared" si="20"/>
        <v>-</v>
      </c>
      <c r="E68" s="12" t="str">
        <f t="shared" si="21"/>
        <v>-</v>
      </c>
      <c r="F68" s="12" t="str">
        <f t="shared" si="22"/>
        <v>-</v>
      </c>
      <c r="G68" s="12" t="str">
        <f t="shared" si="23"/>
        <v>-</v>
      </c>
      <c r="H68" s="12" t="str">
        <f t="shared" si="24"/>
        <v>-</v>
      </c>
      <c r="I68" s="12" t="str">
        <f t="shared" si="25"/>
        <v>-</v>
      </c>
      <c r="J68" s="12" t="str">
        <f t="shared" si="26"/>
        <v>-</v>
      </c>
      <c r="K68" s="12" t="str">
        <f t="shared" si="27"/>
        <v>-</v>
      </c>
      <c r="L68" s="12" t="str">
        <f t="shared" si="28"/>
        <v>-</v>
      </c>
      <c r="M68" s="12" t="str">
        <f t="shared" si="29"/>
        <v>-</v>
      </c>
      <c r="N68" s="12" t="str">
        <f t="shared" si="30"/>
        <v>-</v>
      </c>
      <c r="O68" s="12" t="str">
        <f t="shared" si="31"/>
        <v>-</v>
      </c>
      <c r="P68" s="12" t="str">
        <f t="shared" si="32"/>
        <v>-</v>
      </c>
      <c r="Q68" s="12" t="str">
        <f t="shared" si="33"/>
        <v>-</v>
      </c>
      <c r="R68" s="12" t="str">
        <f t="shared" si="34"/>
        <v>-</v>
      </c>
      <c r="S68" s="12" t="str">
        <f t="shared" si="35"/>
        <v>-</v>
      </c>
      <c r="T68" s="12" t="str">
        <f t="shared" si="36"/>
        <v>-</v>
      </c>
      <c r="U68" s="12" t="str">
        <f t="shared" si="37"/>
        <v>-</v>
      </c>
      <c r="V68" s="12" t="str">
        <f t="shared" si="38"/>
        <v>-</v>
      </c>
      <c r="W68" s="12" t="str">
        <f t="shared" si="39"/>
        <v>-</v>
      </c>
      <c r="X68" s="12" t="str">
        <f t="shared" si="40"/>
        <v>-</v>
      </c>
      <c r="Y68" s="12" t="str">
        <f t="shared" si="41"/>
        <v>-</v>
      </c>
      <c r="Z68" s="12" t="str">
        <f t="shared" si="42"/>
        <v>-</v>
      </c>
      <c r="AA68" s="12" t="str">
        <f t="shared" si="43"/>
        <v>-</v>
      </c>
      <c r="AB68" s="12" t="str">
        <f t="shared" si="44"/>
        <v>-</v>
      </c>
      <c r="AC68" s="12" t="str">
        <f t="shared" si="45"/>
        <v>-</v>
      </c>
      <c r="AD68" s="12" t="str">
        <f t="shared" si="46"/>
        <v>-</v>
      </c>
      <c r="AE68" s="12" t="str">
        <f t="shared" si="47"/>
        <v>-</v>
      </c>
      <c r="AF68" s="12" t="str">
        <f t="shared" si="48"/>
        <v>-</v>
      </c>
      <c r="AG68" s="12" t="str">
        <f t="shared" si="49"/>
        <v>-</v>
      </c>
      <c r="AJ68" s="144">
        <f t="shared" ca="1" si="50"/>
        <v>0</v>
      </c>
      <c r="AK68" s="12">
        <f t="shared" ca="1" si="51"/>
        <v>0</v>
      </c>
      <c r="AL68" s="12">
        <f t="shared" ca="1" si="52"/>
        <v>0</v>
      </c>
      <c r="AN68" s="28"/>
      <c r="AO68" s="42" t="s">
        <v>466</v>
      </c>
      <c r="AP68" s="156"/>
      <c r="AQ68" s="158" t="s">
        <v>60</v>
      </c>
      <c r="AR68" s="149">
        <v>0</v>
      </c>
      <c r="AS68" s="149">
        <v>0</v>
      </c>
      <c r="AT68" s="155" t="s">
        <v>384</v>
      </c>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row>
    <row r="69" spans="1:77" ht="15.75" hidden="1" customHeight="1" outlineLevel="1" x14ac:dyDescent="0.2">
      <c r="A69" s="3" t="s">
        <v>502</v>
      </c>
      <c r="C69" s="12">
        <f t="shared" si="19"/>
        <v>1</v>
      </c>
      <c r="D69" s="12" t="str">
        <f t="shared" si="20"/>
        <v>-</v>
      </c>
      <c r="E69" s="12" t="str">
        <f t="shared" si="21"/>
        <v>-</v>
      </c>
      <c r="F69" s="12" t="str">
        <f t="shared" si="22"/>
        <v>-</v>
      </c>
      <c r="G69" s="12" t="str">
        <f t="shared" si="23"/>
        <v>-</v>
      </c>
      <c r="H69" s="12" t="str">
        <f t="shared" si="24"/>
        <v>-</v>
      </c>
      <c r="I69" s="12" t="str">
        <f t="shared" si="25"/>
        <v>-</v>
      </c>
      <c r="J69" s="12" t="str">
        <f t="shared" si="26"/>
        <v>-</v>
      </c>
      <c r="K69" s="12" t="str">
        <f t="shared" si="27"/>
        <v>-</v>
      </c>
      <c r="L69" s="12" t="str">
        <f t="shared" si="28"/>
        <v>-</v>
      </c>
      <c r="M69" s="12" t="str">
        <f t="shared" si="29"/>
        <v>-</v>
      </c>
      <c r="N69" s="12" t="str">
        <f t="shared" si="30"/>
        <v>-</v>
      </c>
      <c r="O69" s="12" t="str">
        <f t="shared" si="31"/>
        <v>-</v>
      </c>
      <c r="P69" s="12" t="str">
        <f t="shared" si="32"/>
        <v>-</v>
      </c>
      <c r="Q69" s="12" t="str">
        <f t="shared" si="33"/>
        <v>-</v>
      </c>
      <c r="R69" s="12" t="str">
        <f t="shared" si="34"/>
        <v>-</v>
      </c>
      <c r="S69" s="12" t="str">
        <f t="shared" si="35"/>
        <v>-</v>
      </c>
      <c r="T69" s="12" t="str">
        <f t="shared" si="36"/>
        <v>-</v>
      </c>
      <c r="U69" s="12" t="str">
        <f t="shared" si="37"/>
        <v>-</v>
      </c>
      <c r="V69" s="12" t="str">
        <f t="shared" si="38"/>
        <v>-</v>
      </c>
      <c r="W69" s="12" t="str">
        <f t="shared" si="39"/>
        <v>-</v>
      </c>
      <c r="X69" s="12" t="str">
        <f t="shared" si="40"/>
        <v>-</v>
      </c>
      <c r="Y69" s="12" t="str">
        <f t="shared" si="41"/>
        <v>-</v>
      </c>
      <c r="Z69" s="12" t="str">
        <f t="shared" si="42"/>
        <v>-</v>
      </c>
      <c r="AA69" s="12" t="str">
        <f t="shared" si="43"/>
        <v>-</v>
      </c>
      <c r="AB69" s="12" t="str">
        <f t="shared" si="44"/>
        <v>-</v>
      </c>
      <c r="AC69" s="12" t="str">
        <f t="shared" si="45"/>
        <v>-</v>
      </c>
      <c r="AD69" s="12" t="str">
        <f t="shared" si="46"/>
        <v>-</v>
      </c>
      <c r="AE69" s="12" t="str">
        <f t="shared" si="47"/>
        <v>-</v>
      </c>
      <c r="AF69" s="12" t="str">
        <f t="shared" si="48"/>
        <v>-</v>
      </c>
      <c r="AG69" s="12" t="str">
        <f t="shared" si="49"/>
        <v>-</v>
      </c>
      <c r="AJ69" s="144">
        <f t="shared" ca="1" si="50"/>
        <v>0</v>
      </c>
      <c r="AK69" s="12">
        <f t="shared" ca="1" si="51"/>
        <v>0</v>
      </c>
      <c r="AL69" s="12">
        <f t="shared" ca="1" si="52"/>
        <v>0</v>
      </c>
      <c r="AN69" s="28"/>
      <c r="AO69" s="42" t="s">
        <v>467</v>
      </c>
      <c r="AP69" s="156"/>
      <c r="AQ69" s="158" t="s">
        <v>60</v>
      </c>
      <c r="AR69" s="149">
        <v>0</v>
      </c>
      <c r="AS69" s="149">
        <v>0</v>
      </c>
      <c r="AT69" s="155" t="s">
        <v>384</v>
      </c>
      <c r="AU69" s="141"/>
      <c r="AV69" s="141"/>
      <c r="AW69" s="141"/>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row>
    <row r="70" spans="1:77" ht="15.75" hidden="1" customHeight="1" outlineLevel="1" x14ac:dyDescent="0.2">
      <c r="A70" s="3" t="s">
        <v>503</v>
      </c>
      <c r="C70" s="12">
        <f t="shared" si="19"/>
        <v>1</v>
      </c>
      <c r="D70" s="12" t="str">
        <f t="shared" si="20"/>
        <v>-</v>
      </c>
      <c r="E70" s="12" t="str">
        <f t="shared" si="21"/>
        <v>-</v>
      </c>
      <c r="F70" s="12" t="str">
        <f t="shared" si="22"/>
        <v>-</v>
      </c>
      <c r="G70" s="12" t="str">
        <f t="shared" si="23"/>
        <v>-</v>
      </c>
      <c r="H70" s="12" t="str">
        <f t="shared" si="24"/>
        <v>-</v>
      </c>
      <c r="I70" s="12" t="str">
        <f t="shared" si="25"/>
        <v>-</v>
      </c>
      <c r="J70" s="12" t="str">
        <f t="shared" si="26"/>
        <v>-</v>
      </c>
      <c r="K70" s="12" t="str">
        <f t="shared" si="27"/>
        <v>-</v>
      </c>
      <c r="L70" s="12" t="str">
        <f t="shared" si="28"/>
        <v>-</v>
      </c>
      <c r="M70" s="12" t="str">
        <f t="shared" si="29"/>
        <v>-</v>
      </c>
      <c r="N70" s="12" t="str">
        <f t="shared" si="30"/>
        <v>-</v>
      </c>
      <c r="O70" s="12" t="str">
        <f t="shared" si="31"/>
        <v>-</v>
      </c>
      <c r="P70" s="12" t="str">
        <f t="shared" si="32"/>
        <v>-</v>
      </c>
      <c r="Q70" s="12" t="str">
        <f t="shared" si="33"/>
        <v>-</v>
      </c>
      <c r="R70" s="12" t="str">
        <f t="shared" si="34"/>
        <v>-</v>
      </c>
      <c r="S70" s="12" t="str">
        <f t="shared" si="35"/>
        <v>-</v>
      </c>
      <c r="T70" s="12" t="str">
        <f t="shared" si="36"/>
        <v>-</v>
      </c>
      <c r="U70" s="12" t="str">
        <f t="shared" si="37"/>
        <v>-</v>
      </c>
      <c r="V70" s="12" t="str">
        <f t="shared" si="38"/>
        <v>-</v>
      </c>
      <c r="W70" s="12" t="str">
        <f t="shared" si="39"/>
        <v>-</v>
      </c>
      <c r="X70" s="12" t="str">
        <f t="shared" si="40"/>
        <v>-</v>
      </c>
      <c r="Y70" s="12" t="str">
        <f t="shared" si="41"/>
        <v>-</v>
      </c>
      <c r="Z70" s="12" t="str">
        <f t="shared" si="42"/>
        <v>-</v>
      </c>
      <c r="AA70" s="12" t="str">
        <f t="shared" si="43"/>
        <v>-</v>
      </c>
      <c r="AB70" s="12" t="str">
        <f t="shared" si="44"/>
        <v>-</v>
      </c>
      <c r="AC70" s="12" t="str">
        <f t="shared" si="45"/>
        <v>-</v>
      </c>
      <c r="AD70" s="12" t="str">
        <f t="shared" si="46"/>
        <v>-</v>
      </c>
      <c r="AE70" s="12" t="str">
        <f t="shared" si="47"/>
        <v>-</v>
      </c>
      <c r="AF70" s="12" t="str">
        <f t="shared" si="48"/>
        <v>-</v>
      </c>
      <c r="AG70" s="12" t="str">
        <f t="shared" si="49"/>
        <v>-</v>
      </c>
      <c r="AJ70" s="144">
        <f t="shared" ca="1" si="50"/>
        <v>0</v>
      </c>
      <c r="AK70" s="12">
        <f t="shared" ca="1" si="51"/>
        <v>0</v>
      </c>
      <c r="AL70" s="12">
        <f t="shared" ca="1" si="52"/>
        <v>0</v>
      </c>
      <c r="AN70" s="28"/>
      <c r="AO70" s="42" t="s">
        <v>468</v>
      </c>
      <c r="AP70" s="156"/>
      <c r="AQ70" s="158" t="s">
        <v>60</v>
      </c>
      <c r="AR70" s="149">
        <v>0</v>
      </c>
      <c r="AS70" s="149">
        <v>0</v>
      </c>
      <c r="AT70" s="155" t="s">
        <v>384</v>
      </c>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141"/>
    </row>
    <row r="71" spans="1:77" ht="15.75" hidden="1" customHeight="1" outlineLevel="1" x14ac:dyDescent="0.2">
      <c r="A71" s="3" t="s">
        <v>504</v>
      </c>
      <c r="C71" s="12">
        <f t="shared" si="19"/>
        <v>1</v>
      </c>
      <c r="D71" s="12" t="str">
        <f t="shared" si="20"/>
        <v>-</v>
      </c>
      <c r="E71" s="12" t="str">
        <f t="shared" si="21"/>
        <v>-</v>
      </c>
      <c r="F71" s="12" t="str">
        <f t="shared" si="22"/>
        <v>-</v>
      </c>
      <c r="G71" s="12" t="str">
        <f t="shared" si="23"/>
        <v>-</v>
      </c>
      <c r="H71" s="12" t="str">
        <f t="shared" si="24"/>
        <v>-</v>
      </c>
      <c r="I71" s="12" t="str">
        <f t="shared" si="25"/>
        <v>-</v>
      </c>
      <c r="J71" s="12" t="str">
        <f t="shared" si="26"/>
        <v>-</v>
      </c>
      <c r="K71" s="12" t="str">
        <f t="shared" si="27"/>
        <v>-</v>
      </c>
      <c r="L71" s="12" t="str">
        <f t="shared" si="28"/>
        <v>-</v>
      </c>
      <c r="M71" s="12" t="str">
        <f t="shared" si="29"/>
        <v>-</v>
      </c>
      <c r="N71" s="12" t="str">
        <f t="shared" si="30"/>
        <v>-</v>
      </c>
      <c r="O71" s="12" t="str">
        <f t="shared" si="31"/>
        <v>-</v>
      </c>
      <c r="P71" s="12" t="str">
        <f t="shared" si="32"/>
        <v>-</v>
      </c>
      <c r="Q71" s="12" t="str">
        <f t="shared" si="33"/>
        <v>-</v>
      </c>
      <c r="R71" s="12" t="str">
        <f t="shared" si="34"/>
        <v>-</v>
      </c>
      <c r="S71" s="12" t="str">
        <f t="shared" si="35"/>
        <v>-</v>
      </c>
      <c r="T71" s="12" t="str">
        <f t="shared" si="36"/>
        <v>-</v>
      </c>
      <c r="U71" s="12" t="str">
        <f t="shared" si="37"/>
        <v>-</v>
      </c>
      <c r="V71" s="12" t="str">
        <f t="shared" si="38"/>
        <v>-</v>
      </c>
      <c r="W71" s="12" t="str">
        <f t="shared" si="39"/>
        <v>-</v>
      </c>
      <c r="X71" s="12" t="str">
        <f t="shared" si="40"/>
        <v>-</v>
      </c>
      <c r="Y71" s="12" t="str">
        <f t="shared" si="41"/>
        <v>-</v>
      </c>
      <c r="Z71" s="12" t="str">
        <f t="shared" si="42"/>
        <v>-</v>
      </c>
      <c r="AA71" s="12" t="str">
        <f t="shared" si="43"/>
        <v>-</v>
      </c>
      <c r="AB71" s="12" t="str">
        <f t="shared" si="44"/>
        <v>-</v>
      </c>
      <c r="AC71" s="12" t="str">
        <f t="shared" si="45"/>
        <v>-</v>
      </c>
      <c r="AD71" s="12" t="str">
        <f t="shared" si="46"/>
        <v>-</v>
      </c>
      <c r="AE71" s="12" t="str">
        <f t="shared" si="47"/>
        <v>-</v>
      </c>
      <c r="AF71" s="12" t="str">
        <f t="shared" si="48"/>
        <v>-</v>
      </c>
      <c r="AG71" s="12" t="str">
        <f t="shared" si="49"/>
        <v>-</v>
      </c>
      <c r="AJ71" s="144">
        <f t="shared" ca="1" si="50"/>
        <v>0</v>
      </c>
      <c r="AK71" s="12">
        <f t="shared" ca="1" si="51"/>
        <v>0</v>
      </c>
      <c r="AL71" s="12">
        <f t="shared" ca="1" si="52"/>
        <v>0</v>
      </c>
      <c r="AN71" s="28"/>
      <c r="AO71" s="42" t="s">
        <v>469</v>
      </c>
      <c r="AP71" s="156"/>
      <c r="AQ71" s="158" t="s">
        <v>60</v>
      </c>
      <c r="AR71" s="149">
        <v>0</v>
      </c>
      <c r="AS71" s="149">
        <v>0</v>
      </c>
      <c r="AT71" s="155" t="s">
        <v>384</v>
      </c>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row>
    <row r="72" spans="1:77" ht="15.75" hidden="1" customHeight="1" outlineLevel="1" x14ac:dyDescent="0.2">
      <c r="A72" s="3" t="s">
        <v>505</v>
      </c>
      <c r="C72" s="12">
        <f t="shared" si="19"/>
        <v>1</v>
      </c>
      <c r="D72" s="12" t="str">
        <f t="shared" si="20"/>
        <v>-</v>
      </c>
      <c r="E72" s="12" t="str">
        <f t="shared" si="21"/>
        <v>-</v>
      </c>
      <c r="F72" s="12" t="str">
        <f t="shared" si="22"/>
        <v>-</v>
      </c>
      <c r="G72" s="12" t="str">
        <f t="shared" si="23"/>
        <v>-</v>
      </c>
      <c r="H72" s="12" t="str">
        <f t="shared" si="24"/>
        <v>-</v>
      </c>
      <c r="I72" s="12" t="str">
        <f t="shared" si="25"/>
        <v>-</v>
      </c>
      <c r="J72" s="12" t="str">
        <f t="shared" si="26"/>
        <v>-</v>
      </c>
      <c r="K72" s="12" t="str">
        <f t="shared" si="27"/>
        <v>-</v>
      </c>
      <c r="L72" s="12" t="str">
        <f t="shared" si="28"/>
        <v>-</v>
      </c>
      <c r="M72" s="12" t="str">
        <f t="shared" si="29"/>
        <v>-</v>
      </c>
      <c r="N72" s="12" t="str">
        <f t="shared" si="30"/>
        <v>-</v>
      </c>
      <c r="O72" s="12" t="str">
        <f t="shared" si="31"/>
        <v>-</v>
      </c>
      <c r="P72" s="12" t="str">
        <f t="shared" si="32"/>
        <v>-</v>
      </c>
      <c r="Q72" s="12" t="str">
        <f t="shared" si="33"/>
        <v>-</v>
      </c>
      <c r="R72" s="12" t="str">
        <f t="shared" si="34"/>
        <v>-</v>
      </c>
      <c r="S72" s="12" t="str">
        <f t="shared" si="35"/>
        <v>-</v>
      </c>
      <c r="T72" s="12" t="str">
        <f t="shared" si="36"/>
        <v>-</v>
      </c>
      <c r="U72" s="12" t="str">
        <f t="shared" si="37"/>
        <v>-</v>
      </c>
      <c r="V72" s="12" t="str">
        <f t="shared" si="38"/>
        <v>-</v>
      </c>
      <c r="W72" s="12" t="str">
        <f t="shared" si="39"/>
        <v>-</v>
      </c>
      <c r="X72" s="12" t="str">
        <f t="shared" si="40"/>
        <v>-</v>
      </c>
      <c r="Y72" s="12" t="str">
        <f t="shared" si="41"/>
        <v>-</v>
      </c>
      <c r="Z72" s="12" t="str">
        <f t="shared" si="42"/>
        <v>-</v>
      </c>
      <c r="AA72" s="12" t="str">
        <f t="shared" si="43"/>
        <v>-</v>
      </c>
      <c r="AB72" s="12" t="str">
        <f t="shared" si="44"/>
        <v>-</v>
      </c>
      <c r="AC72" s="12" t="str">
        <f t="shared" si="45"/>
        <v>-</v>
      </c>
      <c r="AD72" s="12" t="str">
        <f t="shared" si="46"/>
        <v>-</v>
      </c>
      <c r="AE72" s="12" t="str">
        <f t="shared" si="47"/>
        <v>-</v>
      </c>
      <c r="AF72" s="12" t="str">
        <f t="shared" si="48"/>
        <v>-</v>
      </c>
      <c r="AG72" s="12" t="str">
        <f t="shared" si="49"/>
        <v>-</v>
      </c>
      <c r="AJ72" s="144">
        <f t="shared" ca="1" si="50"/>
        <v>0</v>
      </c>
      <c r="AK72" s="12">
        <f t="shared" ca="1" si="51"/>
        <v>0</v>
      </c>
      <c r="AL72" s="12">
        <f t="shared" ca="1" si="52"/>
        <v>0</v>
      </c>
      <c r="AN72" s="28"/>
      <c r="AO72" s="42" t="s">
        <v>470</v>
      </c>
      <c r="AP72" s="156"/>
      <c r="AQ72" s="158" t="s">
        <v>60</v>
      </c>
      <c r="AR72" s="149">
        <v>0</v>
      </c>
      <c r="AS72" s="149">
        <v>0</v>
      </c>
      <c r="AT72" s="155" t="s">
        <v>384</v>
      </c>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row>
    <row r="73" spans="1:77" ht="15.75" hidden="1" customHeight="1" outlineLevel="1" x14ac:dyDescent="0.2">
      <c r="A73" s="3" t="s">
        <v>506</v>
      </c>
      <c r="C73" s="12">
        <f t="shared" si="19"/>
        <v>1</v>
      </c>
      <c r="D73" s="12" t="str">
        <f t="shared" si="20"/>
        <v>-</v>
      </c>
      <c r="E73" s="12" t="str">
        <f t="shared" si="21"/>
        <v>-</v>
      </c>
      <c r="F73" s="12" t="str">
        <f t="shared" si="22"/>
        <v>-</v>
      </c>
      <c r="G73" s="12" t="str">
        <f t="shared" si="23"/>
        <v>-</v>
      </c>
      <c r="H73" s="12" t="str">
        <f t="shared" si="24"/>
        <v>-</v>
      </c>
      <c r="I73" s="12" t="str">
        <f t="shared" si="25"/>
        <v>-</v>
      </c>
      <c r="J73" s="12" t="str">
        <f t="shared" si="26"/>
        <v>-</v>
      </c>
      <c r="K73" s="12" t="str">
        <f t="shared" si="27"/>
        <v>-</v>
      </c>
      <c r="L73" s="12" t="str">
        <f t="shared" si="28"/>
        <v>-</v>
      </c>
      <c r="M73" s="12" t="str">
        <f t="shared" si="29"/>
        <v>-</v>
      </c>
      <c r="N73" s="12" t="str">
        <f t="shared" si="30"/>
        <v>-</v>
      </c>
      <c r="O73" s="12" t="str">
        <f t="shared" si="31"/>
        <v>-</v>
      </c>
      <c r="P73" s="12" t="str">
        <f t="shared" si="32"/>
        <v>-</v>
      </c>
      <c r="Q73" s="12" t="str">
        <f t="shared" si="33"/>
        <v>-</v>
      </c>
      <c r="R73" s="12" t="str">
        <f t="shared" si="34"/>
        <v>-</v>
      </c>
      <c r="S73" s="12" t="str">
        <f t="shared" si="35"/>
        <v>-</v>
      </c>
      <c r="T73" s="12" t="str">
        <f t="shared" si="36"/>
        <v>-</v>
      </c>
      <c r="U73" s="12" t="str">
        <f t="shared" si="37"/>
        <v>-</v>
      </c>
      <c r="V73" s="12" t="str">
        <f t="shared" si="38"/>
        <v>-</v>
      </c>
      <c r="W73" s="12" t="str">
        <f t="shared" si="39"/>
        <v>-</v>
      </c>
      <c r="X73" s="12" t="str">
        <f t="shared" si="40"/>
        <v>-</v>
      </c>
      <c r="Y73" s="12" t="str">
        <f t="shared" si="41"/>
        <v>-</v>
      </c>
      <c r="Z73" s="12" t="str">
        <f t="shared" si="42"/>
        <v>-</v>
      </c>
      <c r="AA73" s="12" t="str">
        <f t="shared" si="43"/>
        <v>-</v>
      </c>
      <c r="AB73" s="12" t="str">
        <f t="shared" si="44"/>
        <v>-</v>
      </c>
      <c r="AC73" s="12" t="str">
        <f t="shared" si="45"/>
        <v>-</v>
      </c>
      <c r="AD73" s="12" t="str">
        <f t="shared" si="46"/>
        <v>-</v>
      </c>
      <c r="AE73" s="12" t="str">
        <f t="shared" si="47"/>
        <v>-</v>
      </c>
      <c r="AF73" s="12" t="str">
        <f t="shared" si="48"/>
        <v>-</v>
      </c>
      <c r="AG73" s="12" t="str">
        <f t="shared" si="49"/>
        <v>-</v>
      </c>
      <c r="AJ73" s="144">
        <f t="shared" ca="1" si="50"/>
        <v>0</v>
      </c>
      <c r="AK73" s="12">
        <f t="shared" ca="1" si="51"/>
        <v>0</v>
      </c>
      <c r="AL73" s="12">
        <f t="shared" ca="1" si="52"/>
        <v>0</v>
      </c>
      <c r="AN73" s="28"/>
      <c r="AO73" s="42" t="s">
        <v>471</v>
      </c>
      <c r="AP73" s="156"/>
      <c r="AQ73" s="158" t="s">
        <v>60</v>
      </c>
      <c r="AR73" s="149">
        <v>0</v>
      </c>
      <c r="AS73" s="149">
        <v>0</v>
      </c>
      <c r="AT73" s="155" t="s">
        <v>384</v>
      </c>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row>
    <row r="74" spans="1:77" ht="15.75" hidden="1" customHeight="1" outlineLevel="1" x14ac:dyDescent="0.2">
      <c r="A74" s="3" t="s">
        <v>507</v>
      </c>
      <c r="C74" s="12">
        <f t="shared" si="19"/>
        <v>1</v>
      </c>
      <c r="D74" s="12" t="str">
        <f t="shared" si="20"/>
        <v>-</v>
      </c>
      <c r="E74" s="12" t="str">
        <f t="shared" si="21"/>
        <v>-</v>
      </c>
      <c r="F74" s="12" t="str">
        <f t="shared" si="22"/>
        <v>-</v>
      </c>
      <c r="G74" s="12" t="str">
        <f t="shared" si="23"/>
        <v>-</v>
      </c>
      <c r="H74" s="12" t="str">
        <f t="shared" si="24"/>
        <v>-</v>
      </c>
      <c r="I74" s="12" t="str">
        <f t="shared" si="25"/>
        <v>-</v>
      </c>
      <c r="J74" s="12" t="str">
        <f t="shared" si="26"/>
        <v>-</v>
      </c>
      <c r="K74" s="12" t="str">
        <f t="shared" si="27"/>
        <v>-</v>
      </c>
      <c r="L74" s="12" t="str">
        <f t="shared" si="28"/>
        <v>-</v>
      </c>
      <c r="M74" s="12" t="str">
        <f t="shared" si="29"/>
        <v>-</v>
      </c>
      <c r="N74" s="12" t="str">
        <f t="shared" si="30"/>
        <v>-</v>
      </c>
      <c r="O74" s="12" t="str">
        <f t="shared" si="31"/>
        <v>-</v>
      </c>
      <c r="P74" s="12" t="str">
        <f t="shared" si="32"/>
        <v>-</v>
      </c>
      <c r="Q74" s="12" t="str">
        <f t="shared" si="33"/>
        <v>-</v>
      </c>
      <c r="R74" s="12" t="str">
        <f t="shared" si="34"/>
        <v>-</v>
      </c>
      <c r="S74" s="12" t="str">
        <f t="shared" si="35"/>
        <v>-</v>
      </c>
      <c r="T74" s="12" t="str">
        <f t="shared" si="36"/>
        <v>-</v>
      </c>
      <c r="U74" s="12" t="str">
        <f t="shared" si="37"/>
        <v>-</v>
      </c>
      <c r="V74" s="12" t="str">
        <f t="shared" si="38"/>
        <v>-</v>
      </c>
      <c r="W74" s="12" t="str">
        <f t="shared" si="39"/>
        <v>-</v>
      </c>
      <c r="X74" s="12" t="str">
        <f t="shared" si="40"/>
        <v>-</v>
      </c>
      <c r="Y74" s="12" t="str">
        <f t="shared" si="41"/>
        <v>-</v>
      </c>
      <c r="Z74" s="12" t="str">
        <f t="shared" si="42"/>
        <v>-</v>
      </c>
      <c r="AA74" s="12" t="str">
        <f t="shared" si="43"/>
        <v>-</v>
      </c>
      <c r="AB74" s="12" t="str">
        <f t="shared" si="44"/>
        <v>-</v>
      </c>
      <c r="AC74" s="12" t="str">
        <f t="shared" si="45"/>
        <v>-</v>
      </c>
      <c r="AD74" s="12" t="str">
        <f t="shared" si="46"/>
        <v>-</v>
      </c>
      <c r="AE74" s="12" t="str">
        <f t="shared" si="47"/>
        <v>-</v>
      </c>
      <c r="AF74" s="12" t="str">
        <f t="shared" si="48"/>
        <v>-</v>
      </c>
      <c r="AG74" s="12" t="str">
        <f t="shared" si="49"/>
        <v>-</v>
      </c>
      <c r="AJ74" s="144">
        <f t="shared" ca="1" si="50"/>
        <v>0</v>
      </c>
      <c r="AK74" s="12">
        <f t="shared" ca="1" si="51"/>
        <v>0</v>
      </c>
      <c r="AL74" s="12">
        <f t="shared" ca="1" si="52"/>
        <v>0</v>
      </c>
      <c r="AN74" s="28"/>
      <c r="AO74" s="42" t="s">
        <v>472</v>
      </c>
      <c r="AP74" s="156"/>
      <c r="AQ74" s="158" t="s">
        <v>60</v>
      </c>
      <c r="AR74" s="149">
        <v>0</v>
      </c>
      <c r="AS74" s="149">
        <v>0</v>
      </c>
      <c r="AT74" s="155" t="s">
        <v>384</v>
      </c>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row>
    <row r="75" spans="1:77" ht="15.75" hidden="1" customHeight="1" outlineLevel="1" x14ac:dyDescent="0.2">
      <c r="A75" s="3" t="s">
        <v>508</v>
      </c>
      <c r="C75" s="12">
        <f t="shared" si="19"/>
        <v>1</v>
      </c>
      <c r="D75" s="12" t="str">
        <f t="shared" si="20"/>
        <v>-</v>
      </c>
      <c r="E75" s="12" t="str">
        <f t="shared" si="21"/>
        <v>-</v>
      </c>
      <c r="F75" s="12" t="str">
        <f t="shared" si="22"/>
        <v>-</v>
      </c>
      <c r="G75" s="12" t="str">
        <f t="shared" si="23"/>
        <v>-</v>
      </c>
      <c r="H75" s="12" t="str">
        <f t="shared" si="24"/>
        <v>-</v>
      </c>
      <c r="I75" s="12" t="str">
        <f t="shared" si="25"/>
        <v>-</v>
      </c>
      <c r="J75" s="12" t="str">
        <f t="shared" si="26"/>
        <v>-</v>
      </c>
      <c r="K75" s="12" t="str">
        <f t="shared" si="27"/>
        <v>-</v>
      </c>
      <c r="L75" s="12" t="str">
        <f t="shared" si="28"/>
        <v>-</v>
      </c>
      <c r="M75" s="12" t="str">
        <f t="shared" si="29"/>
        <v>-</v>
      </c>
      <c r="N75" s="12" t="str">
        <f t="shared" si="30"/>
        <v>-</v>
      </c>
      <c r="O75" s="12" t="str">
        <f t="shared" si="31"/>
        <v>-</v>
      </c>
      <c r="P75" s="12" t="str">
        <f t="shared" si="32"/>
        <v>-</v>
      </c>
      <c r="Q75" s="12" t="str">
        <f t="shared" si="33"/>
        <v>-</v>
      </c>
      <c r="R75" s="12" t="str">
        <f t="shared" si="34"/>
        <v>-</v>
      </c>
      <c r="S75" s="12" t="str">
        <f t="shared" si="35"/>
        <v>-</v>
      </c>
      <c r="T75" s="12" t="str">
        <f t="shared" si="36"/>
        <v>-</v>
      </c>
      <c r="U75" s="12" t="str">
        <f t="shared" si="37"/>
        <v>-</v>
      </c>
      <c r="V75" s="12" t="str">
        <f t="shared" si="38"/>
        <v>-</v>
      </c>
      <c r="W75" s="12" t="str">
        <f t="shared" si="39"/>
        <v>-</v>
      </c>
      <c r="X75" s="12" t="str">
        <f t="shared" si="40"/>
        <v>-</v>
      </c>
      <c r="Y75" s="12" t="str">
        <f t="shared" si="41"/>
        <v>-</v>
      </c>
      <c r="Z75" s="12" t="str">
        <f t="shared" si="42"/>
        <v>-</v>
      </c>
      <c r="AA75" s="12" t="str">
        <f t="shared" si="43"/>
        <v>-</v>
      </c>
      <c r="AB75" s="12" t="str">
        <f t="shared" si="44"/>
        <v>-</v>
      </c>
      <c r="AC75" s="12" t="str">
        <f t="shared" si="45"/>
        <v>-</v>
      </c>
      <c r="AD75" s="12" t="str">
        <f t="shared" si="46"/>
        <v>-</v>
      </c>
      <c r="AE75" s="12" t="str">
        <f t="shared" si="47"/>
        <v>-</v>
      </c>
      <c r="AF75" s="12" t="str">
        <f t="shared" si="48"/>
        <v>-</v>
      </c>
      <c r="AG75" s="12" t="str">
        <f t="shared" si="49"/>
        <v>-</v>
      </c>
      <c r="AJ75" s="144">
        <f t="shared" ca="1" si="50"/>
        <v>0</v>
      </c>
      <c r="AK75" s="12">
        <f t="shared" ca="1" si="51"/>
        <v>0</v>
      </c>
      <c r="AL75" s="12">
        <f t="shared" ca="1" si="52"/>
        <v>0</v>
      </c>
      <c r="AN75" s="28"/>
      <c r="AO75" s="42" t="s">
        <v>473</v>
      </c>
      <c r="AP75" s="156"/>
      <c r="AQ75" s="158" t="s">
        <v>60</v>
      </c>
      <c r="AR75" s="149">
        <v>0</v>
      </c>
      <c r="AS75" s="149">
        <v>0</v>
      </c>
      <c r="AT75" s="155" t="s">
        <v>384</v>
      </c>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row>
    <row r="76" spans="1:77" ht="15.75" hidden="1" customHeight="1" outlineLevel="1" x14ac:dyDescent="0.2">
      <c r="A76" s="3" t="s">
        <v>509</v>
      </c>
      <c r="C76" s="12">
        <f t="shared" si="19"/>
        <v>1</v>
      </c>
      <c r="D76" s="12" t="str">
        <f t="shared" si="20"/>
        <v>-</v>
      </c>
      <c r="E76" s="12" t="str">
        <f t="shared" si="21"/>
        <v>-</v>
      </c>
      <c r="F76" s="12" t="str">
        <f t="shared" si="22"/>
        <v>-</v>
      </c>
      <c r="G76" s="12" t="str">
        <f t="shared" si="23"/>
        <v>-</v>
      </c>
      <c r="H76" s="12" t="str">
        <f t="shared" si="24"/>
        <v>-</v>
      </c>
      <c r="I76" s="12" t="str">
        <f t="shared" si="25"/>
        <v>-</v>
      </c>
      <c r="J76" s="12" t="str">
        <f t="shared" si="26"/>
        <v>-</v>
      </c>
      <c r="K76" s="12" t="str">
        <f t="shared" si="27"/>
        <v>-</v>
      </c>
      <c r="L76" s="12" t="str">
        <f t="shared" si="28"/>
        <v>-</v>
      </c>
      <c r="M76" s="12" t="str">
        <f t="shared" si="29"/>
        <v>-</v>
      </c>
      <c r="N76" s="12" t="str">
        <f t="shared" si="30"/>
        <v>-</v>
      </c>
      <c r="O76" s="12" t="str">
        <f t="shared" si="31"/>
        <v>-</v>
      </c>
      <c r="P76" s="12" t="str">
        <f t="shared" si="32"/>
        <v>-</v>
      </c>
      <c r="Q76" s="12" t="str">
        <f t="shared" si="33"/>
        <v>-</v>
      </c>
      <c r="R76" s="12" t="str">
        <f t="shared" si="34"/>
        <v>-</v>
      </c>
      <c r="S76" s="12" t="str">
        <f t="shared" si="35"/>
        <v>-</v>
      </c>
      <c r="T76" s="12" t="str">
        <f t="shared" si="36"/>
        <v>-</v>
      </c>
      <c r="U76" s="12" t="str">
        <f t="shared" si="37"/>
        <v>-</v>
      </c>
      <c r="V76" s="12" t="str">
        <f t="shared" si="38"/>
        <v>-</v>
      </c>
      <c r="W76" s="12" t="str">
        <f t="shared" si="39"/>
        <v>-</v>
      </c>
      <c r="X76" s="12" t="str">
        <f t="shared" si="40"/>
        <v>-</v>
      </c>
      <c r="Y76" s="12" t="str">
        <f t="shared" si="41"/>
        <v>-</v>
      </c>
      <c r="Z76" s="12" t="str">
        <f t="shared" si="42"/>
        <v>-</v>
      </c>
      <c r="AA76" s="12" t="str">
        <f t="shared" si="43"/>
        <v>-</v>
      </c>
      <c r="AB76" s="12" t="str">
        <f t="shared" si="44"/>
        <v>-</v>
      </c>
      <c r="AC76" s="12" t="str">
        <f t="shared" si="45"/>
        <v>-</v>
      </c>
      <c r="AD76" s="12" t="str">
        <f t="shared" si="46"/>
        <v>-</v>
      </c>
      <c r="AE76" s="12" t="str">
        <f t="shared" si="47"/>
        <v>-</v>
      </c>
      <c r="AF76" s="12" t="str">
        <f t="shared" si="48"/>
        <v>-</v>
      </c>
      <c r="AG76" s="12" t="str">
        <f t="shared" si="49"/>
        <v>-</v>
      </c>
      <c r="AJ76" s="144">
        <f t="shared" ca="1" si="50"/>
        <v>0</v>
      </c>
      <c r="AK76" s="12">
        <f t="shared" ca="1" si="51"/>
        <v>0</v>
      </c>
      <c r="AL76" s="12">
        <f t="shared" ca="1" si="52"/>
        <v>0</v>
      </c>
      <c r="AN76" s="28"/>
      <c r="AO76" s="42" t="s">
        <v>474</v>
      </c>
      <c r="AP76" s="156"/>
      <c r="AQ76" s="158" t="s">
        <v>60</v>
      </c>
      <c r="AR76" s="149">
        <v>0</v>
      </c>
      <c r="AS76" s="149">
        <v>0</v>
      </c>
      <c r="AT76" s="155" t="s">
        <v>384</v>
      </c>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row>
    <row r="77" spans="1:77" ht="15.75" hidden="1" customHeight="1" outlineLevel="1" x14ac:dyDescent="0.2">
      <c r="A77" s="3" t="s">
        <v>510</v>
      </c>
      <c r="C77" s="12">
        <f t="shared" si="19"/>
        <v>1</v>
      </c>
      <c r="D77" s="12" t="str">
        <f t="shared" si="20"/>
        <v>-</v>
      </c>
      <c r="E77" s="12" t="str">
        <f t="shared" si="21"/>
        <v>-</v>
      </c>
      <c r="F77" s="12" t="str">
        <f t="shared" si="22"/>
        <v>-</v>
      </c>
      <c r="G77" s="12" t="str">
        <f t="shared" si="23"/>
        <v>-</v>
      </c>
      <c r="H77" s="12" t="str">
        <f t="shared" si="24"/>
        <v>-</v>
      </c>
      <c r="I77" s="12" t="str">
        <f t="shared" si="25"/>
        <v>-</v>
      </c>
      <c r="J77" s="12" t="str">
        <f t="shared" si="26"/>
        <v>-</v>
      </c>
      <c r="K77" s="12" t="str">
        <f t="shared" si="27"/>
        <v>-</v>
      </c>
      <c r="L77" s="12" t="str">
        <f t="shared" si="28"/>
        <v>-</v>
      </c>
      <c r="M77" s="12" t="str">
        <f t="shared" si="29"/>
        <v>-</v>
      </c>
      <c r="N77" s="12" t="str">
        <f t="shared" si="30"/>
        <v>-</v>
      </c>
      <c r="O77" s="12" t="str">
        <f t="shared" si="31"/>
        <v>-</v>
      </c>
      <c r="P77" s="12" t="str">
        <f t="shared" si="32"/>
        <v>-</v>
      </c>
      <c r="Q77" s="12" t="str">
        <f t="shared" si="33"/>
        <v>-</v>
      </c>
      <c r="R77" s="12" t="str">
        <f t="shared" si="34"/>
        <v>-</v>
      </c>
      <c r="S77" s="12" t="str">
        <f t="shared" si="35"/>
        <v>-</v>
      </c>
      <c r="T77" s="12" t="str">
        <f t="shared" si="36"/>
        <v>-</v>
      </c>
      <c r="U77" s="12" t="str">
        <f t="shared" si="37"/>
        <v>-</v>
      </c>
      <c r="V77" s="12" t="str">
        <f t="shared" si="38"/>
        <v>-</v>
      </c>
      <c r="W77" s="12" t="str">
        <f t="shared" si="39"/>
        <v>-</v>
      </c>
      <c r="X77" s="12" t="str">
        <f t="shared" si="40"/>
        <v>-</v>
      </c>
      <c r="Y77" s="12" t="str">
        <f t="shared" si="41"/>
        <v>-</v>
      </c>
      <c r="Z77" s="12" t="str">
        <f t="shared" si="42"/>
        <v>-</v>
      </c>
      <c r="AA77" s="12" t="str">
        <f t="shared" si="43"/>
        <v>-</v>
      </c>
      <c r="AB77" s="12" t="str">
        <f t="shared" si="44"/>
        <v>-</v>
      </c>
      <c r="AC77" s="12" t="str">
        <f t="shared" si="45"/>
        <v>-</v>
      </c>
      <c r="AD77" s="12" t="str">
        <f t="shared" si="46"/>
        <v>-</v>
      </c>
      <c r="AE77" s="12" t="str">
        <f t="shared" si="47"/>
        <v>-</v>
      </c>
      <c r="AF77" s="12" t="str">
        <f t="shared" si="48"/>
        <v>-</v>
      </c>
      <c r="AG77" s="12" t="str">
        <f t="shared" si="49"/>
        <v>-</v>
      </c>
      <c r="AJ77" s="144">
        <f t="shared" ca="1" si="50"/>
        <v>0</v>
      </c>
      <c r="AK77" s="12">
        <f t="shared" ca="1" si="51"/>
        <v>0</v>
      </c>
      <c r="AL77" s="12">
        <f t="shared" ca="1" si="52"/>
        <v>0</v>
      </c>
      <c r="AN77" s="28"/>
      <c r="AO77" s="42" t="s">
        <v>475</v>
      </c>
      <c r="AP77" s="156"/>
      <c r="AQ77" s="158" t="s">
        <v>60</v>
      </c>
      <c r="AR77" s="149">
        <v>0</v>
      </c>
      <c r="AS77" s="149">
        <v>0</v>
      </c>
      <c r="AT77" s="155" t="s">
        <v>384</v>
      </c>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row>
    <row r="78" spans="1:77" ht="15.75" hidden="1" customHeight="1" outlineLevel="1" x14ac:dyDescent="0.2">
      <c r="A78" s="3" t="s">
        <v>511</v>
      </c>
      <c r="C78" s="12">
        <f t="shared" si="19"/>
        <v>1</v>
      </c>
      <c r="D78" s="12" t="str">
        <f t="shared" si="20"/>
        <v>-</v>
      </c>
      <c r="E78" s="12" t="str">
        <f t="shared" si="21"/>
        <v>-</v>
      </c>
      <c r="F78" s="12" t="str">
        <f t="shared" si="22"/>
        <v>-</v>
      </c>
      <c r="G78" s="12" t="str">
        <f t="shared" si="23"/>
        <v>-</v>
      </c>
      <c r="H78" s="12" t="str">
        <f t="shared" si="24"/>
        <v>-</v>
      </c>
      <c r="I78" s="12" t="str">
        <f t="shared" si="25"/>
        <v>-</v>
      </c>
      <c r="J78" s="12" t="str">
        <f t="shared" si="26"/>
        <v>-</v>
      </c>
      <c r="K78" s="12" t="str">
        <f t="shared" si="27"/>
        <v>-</v>
      </c>
      <c r="L78" s="12" t="str">
        <f t="shared" si="28"/>
        <v>-</v>
      </c>
      <c r="M78" s="12" t="str">
        <f t="shared" si="29"/>
        <v>-</v>
      </c>
      <c r="N78" s="12" t="str">
        <f t="shared" si="30"/>
        <v>-</v>
      </c>
      <c r="O78" s="12" t="str">
        <f t="shared" si="31"/>
        <v>-</v>
      </c>
      <c r="P78" s="12" t="str">
        <f t="shared" si="32"/>
        <v>-</v>
      </c>
      <c r="Q78" s="12" t="str">
        <f t="shared" si="33"/>
        <v>-</v>
      </c>
      <c r="R78" s="12" t="str">
        <f t="shared" si="34"/>
        <v>-</v>
      </c>
      <c r="S78" s="12" t="str">
        <f t="shared" si="35"/>
        <v>-</v>
      </c>
      <c r="T78" s="12" t="str">
        <f t="shared" si="36"/>
        <v>-</v>
      </c>
      <c r="U78" s="12" t="str">
        <f t="shared" si="37"/>
        <v>-</v>
      </c>
      <c r="V78" s="12" t="str">
        <f t="shared" si="38"/>
        <v>-</v>
      </c>
      <c r="W78" s="12" t="str">
        <f t="shared" si="39"/>
        <v>-</v>
      </c>
      <c r="X78" s="12" t="str">
        <f t="shared" si="40"/>
        <v>-</v>
      </c>
      <c r="Y78" s="12" t="str">
        <f t="shared" si="41"/>
        <v>-</v>
      </c>
      <c r="Z78" s="12" t="str">
        <f t="shared" si="42"/>
        <v>-</v>
      </c>
      <c r="AA78" s="12" t="str">
        <f t="shared" si="43"/>
        <v>-</v>
      </c>
      <c r="AB78" s="12" t="str">
        <f t="shared" si="44"/>
        <v>-</v>
      </c>
      <c r="AC78" s="12" t="str">
        <f t="shared" si="45"/>
        <v>-</v>
      </c>
      <c r="AD78" s="12" t="str">
        <f t="shared" si="46"/>
        <v>-</v>
      </c>
      <c r="AE78" s="12" t="str">
        <f t="shared" si="47"/>
        <v>-</v>
      </c>
      <c r="AF78" s="12" t="str">
        <f t="shared" si="48"/>
        <v>-</v>
      </c>
      <c r="AG78" s="12" t="str">
        <f t="shared" si="49"/>
        <v>-</v>
      </c>
      <c r="AJ78" s="144">
        <f t="shared" ca="1" si="50"/>
        <v>0</v>
      </c>
      <c r="AK78" s="12">
        <f t="shared" ca="1" si="51"/>
        <v>0</v>
      </c>
      <c r="AL78" s="12">
        <f t="shared" ca="1" si="52"/>
        <v>0</v>
      </c>
      <c r="AN78" s="28"/>
      <c r="AO78" s="42" t="s">
        <v>476</v>
      </c>
      <c r="AP78" s="156"/>
      <c r="AQ78" s="158" t="s">
        <v>60</v>
      </c>
      <c r="AR78" s="149">
        <v>0</v>
      </c>
      <c r="AS78" s="149">
        <v>0</v>
      </c>
      <c r="AT78" s="155" t="s">
        <v>384</v>
      </c>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row>
    <row r="79" spans="1:77" ht="15.75" hidden="1" customHeight="1" outlineLevel="1" x14ac:dyDescent="0.2">
      <c r="A79" s="3" t="s">
        <v>512</v>
      </c>
      <c r="C79" s="12">
        <f t="shared" si="19"/>
        <v>1</v>
      </c>
      <c r="D79" s="12" t="str">
        <f t="shared" si="20"/>
        <v>-</v>
      </c>
      <c r="E79" s="12" t="str">
        <f t="shared" si="21"/>
        <v>-</v>
      </c>
      <c r="F79" s="12" t="str">
        <f t="shared" si="22"/>
        <v>-</v>
      </c>
      <c r="G79" s="12" t="str">
        <f t="shared" si="23"/>
        <v>-</v>
      </c>
      <c r="H79" s="12" t="str">
        <f t="shared" si="24"/>
        <v>-</v>
      </c>
      <c r="I79" s="12" t="str">
        <f t="shared" si="25"/>
        <v>-</v>
      </c>
      <c r="J79" s="12" t="str">
        <f t="shared" si="26"/>
        <v>-</v>
      </c>
      <c r="K79" s="12" t="str">
        <f t="shared" si="27"/>
        <v>-</v>
      </c>
      <c r="L79" s="12" t="str">
        <f t="shared" si="28"/>
        <v>-</v>
      </c>
      <c r="M79" s="12" t="str">
        <f t="shared" si="29"/>
        <v>-</v>
      </c>
      <c r="N79" s="12" t="str">
        <f t="shared" si="30"/>
        <v>-</v>
      </c>
      <c r="O79" s="12" t="str">
        <f t="shared" si="31"/>
        <v>-</v>
      </c>
      <c r="P79" s="12" t="str">
        <f t="shared" si="32"/>
        <v>-</v>
      </c>
      <c r="Q79" s="12" t="str">
        <f t="shared" si="33"/>
        <v>-</v>
      </c>
      <c r="R79" s="12" t="str">
        <f t="shared" si="34"/>
        <v>-</v>
      </c>
      <c r="S79" s="12" t="str">
        <f t="shared" si="35"/>
        <v>-</v>
      </c>
      <c r="T79" s="12" t="str">
        <f t="shared" si="36"/>
        <v>-</v>
      </c>
      <c r="U79" s="12" t="str">
        <f t="shared" si="37"/>
        <v>-</v>
      </c>
      <c r="V79" s="12" t="str">
        <f t="shared" si="38"/>
        <v>-</v>
      </c>
      <c r="W79" s="12" t="str">
        <f t="shared" si="39"/>
        <v>-</v>
      </c>
      <c r="X79" s="12" t="str">
        <f t="shared" si="40"/>
        <v>-</v>
      </c>
      <c r="Y79" s="12" t="str">
        <f t="shared" si="41"/>
        <v>-</v>
      </c>
      <c r="Z79" s="12" t="str">
        <f t="shared" si="42"/>
        <v>-</v>
      </c>
      <c r="AA79" s="12" t="str">
        <f t="shared" si="43"/>
        <v>-</v>
      </c>
      <c r="AB79" s="12" t="str">
        <f t="shared" si="44"/>
        <v>-</v>
      </c>
      <c r="AC79" s="12" t="str">
        <f t="shared" si="45"/>
        <v>-</v>
      </c>
      <c r="AD79" s="12" t="str">
        <f t="shared" si="46"/>
        <v>-</v>
      </c>
      <c r="AE79" s="12" t="str">
        <f t="shared" si="47"/>
        <v>-</v>
      </c>
      <c r="AF79" s="12" t="str">
        <f t="shared" si="48"/>
        <v>-</v>
      </c>
      <c r="AG79" s="12" t="str">
        <f t="shared" si="49"/>
        <v>-</v>
      </c>
      <c r="AJ79" s="144">
        <f t="shared" ca="1" si="50"/>
        <v>0</v>
      </c>
      <c r="AK79" s="12">
        <f t="shared" ca="1" si="51"/>
        <v>0</v>
      </c>
      <c r="AL79" s="12">
        <f t="shared" ca="1" si="52"/>
        <v>0</v>
      </c>
      <c r="AN79" s="28"/>
      <c r="AO79" s="42" t="s">
        <v>477</v>
      </c>
      <c r="AP79" s="156"/>
      <c r="AQ79" s="158" t="s">
        <v>60</v>
      </c>
      <c r="AR79" s="149">
        <v>0</v>
      </c>
      <c r="AS79" s="149">
        <v>0</v>
      </c>
      <c r="AT79" s="155" t="s">
        <v>384</v>
      </c>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row>
    <row r="80" spans="1:77" ht="15.75" hidden="1" customHeight="1" outlineLevel="1" x14ac:dyDescent="0.2">
      <c r="A80" s="3" t="s">
        <v>513</v>
      </c>
      <c r="C80" s="12">
        <f t="shared" si="19"/>
        <v>1</v>
      </c>
      <c r="D80" s="12" t="str">
        <f t="shared" si="20"/>
        <v>-</v>
      </c>
      <c r="E80" s="12" t="str">
        <f t="shared" si="21"/>
        <v>-</v>
      </c>
      <c r="F80" s="12" t="str">
        <f t="shared" si="22"/>
        <v>-</v>
      </c>
      <c r="G80" s="12" t="str">
        <f t="shared" si="23"/>
        <v>-</v>
      </c>
      <c r="H80" s="12" t="str">
        <f t="shared" si="24"/>
        <v>-</v>
      </c>
      <c r="I80" s="12" t="str">
        <f t="shared" si="25"/>
        <v>-</v>
      </c>
      <c r="J80" s="12" t="str">
        <f t="shared" si="26"/>
        <v>-</v>
      </c>
      <c r="K80" s="12" t="str">
        <f t="shared" si="27"/>
        <v>-</v>
      </c>
      <c r="L80" s="12" t="str">
        <f t="shared" si="28"/>
        <v>-</v>
      </c>
      <c r="M80" s="12" t="str">
        <f t="shared" si="29"/>
        <v>-</v>
      </c>
      <c r="N80" s="12" t="str">
        <f t="shared" si="30"/>
        <v>-</v>
      </c>
      <c r="O80" s="12" t="str">
        <f t="shared" si="31"/>
        <v>-</v>
      </c>
      <c r="P80" s="12" t="str">
        <f t="shared" si="32"/>
        <v>-</v>
      </c>
      <c r="Q80" s="12" t="str">
        <f t="shared" si="33"/>
        <v>-</v>
      </c>
      <c r="R80" s="12" t="str">
        <f t="shared" si="34"/>
        <v>-</v>
      </c>
      <c r="S80" s="12" t="str">
        <f t="shared" si="35"/>
        <v>-</v>
      </c>
      <c r="T80" s="12" t="str">
        <f t="shared" si="36"/>
        <v>-</v>
      </c>
      <c r="U80" s="12" t="str">
        <f t="shared" si="37"/>
        <v>-</v>
      </c>
      <c r="V80" s="12" t="str">
        <f t="shared" si="38"/>
        <v>-</v>
      </c>
      <c r="W80" s="12" t="str">
        <f t="shared" si="39"/>
        <v>-</v>
      </c>
      <c r="X80" s="12" t="str">
        <f t="shared" si="40"/>
        <v>-</v>
      </c>
      <c r="Y80" s="12" t="str">
        <f t="shared" si="41"/>
        <v>-</v>
      </c>
      <c r="Z80" s="12" t="str">
        <f t="shared" si="42"/>
        <v>-</v>
      </c>
      <c r="AA80" s="12" t="str">
        <f t="shared" si="43"/>
        <v>-</v>
      </c>
      <c r="AB80" s="12" t="str">
        <f t="shared" si="44"/>
        <v>-</v>
      </c>
      <c r="AC80" s="12" t="str">
        <f t="shared" si="45"/>
        <v>-</v>
      </c>
      <c r="AD80" s="12" t="str">
        <f t="shared" si="46"/>
        <v>-</v>
      </c>
      <c r="AE80" s="12" t="str">
        <f t="shared" si="47"/>
        <v>-</v>
      </c>
      <c r="AF80" s="12" t="str">
        <f t="shared" si="48"/>
        <v>-</v>
      </c>
      <c r="AG80" s="12" t="str">
        <f t="shared" si="49"/>
        <v>-</v>
      </c>
      <c r="AJ80" s="144">
        <f t="shared" ca="1" si="50"/>
        <v>0</v>
      </c>
      <c r="AK80" s="12">
        <f t="shared" ca="1" si="51"/>
        <v>0</v>
      </c>
      <c r="AL80" s="12">
        <f t="shared" ca="1" si="52"/>
        <v>0</v>
      </c>
      <c r="AN80" s="28"/>
      <c r="AO80" s="42" t="s">
        <v>478</v>
      </c>
      <c r="AP80" s="156"/>
      <c r="AQ80" s="158" t="s">
        <v>60</v>
      </c>
      <c r="AR80" s="149">
        <v>0</v>
      </c>
      <c r="AS80" s="149">
        <v>0</v>
      </c>
      <c r="AT80" s="155" t="s">
        <v>384</v>
      </c>
      <c r="AU80" s="141"/>
      <c r="AV80" s="141"/>
      <c r="AW80" s="141"/>
      <c r="AX80" s="141"/>
      <c r="AY80" s="141"/>
      <c r="AZ80" s="141"/>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row>
    <row r="81" spans="1:77" ht="15.75" hidden="1" customHeight="1" outlineLevel="1" x14ac:dyDescent="0.2">
      <c r="A81" s="3" t="s">
        <v>514</v>
      </c>
      <c r="C81" s="12">
        <f t="shared" si="19"/>
        <v>1</v>
      </c>
      <c r="D81" s="12" t="str">
        <f t="shared" si="20"/>
        <v>-</v>
      </c>
      <c r="E81" s="12" t="str">
        <f t="shared" si="21"/>
        <v>-</v>
      </c>
      <c r="F81" s="12" t="str">
        <f t="shared" si="22"/>
        <v>-</v>
      </c>
      <c r="G81" s="12" t="str">
        <f t="shared" si="23"/>
        <v>-</v>
      </c>
      <c r="H81" s="12" t="str">
        <f t="shared" si="24"/>
        <v>-</v>
      </c>
      <c r="I81" s="12" t="str">
        <f t="shared" si="25"/>
        <v>-</v>
      </c>
      <c r="J81" s="12" t="str">
        <f t="shared" si="26"/>
        <v>-</v>
      </c>
      <c r="K81" s="12" t="str">
        <f t="shared" si="27"/>
        <v>-</v>
      </c>
      <c r="L81" s="12" t="str">
        <f t="shared" si="28"/>
        <v>-</v>
      </c>
      <c r="M81" s="12" t="str">
        <f t="shared" si="29"/>
        <v>-</v>
      </c>
      <c r="N81" s="12" t="str">
        <f t="shared" si="30"/>
        <v>-</v>
      </c>
      <c r="O81" s="12" t="str">
        <f t="shared" si="31"/>
        <v>-</v>
      </c>
      <c r="P81" s="12" t="str">
        <f t="shared" si="32"/>
        <v>-</v>
      </c>
      <c r="Q81" s="12" t="str">
        <f t="shared" si="33"/>
        <v>-</v>
      </c>
      <c r="R81" s="12" t="str">
        <f t="shared" si="34"/>
        <v>-</v>
      </c>
      <c r="S81" s="12" t="str">
        <f t="shared" si="35"/>
        <v>-</v>
      </c>
      <c r="T81" s="12" t="str">
        <f t="shared" si="36"/>
        <v>-</v>
      </c>
      <c r="U81" s="12" t="str">
        <f t="shared" si="37"/>
        <v>-</v>
      </c>
      <c r="V81" s="12" t="str">
        <f t="shared" si="38"/>
        <v>-</v>
      </c>
      <c r="W81" s="12" t="str">
        <f t="shared" si="39"/>
        <v>-</v>
      </c>
      <c r="X81" s="12" t="str">
        <f t="shared" si="40"/>
        <v>-</v>
      </c>
      <c r="Y81" s="12" t="str">
        <f t="shared" si="41"/>
        <v>-</v>
      </c>
      <c r="Z81" s="12" t="str">
        <f t="shared" si="42"/>
        <v>-</v>
      </c>
      <c r="AA81" s="12" t="str">
        <f t="shared" si="43"/>
        <v>-</v>
      </c>
      <c r="AB81" s="12" t="str">
        <f t="shared" si="44"/>
        <v>-</v>
      </c>
      <c r="AC81" s="12" t="str">
        <f t="shared" si="45"/>
        <v>-</v>
      </c>
      <c r="AD81" s="12" t="str">
        <f t="shared" si="46"/>
        <v>-</v>
      </c>
      <c r="AE81" s="12" t="str">
        <f t="shared" si="47"/>
        <v>-</v>
      </c>
      <c r="AF81" s="12" t="str">
        <f t="shared" si="48"/>
        <v>-</v>
      </c>
      <c r="AG81" s="12" t="str">
        <f t="shared" si="49"/>
        <v>-</v>
      </c>
      <c r="AJ81" s="144">
        <f t="shared" ca="1" si="50"/>
        <v>0</v>
      </c>
      <c r="AK81" s="12">
        <f t="shared" ca="1" si="51"/>
        <v>0</v>
      </c>
      <c r="AL81" s="12">
        <f t="shared" ca="1" si="52"/>
        <v>0</v>
      </c>
      <c r="AN81" s="28"/>
      <c r="AO81" s="42" t="s">
        <v>479</v>
      </c>
      <c r="AP81" s="156"/>
      <c r="AQ81" s="158" t="s">
        <v>60</v>
      </c>
      <c r="AR81" s="149">
        <v>0</v>
      </c>
      <c r="AS81" s="149">
        <v>0</v>
      </c>
      <c r="AT81" s="155" t="s">
        <v>384</v>
      </c>
      <c r="AU81" s="141"/>
      <c r="AV81" s="141"/>
      <c r="AW81" s="141"/>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row>
    <row r="82" spans="1:77" ht="15.75" hidden="1" customHeight="1" outlineLevel="1" x14ac:dyDescent="0.2">
      <c r="A82" s="3" t="s">
        <v>515</v>
      </c>
      <c r="C82" s="12">
        <f t="shared" si="19"/>
        <v>1</v>
      </c>
      <c r="D82" s="12" t="str">
        <f t="shared" si="20"/>
        <v>-</v>
      </c>
      <c r="E82" s="12" t="str">
        <f t="shared" si="21"/>
        <v>-</v>
      </c>
      <c r="F82" s="12" t="str">
        <f t="shared" si="22"/>
        <v>-</v>
      </c>
      <c r="G82" s="12" t="str">
        <f t="shared" si="23"/>
        <v>-</v>
      </c>
      <c r="H82" s="12" t="str">
        <f t="shared" si="24"/>
        <v>-</v>
      </c>
      <c r="I82" s="12" t="str">
        <f t="shared" si="25"/>
        <v>-</v>
      </c>
      <c r="J82" s="12" t="str">
        <f t="shared" si="26"/>
        <v>-</v>
      </c>
      <c r="K82" s="12" t="str">
        <f t="shared" si="27"/>
        <v>-</v>
      </c>
      <c r="L82" s="12" t="str">
        <f t="shared" si="28"/>
        <v>-</v>
      </c>
      <c r="M82" s="12" t="str">
        <f t="shared" si="29"/>
        <v>-</v>
      </c>
      <c r="N82" s="12" t="str">
        <f t="shared" si="30"/>
        <v>-</v>
      </c>
      <c r="O82" s="12" t="str">
        <f t="shared" si="31"/>
        <v>-</v>
      </c>
      <c r="P82" s="12" t="str">
        <f t="shared" si="32"/>
        <v>-</v>
      </c>
      <c r="Q82" s="12" t="str">
        <f t="shared" si="33"/>
        <v>-</v>
      </c>
      <c r="R82" s="12" t="str">
        <f t="shared" si="34"/>
        <v>-</v>
      </c>
      <c r="S82" s="12" t="str">
        <f t="shared" si="35"/>
        <v>-</v>
      </c>
      <c r="T82" s="12" t="str">
        <f t="shared" si="36"/>
        <v>-</v>
      </c>
      <c r="U82" s="12" t="str">
        <f t="shared" si="37"/>
        <v>-</v>
      </c>
      <c r="V82" s="12" t="str">
        <f t="shared" si="38"/>
        <v>-</v>
      </c>
      <c r="W82" s="12" t="str">
        <f t="shared" si="39"/>
        <v>-</v>
      </c>
      <c r="X82" s="12" t="str">
        <f t="shared" si="40"/>
        <v>-</v>
      </c>
      <c r="Y82" s="12" t="str">
        <f t="shared" si="41"/>
        <v>-</v>
      </c>
      <c r="Z82" s="12" t="str">
        <f t="shared" si="42"/>
        <v>-</v>
      </c>
      <c r="AA82" s="12" t="str">
        <f t="shared" si="43"/>
        <v>-</v>
      </c>
      <c r="AB82" s="12" t="str">
        <f t="shared" si="44"/>
        <v>-</v>
      </c>
      <c r="AC82" s="12" t="str">
        <f t="shared" si="45"/>
        <v>-</v>
      </c>
      <c r="AD82" s="12" t="str">
        <f t="shared" si="46"/>
        <v>-</v>
      </c>
      <c r="AE82" s="12" t="str">
        <f t="shared" si="47"/>
        <v>-</v>
      </c>
      <c r="AF82" s="12" t="str">
        <f t="shared" si="48"/>
        <v>-</v>
      </c>
      <c r="AG82" s="12" t="str">
        <f t="shared" si="49"/>
        <v>-</v>
      </c>
      <c r="AJ82" s="144">
        <f t="shared" ca="1" si="50"/>
        <v>0</v>
      </c>
      <c r="AK82" s="12">
        <f t="shared" ca="1" si="51"/>
        <v>0</v>
      </c>
      <c r="AL82" s="12">
        <f t="shared" ca="1" si="52"/>
        <v>0</v>
      </c>
      <c r="AN82" s="28"/>
      <c r="AO82" s="42" t="s">
        <v>480</v>
      </c>
      <c r="AP82" s="156"/>
      <c r="AQ82" s="158" t="s">
        <v>60</v>
      </c>
      <c r="AR82" s="149">
        <v>0</v>
      </c>
      <c r="AS82" s="149">
        <v>0</v>
      </c>
      <c r="AT82" s="155" t="s">
        <v>384</v>
      </c>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row>
    <row r="83" spans="1:77" ht="15.75" hidden="1" customHeight="1" outlineLevel="1" x14ac:dyDescent="0.2">
      <c r="A83" s="3" t="s">
        <v>516</v>
      </c>
      <c r="C83" s="12">
        <f t="shared" si="19"/>
        <v>1</v>
      </c>
      <c r="D83" s="12" t="str">
        <f t="shared" si="20"/>
        <v>-</v>
      </c>
      <c r="E83" s="12" t="str">
        <f t="shared" si="21"/>
        <v>-</v>
      </c>
      <c r="F83" s="12" t="str">
        <f t="shared" si="22"/>
        <v>-</v>
      </c>
      <c r="G83" s="12" t="str">
        <f t="shared" si="23"/>
        <v>-</v>
      </c>
      <c r="H83" s="12" t="str">
        <f t="shared" si="24"/>
        <v>-</v>
      </c>
      <c r="I83" s="12" t="str">
        <f t="shared" si="25"/>
        <v>-</v>
      </c>
      <c r="J83" s="12" t="str">
        <f t="shared" si="26"/>
        <v>-</v>
      </c>
      <c r="K83" s="12" t="str">
        <f t="shared" si="27"/>
        <v>-</v>
      </c>
      <c r="L83" s="12" t="str">
        <f t="shared" si="28"/>
        <v>-</v>
      </c>
      <c r="M83" s="12" t="str">
        <f t="shared" si="29"/>
        <v>-</v>
      </c>
      <c r="N83" s="12" t="str">
        <f t="shared" si="30"/>
        <v>-</v>
      </c>
      <c r="O83" s="12" t="str">
        <f t="shared" si="31"/>
        <v>-</v>
      </c>
      <c r="P83" s="12" t="str">
        <f t="shared" si="32"/>
        <v>-</v>
      </c>
      <c r="Q83" s="12" t="str">
        <f t="shared" si="33"/>
        <v>-</v>
      </c>
      <c r="R83" s="12" t="str">
        <f t="shared" si="34"/>
        <v>-</v>
      </c>
      <c r="S83" s="12" t="str">
        <f t="shared" si="35"/>
        <v>-</v>
      </c>
      <c r="T83" s="12" t="str">
        <f t="shared" si="36"/>
        <v>-</v>
      </c>
      <c r="U83" s="12" t="str">
        <f t="shared" si="37"/>
        <v>-</v>
      </c>
      <c r="V83" s="12" t="str">
        <f t="shared" si="38"/>
        <v>-</v>
      </c>
      <c r="W83" s="12" t="str">
        <f t="shared" si="39"/>
        <v>-</v>
      </c>
      <c r="X83" s="12" t="str">
        <f t="shared" si="40"/>
        <v>-</v>
      </c>
      <c r="Y83" s="12" t="str">
        <f t="shared" si="41"/>
        <v>-</v>
      </c>
      <c r="Z83" s="12" t="str">
        <f t="shared" si="42"/>
        <v>-</v>
      </c>
      <c r="AA83" s="12" t="str">
        <f t="shared" si="43"/>
        <v>-</v>
      </c>
      <c r="AB83" s="12" t="str">
        <f t="shared" si="44"/>
        <v>-</v>
      </c>
      <c r="AC83" s="12" t="str">
        <f t="shared" si="45"/>
        <v>-</v>
      </c>
      <c r="AD83" s="12" t="str">
        <f t="shared" si="46"/>
        <v>-</v>
      </c>
      <c r="AE83" s="12" t="str">
        <f t="shared" si="47"/>
        <v>-</v>
      </c>
      <c r="AF83" s="12" t="str">
        <f t="shared" si="48"/>
        <v>-</v>
      </c>
      <c r="AG83" s="12" t="str">
        <f t="shared" si="49"/>
        <v>-</v>
      </c>
      <c r="AJ83" s="144">
        <f t="shared" ca="1" si="50"/>
        <v>0</v>
      </c>
      <c r="AK83" s="12">
        <f t="shared" ca="1" si="51"/>
        <v>0</v>
      </c>
      <c r="AL83" s="12">
        <f t="shared" ca="1" si="52"/>
        <v>0</v>
      </c>
      <c r="AN83" s="28"/>
      <c r="AO83" s="42" t="s">
        <v>481</v>
      </c>
      <c r="AP83" s="156"/>
      <c r="AQ83" s="158" t="s">
        <v>60</v>
      </c>
      <c r="AR83" s="149">
        <v>0</v>
      </c>
      <c r="AS83" s="149">
        <v>0</v>
      </c>
      <c r="AT83" s="155" t="s">
        <v>384</v>
      </c>
      <c r="AU83" s="141"/>
      <c r="AV83" s="141"/>
      <c r="AW83" s="141"/>
      <c r="AX83" s="141"/>
      <c r="AY83" s="141"/>
      <c r="AZ83" s="141"/>
      <c r="BA83" s="141"/>
      <c r="BB83" s="141"/>
      <c r="BC83" s="141"/>
      <c r="BD83" s="141"/>
      <c r="BE83" s="141"/>
      <c r="BF83" s="141"/>
      <c r="BG83" s="141"/>
      <c r="BH83" s="141"/>
      <c r="BI83" s="141"/>
      <c r="BJ83" s="141"/>
      <c r="BK83" s="141"/>
      <c r="BL83" s="141"/>
      <c r="BM83" s="141"/>
      <c r="BN83" s="141"/>
      <c r="BO83" s="141"/>
      <c r="BP83" s="141"/>
      <c r="BQ83" s="141"/>
      <c r="BR83" s="141"/>
      <c r="BS83" s="141"/>
      <c r="BT83" s="141"/>
      <c r="BU83" s="141"/>
      <c r="BV83" s="141"/>
      <c r="BW83" s="141"/>
      <c r="BX83" s="141"/>
      <c r="BY83" s="141"/>
    </row>
    <row r="84" spans="1:77" ht="15.75" hidden="1" customHeight="1" outlineLevel="1" x14ac:dyDescent="0.2">
      <c r="A84" s="3" t="s">
        <v>517</v>
      </c>
      <c r="C84" s="12">
        <f t="shared" si="19"/>
        <v>1</v>
      </c>
      <c r="D84" s="12" t="str">
        <f t="shared" si="20"/>
        <v>-</v>
      </c>
      <c r="E84" s="12" t="str">
        <f t="shared" si="21"/>
        <v>-</v>
      </c>
      <c r="F84" s="12" t="str">
        <f t="shared" si="22"/>
        <v>-</v>
      </c>
      <c r="G84" s="12" t="str">
        <f t="shared" si="23"/>
        <v>-</v>
      </c>
      <c r="H84" s="12" t="str">
        <f t="shared" si="24"/>
        <v>-</v>
      </c>
      <c r="I84" s="12" t="str">
        <f t="shared" si="25"/>
        <v>-</v>
      </c>
      <c r="J84" s="12" t="str">
        <f t="shared" si="26"/>
        <v>-</v>
      </c>
      <c r="K84" s="12" t="str">
        <f t="shared" si="27"/>
        <v>-</v>
      </c>
      <c r="L84" s="12" t="str">
        <f t="shared" si="28"/>
        <v>-</v>
      </c>
      <c r="M84" s="12" t="str">
        <f t="shared" si="29"/>
        <v>-</v>
      </c>
      <c r="N84" s="12" t="str">
        <f t="shared" si="30"/>
        <v>-</v>
      </c>
      <c r="O84" s="12" t="str">
        <f t="shared" si="31"/>
        <v>-</v>
      </c>
      <c r="P84" s="12" t="str">
        <f t="shared" si="32"/>
        <v>-</v>
      </c>
      <c r="Q84" s="12" t="str">
        <f t="shared" si="33"/>
        <v>-</v>
      </c>
      <c r="R84" s="12" t="str">
        <f t="shared" si="34"/>
        <v>-</v>
      </c>
      <c r="S84" s="12" t="str">
        <f t="shared" si="35"/>
        <v>-</v>
      </c>
      <c r="T84" s="12" t="str">
        <f t="shared" si="36"/>
        <v>-</v>
      </c>
      <c r="U84" s="12" t="str">
        <f t="shared" si="37"/>
        <v>-</v>
      </c>
      <c r="V84" s="12" t="str">
        <f t="shared" si="38"/>
        <v>-</v>
      </c>
      <c r="W84" s="12" t="str">
        <f t="shared" si="39"/>
        <v>-</v>
      </c>
      <c r="X84" s="12" t="str">
        <f t="shared" si="40"/>
        <v>-</v>
      </c>
      <c r="Y84" s="12" t="str">
        <f t="shared" si="41"/>
        <v>-</v>
      </c>
      <c r="Z84" s="12" t="str">
        <f t="shared" si="42"/>
        <v>-</v>
      </c>
      <c r="AA84" s="12" t="str">
        <f t="shared" si="43"/>
        <v>-</v>
      </c>
      <c r="AB84" s="12" t="str">
        <f t="shared" si="44"/>
        <v>-</v>
      </c>
      <c r="AC84" s="12" t="str">
        <f t="shared" si="45"/>
        <v>-</v>
      </c>
      <c r="AD84" s="12" t="str">
        <f t="shared" si="46"/>
        <v>-</v>
      </c>
      <c r="AE84" s="12" t="str">
        <f t="shared" si="47"/>
        <v>-</v>
      </c>
      <c r="AF84" s="12" t="str">
        <f t="shared" si="48"/>
        <v>-</v>
      </c>
      <c r="AG84" s="12" t="str">
        <f t="shared" si="49"/>
        <v>-</v>
      </c>
      <c r="AJ84" s="144">
        <f t="shared" ca="1" si="50"/>
        <v>0</v>
      </c>
      <c r="AK84" s="12">
        <f t="shared" ca="1" si="51"/>
        <v>0</v>
      </c>
      <c r="AL84" s="12">
        <f t="shared" ca="1" si="52"/>
        <v>0</v>
      </c>
      <c r="AN84" s="28"/>
      <c r="AO84" s="42" t="s">
        <v>482</v>
      </c>
      <c r="AP84" s="156"/>
      <c r="AQ84" s="158" t="s">
        <v>60</v>
      </c>
      <c r="AR84" s="149">
        <v>0</v>
      </c>
      <c r="AS84" s="149">
        <v>0</v>
      </c>
      <c r="AT84" s="155" t="s">
        <v>384</v>
      </c>
      <c r="AU84" s="141"/>
      <c r="AV84" s="141"/>
      <c r="AW84" s="141"/>
      <c r="AX84" s="141"/>
      <c r="AY84" s="141"/>
      <c r="AZ84" s="141"/>
      <c r="BA84" s="141"/>
      <c r="BB84" s="141"/>
      <c r="BC84" s="141"/>
      <c r="BD84" s="141"/>
      <c r="BE84" s="141"/>
      <c r="BF84" s="141"/>
      <c r="BG84" s="141"/>
      <c r="BH84" s="141"/>
      <c r="BI84" s="141"/>
      <c r="BJ84" s="141"/>
      <c r="BK84" s="141"/>
      <c r="BL84" s="141"/>
      <c r="BM84" s="141"/>
      <c r="BN84" s="141"/>
      <c r="BO84" s="141"/>
      <c r="BP84" s="141"/>
      <c r="BQ84" s="141"/>
      <c r="BR84" s="141"/>
      <c r="BS84" s="141"/>
      <c r="BT84" s="141"/>
      <c r="BU84" s="141"/>
      <c r="BV84" s="141"/>
      <c r="BW84" s="141"/>
      <c r="BX84" s="141"/>
      <c r="BY84" s="141"/>
    </row>
    <row r="85" spans="1:77" ht="15.75" hidden="1" customHeight="1" outlineLevel="1" x14ac:dyDescent="0.2">
      <c r="A85" s="3" t="s">
        <v>518</v>
      </c>
      <c r="C85" s="12">
        <f t="shared" si="19"/>
        <v>1</v>
      </c>
      <c r="D85" s="12" t="str">
        <f t="shared" si="20"/>
        <v>-</v>
      </c>
      <c r="E85" s="12" t="str">
        <f t="shared" si="21"/>
        <v>-</v>
      </c>
      <c r="F85" s="12" t="str">
        <f t="shared" si="22"/>
        <v>-</v>
      </c>
      <c r="G85" s="12" t="str">
        <f t="shared" si="23"/>
        <v>-</v>
      </c>
      <c r="H85" s="12" t="str">
        <f t="shared" si="24"/>
        <v>-</v>
      </c>
      <c r="I85" s="12" t="str">
        <f t="shared" si="25"/>
        <v>-</v>
      </c>
      <c r="J85" s="12" t="str">
        <f t="shared" si="26"/>
        <v>-</v>
      </c>
      <c r="K85" s="12" t="str">
        <f t="shared" si="27"/>
        <v>-</v>
      </c>
      <c r="L85" s="12" t="str">
        <f t="shared" si="28"/>
        <v>-</v>
      </c>
      <c r="M85" s="12" t="str">
        <f t="shared" si="29"/>
        <v>-</v>
      </c>
      <c r="N85" s="12" t="str">
        <f t="shared" si="30"/>
        <v>-</v>
      </c>
      <c r="O85" s="12" t="str">
        <f t="shared" si="31"/>
        <v>-</v>
      </c>
      <c r="P85" s="12" t="str">
        <f t="shared" si="32"/>
        <v>-</v>
      </c>
      <c r="Q85" s="12" t="str">
        <f t="shared" si="33"/>
        <v>-</v>
      </c>
      <c r="R85" s="12" t="str">
        <f t="shared" si="34"/>
        <v>-</v>
      </c>
      <c r="S85" s="12" t="str">
        <f t="shared" si="35"/>
        <v>-</v>
      </c>
      <c r="T85" s="12" t="str">
        <f t="shared" si="36"/>
        <v>-</v>
      </c>
      <c r="U85" s="12" t="str">
        <f t="shared" si="37"/>
        <v>-</v>
      </c>
      <c r="V85" s="12" t="str">
        <f t="shared" si="38"/>
        <v>-</v>
      </c>
      <c r="W85" s="12" t="str">
        <f t="shared" si="39"/>
        <v>-</v>
      </c>
      <c r="X85" s="12" t="str">
        <f t="shared" si="40"/>
        <v>-</v>
      </c>
      <c r="Y85" s="12" t="str">
        <f t="shared" si="41"/>
        <v>-</v>
      </c>
      <c r="Z85" s="12" t="str">
        <f t="shared" si="42"/>
        <v>-</v>
      </c>
      <c r="AA85" s="12" t="str">
        <f t="shared" si="43"/>
        <v>-</v>
      </c>
      <c r="AB85" s="12" t="str">
        <f t="shared" si="44"/>
        <v>-</v>
      </c>
      <c r="AC85" s="12" t="str">
        <f t="shared" si="45"/>
        <v>-</v>
      </c>
      <c r="AD85" s="12" t="str">
        <f t="shared" si="46"/>
        <v>-</v>
      </c>
      <c r="AE85" s="12" t="str">
        <f t="shared" si="47"/>
        <v>-</v>
      </c>
      <c r="AF85" s="12" t="str">
        <f t="shared" si="48"/>
        <v>-</v>
      </c>
      <c r="AG85" s="12" t="str">
        <f t="shared" si="49"/>
        <v>-</v>
      </c>
      <c r="AJ85" s="144">
        <f t="shared" ca="1" si="50"/>
        <v>0</v>
      </c>
      <c r="AK85" s="12">
        <f t="shared" ca="1" si="51"/>
        <v>0</v>
      </c>
      <c r="AL85" s="12">
        <f t="shared" ca="1" si="52"/>
        <v>0</v>
      </c>
      <c r="AN85" s="28"/>
      <c r="AO85" s="42" t="s">
        <v>483</v>
      </c>
      <c r="AP85" s="156"/>
      <c r="AQ85" s="158" t="s">
        <v>60</v>
      </c>
      <c r="AR85" s="149">
        <v>0</v>
      </c>
      <c r="AS85" s="149">
        <v>0</v>
      </c>
      <c r="AT85" s="155" t="s">
        <v>384</v>
      </c>
      <c r="AU85" s="141"/>
      <c r="AV85" s="141"/>
      <c r="AW85" s="141"/>
      <c r="AX85" s="141"/>
      <c r="AY85" s="141"/>
      <c r="AZ85" s="141"/>
      <c r="BA85" s="141"/>
      <c r="BB85" s="141"/>
      <c r="BC85" s="141"/>
      <c r="BD85" s="141"/>
      <c r="BE85" s="141"/>
      <c r="BF85" s="141"/>
      <c r="BG85" s="141"/>
      <c r="BH85" s="141"/>
      <c r="BI85" s="141"/>
      <c r="BJ85" s="141"/>
      <c r="BK85" s="141"/>
      <c r="BL85" s="141"/>
      <c r="BM85" s="141"/>
      <c r="BN85" s="141"/>
      <c r="BO85" s="141"/>
      <c r="BP85" s="141"/>
      <c r="BQ85" s="141"/>
      <c r="BR85" s="141"/>
      <c r="BS85" s="141"/>
      <c r="BT85" s="141"/>
      <c r="BU85" s="141"/>
      <c r="BV85" s="141"/>
      <c r="BW85" s="141"/>
      <c r="BX85" s="141"/>
      <c r="BY85" s="141"/>
    </row>
    <row r="86" spans="1:77" ht="15.75" hidden="1" customHeight="1" outlineLevel="1" x14ac:dyDescent="0.2">
      <c r="A86" s="3" t="s">
        <v>519</v>
      </c>
      <c r="C86" s="12">
        <f t="shared" si="19"/>
        <v>1</v>
      </c>
      <c r="D86" s="12" t="str">
        <f t="shared" si="20"/>
        <v>-</v>
      </c>
      <c r="E86" s="12" t="str">
        <f t="shared" si="21"/>
        <v>-</v>
      </c>
      <c r="F86" s="12" t="str">
        <f t="shared" si="22"/>
        <v>-</v>
      </c>
      <c r="G86" s="12" t="str">
        <f t="shared" si="23"/>
        <v>-</v>
      </c>
      <c r="H86" s="12" t="str">
        <f t="shared" si="24"/>
        <v>-</v>
      </c>
      <c r="I86" s="12" t="str">
        <f t="shared" si="25"/>
        <v>-</v>
      </c>
      <c r="J86" s="12" t="str">
        <f t="shared" si="26"/>
        <v>-</v>
      </c>
      <c r="K86" s="12" t="str">
        <f t="shared" si="27"/>
        <v>-</v>
      </c>
      <c r="L86" s="12" t="str">
        <f t="shared" si="28"/>
        <v>-</v>
      </c>
      <c r="M86" s="12" t="str">
        <f t="shared" si="29"/>
        <v>-</v>
      </c>
      <c r="N86" s="12" t="str">
        <f t="shared" si="30"/>
        <v>-</v>
      </c>
      <c r="O86" s="12" t="str">
        <f t="shared" si="31"/>
        <v>-</v>
      </c>
      <c r="P86" s="12" t="str">
        <f t="shared" si="32"/>
        <v>-</v>
      </c>
      <c r="Q86" s="12" t="str">
        <f t="shared" si="33"/>
        <v>-</v>
      </c>
      <c r="R86" s="12" t="str">
        <f t="shared" si="34"/>
        <v>-</v>
      </c>
      <c r="S86" s="12" t="str">
        <f t="shared" si="35"/>
        <v>-</v>
      </c>
      <c r="T86" s="12" t="str">
        <f t="shared" si="36"/>
        <v>-</v>
      </c>
      <c r="U86" s="12" t="str">
        <f t="shared" si="37"/>
        <v>-</v>
      </c>
      <c r="V86" s="12" t="str">
        <f t="shared" si="38"/>
        <v>-</v>
      </c>
      <c r="W86" s="12" t="str">
        <f t="shared" si="39"/>
        <v>-</v>
      </c>
      <c r="X86" s="12" t="str">
        <f t="shared" si="40"/>
        <v>-</v>
      </c>
      <c r="Y86" s="12" t="str">
        <f t="shared" si="41"/>
        <v>-</v>
      </c>
      <c r="Z86" s="12" t="str">
        <f t="shared" si="42"/>
        <v>-</v>
      </c>
      <c r="AA86" s="12" t="str">
        <f t="shared" si="43"/>
        <v>-</v>
      </c>
      <c r="AB86" s="12" t="str">
        <f t="shared" si="44"/>
        <v>-</v>
      </c>
      <c r="AC86" s="12" t="str">
        <f t="shared" si="45"/>
        <v>-</v>
      </c>
      <c r="AD86" s="12" t="str">
        <f t="shared" si="46"/>
        <v>-</v>
      </c>
      <c r="AE86" s="12" t="str">
        <f t="shared" si="47"/>
        <v>-</v>
      </c>
      <c r="AF86" s="12" t="str">
        <f t="shared" si="48"/>
        <v>-</v>
      </c>
      <c r="AG86" s="12" t="str">
        <f t="shared" si="49"/>
        <v>-</v>
      </c>
      <c r="AJ86" s="144">
        <f t="shared" ca="1" si="50"/>
        <v>0</v>
      </c>
      <c r="AK86" s="12">
        <f t="shared" ca="1" si="51"/>
        <v>0</v>
      </c>
      <c r="AL86" s="12">
        <f t="shared" ca="1" si="52"/>
        <v>0</v>
      </c>
      <c r="AN86" s="28"/>
      <c r="AO86" s="42" t="s">
        <v>484</v>
      </c>
      <c r="AP86" s="156"/>
      <c r="AQ86" s="158" t="s">
        <v>60</v>
      </c>
      <c r="AR86" s="149">
        <v>0</v>
      </c>
      <c r="AS86" s="149">
        <v>0</v>
      </c>
      <c r="AT86" s="155" t="s">
        <v>384</v>
      </c>
      <c r="AU86" s="141"/>
      <c r="AV86" s="141"/>
      <c r="AW86" s="141"/>
      <c r="AX86" s="141"/>
      <c r="AY86" s="141"/>
      <c r="AZ86" s="141"/>
      <c r="BA86" s="141"/>
      <c r="BB86" s="141"/>
      <c r="BC86" s="141"/>
      <c r="BD86" s="141"/>
      <c r="BE86" s="141"/>
      <c r="BF86" s="141"/>
      <c r="BG86" s="141"/>
      <c r="BH86" s="141"/>
      <c r="BI86" s="141"/>
      <c r="BJ86" s="141"/>
      <c r="BK86" s="141"/>
      <c r="BL86" s="141"/>
      <c r="BM86" s="141"/>
      <c r="BN86" s="141"/>
      <c r="BO86" s="141"/>
      <c r="BP86" s="141"/>
      <c r="BQ86" s="141"/>
      <c r="BR86" s="141"/>
      <c r="BS86" s="141"/>
      <c r="BT86" s="141"/>
      <c r="BU86" s="141"/>
      <c r="BV86" s="141"/>
      <c r="BW86" s="141"/>
      <c r="BX86" s="141"/>
      <c r="BY86" s="141"/>
    </row>
    <row r="87" spans="1:77" ht="15.75" hidden="1" customHeight="1" outlineLevel="1" x14ac:dyDescent="0.2">
      <c r="A87" s="3" t="s">
        <v>520</v>
      </c>
      <c r="C87" s="12">
        <f t="shared" si="19"/>
        <v>1</v>
      </c>
      <c r="D87" s="12" t="str">
        <f t="shared" si="20"/>
        <v>-</v>
      </c>
      <c r="E87" s="12" t="str">
        <f t="shared" si="21"/>
        <v>-</v>
      </c>
      <c r="F87" s="12" t="str">
        <f t="shared" si="22"/>
        <v>-</v>
      </c>
      <c r="G87" s="12" t="str">
        <f t="shared" si="23"/>
        <v>-</v>
      </c>
      <c r="H87" s="12" t="str">
        <f t="shared" si="24"/>
        <v>-</v>
      </c>
      <c r="I87" s="12" t="str">
        <f t="shared" si="25"/>
        <v>-</v>
      </c>
      <c r="J87" s="12" t="str">
        <f t="shared" si="26"/>
        <v>-</v>
      </c>
      <c r="K87" s="12" t="str">
        <f t="shared" si="27"/>
        <v>-</v>
      </c>
      <c r="L87" s="12" t="str">
        <f t="shared" si="28"/>
        <v>-</v>
      </c>
      <c r="M87" s="12" t="str">
        <f t="shared" si="29"/>
        <v>-</v>
      </c>
      <c r="N87" s="12" t="str">
        <f t="shared" si="30"/>
        <v>-</v>
      </c>
      <c r="O87" s="12" t="str">
        <f t="shared" si="31"/>
        <v>-</v>
      </c>
      <c r="P87" s="12" t="str">
        <f t="shared" si="32"/>
        <v>-</v>
      </c>
      <c r="Q87" s="12" t="str">
        <f t="shared" si="33"/>
        <v>-</v>
      </c>
      <c r="R87" s="12" t="str">
        <f t="shared" si="34"/>
        <v>-</v>
      </c>
      <c r="S87" s="12" t="str">
        <f t="shared" si="35"/>
        <v>-</v>
      </c>
      <c r="T87" s="12" t="str">
        <f t="shared" si="36"/>
        <v>-</v>
      </c>
      <c r="U87" s="12" t="str">
        <f t="shared" si="37"/>
        <v>-</v>
      </c>
      <c r="V87" s="12" t="str">
        <f t="shared" si="38"/>
        <v>-</v>
      </c>
      <c r="W87" s="12" t="str">
        <f t="shared" si="39"/>
        <v>-</v>
      </c>
      <c r="X87" s="12" t="str">
        <f t="shared" si="40"/>
        <v>-</v>
      </c>
      <c r="Y87" s="12" t="str">
        <f t="shared" si="41"/>
        <v>-</v>
      </c>
      <c r="Z87" s="12" t="str">
        <f t="shared" si="42"/>
        <v>-</v>
      </c>
      <c r="AA87" s="12" t="str">
        <f t="shared" si="43"/>
        <v>-</v>
      </c>
      <c r="AB87" s="12" t="str">
        <f t="shared" si="44"/>
        <v>-</v>
      </c>
      <c r="AC87" s="12" t="str">
        <f t="shared" si="45"/>
        <v>-</v>
      </c>
      <c r="AD87" s="12" t="str">
        <f t="shared" si="46"/>
        <v>-</v>
      </c>
      <c r="AE87" s="12" t="str">
        <f t="shared" si="47"/>
        <v>-</v>
      </c>
      <c r="AF87" s="12" t="str">
        <f t="shared" si="48"/>
        <v>-</v>
      </c>
      <c r="AG87" s="12" t="str">
        <f t="shared" si="49"/>
        <v>-</v>
      </c>
      <c r="AJ87" s="144">
        <f t="shared" ca="1" si="50"/>
        <v>0</v>
      </c>
      <c r="AK87" s="12">
        <f t="shared" ca="1" si="51"/>
        <v>0</v>
      </c>
      <c r="AL87" s="12">
        <f t="shared" ca="1" si="52"/>
        <v>0</v>
      </c>
      <c r="AN87" s="28"/>
      <c r="AO87" s="42" t="s">
        <v>485</v>
      </c>
      <c r="AP87" s="156"/>
      <c r="AQ87" s="158" t="s">
        <v>60</v>
      </c>
      <c r="AR87" s="149">
        <v>0</v>
      </c>
      <c r="AS87" s="149">
        <v>0</v>
      </c>
      <c r="AT87" s="155" t="s">
        <v>384</v>
      </c>
      <c r="AU87" s="141"/>
      <c r="AV87" s="141"/>
      <c r="AW87" s="141"/>
      <c r="AX87" s="141"/>
      <c r="AY87" s="141"/>
      <c r="AZ87" s="141"/>
      <c r="BA87" s="141"/>
      <c r="BB87" s="141"/>
      <c r="BC87" s="141"/>
      <c r="BD87" s="141"/>
      <c r="BE87" s="141"/>
      <c r="BF87" s="141"/>
      <c r="BG87" s="141"/>
      <c r="BH87" s="141"/>
      <c r="BI87" s="141"/>
      <c r="BJ87" s="141"/>
      <c r="BK87" s="141"/>
      <c r="BL87" s="141"/>
      <c r="BM87" s="141"/>
      <c r="BN87" s="141"/>
      <c r="BO87" s="141"/>
      <c r="BP87" s="141"/>
      <c r="BQ87" s="141"/>
      <c r="BR87" s="141"/>
      <c r="BS87" s="141"/>
      <c r="BT87" s="141"/>
      <c r="BU87" s="141"/>
      <c r="BV87" s="141"/>
      <c r="BW87" s="141"/>
      <c r="BX87" s="141"/>
      <c r="BY87" s="141"/>
    </row>
    <row r="88" spans="1:77" ht="15.75" hidden="1" customHeight="1" outlineLevel="1" x14ac:dyDescent="0.2">
      <c r="A88" s="3" t="s">
        <v>521</v>
      </c>
      <c r="C88" s="12">
        <f t="shared" si="19"/>
        <v>1</v>
      </c>
      <c r="D88" s="12" t="str">
        <f t="shared" si="20"/>
        <v>-</v>
      </c>
      <c r="E88" s="12" t="str">
        <f t="shared" si="21"/>
        <v>-</v>
      </c>
      <c r="F88" s="12" t="str">
        <f t="shared" si="22"/>
        <v>-</v>
      </c>
      <c r="G88" s="12" t="str">
        <f t="shared" si="23"/>
        <v>-</v>
      </c>
      <c r="H88" s="12" t="str">
        <f t="shared" si="24"/>
        <v>-</v>
      </c>
      <c r="I88" s="12" t="str">
        <f t="shared" si="25"/>
        <v>-</v>
      </c>
      <c r="J88" s="12" t="str">
        <f t="shared" si="26"/>
        <v>-</v>
      </c>
      <c r="K88" s="12" t="str">
        <f t="shared" si="27"/>
        <v>-</v>
      </c>
      <c r="L88" s="12" t="str">
        <f t="shared" si="28"/>
        <v>-</v>
      </c>
      <c r="M88" s="12" t="str">
        <f t="shared" si="29"/>
        <v>-</v>
      </c>
      <c r="N88" s="12" t="str">
        <f t="shared" si="30"/>
        <v>-</v>
      </c>
      <c r="O88" s="12" t="str">
        <f t="shared" si="31"/>
        <v>-</v>
      </c>
      <c r="P88" s="12" t="str">
        <f t="shared" si="32"/>
        <v>-</v>
      </c>
      <c r="Q88" s="12" t="str">
        <f t="shared" si="33"/>
        <v>-</v>
      </c>
      <c r="R88" s="12" t="str">
        <f t="shared" si="34"/>
        <v>-</v>
      </c>
      <c r="S88" s="12" t="str">
        <f t="shared" si="35"/>
        <v>-</v>
      </c>
      <c r="T88" s="12" t="str">
        <f t="shared" si="36"/>
        <v>-</v>
      </c>
      <c r="U88" s="12" t="str">
        <f t="shared" si="37"/>
        <v>-</v>
      </c>
      <c r="V88" s="12" t="str">
        <f t="shared" si="38"/>
        <v>-</v>
      </c>
      <c r="W88" s="12" t="str">
        <f t="shared" si="39"/>
        <v>-</v>
      </c>
      <c r="X88" s="12" t="str">
        <f t="shared" si="40"/>
        <v>-</v>
      </c>
      <c r="Y88" s="12" t="str">
        <f t="shared" si="41"/>
        <v>-</v>
      </c>
      <c r="Z88" s="12" t="str">
        <f t="shared" si="42"/>
        <v>-</v>
      </c>
      <c r="AA88" s="12" t="str">
        <f t="shared" si="43"/>
        <v>-</v>
      </c>
      <c r="AB88" s="12" t="str">
        <f t="shared" si="44"/>
        <v>-</v>
      </c>
      <c r="AC88" s="12" t="str">
        <f t="shared" si="45"/>
        <v>-</v>
      </c>
      <c r="AD88" s="12" t="str">
        <f t="shared" si="46"/>
        <v>-</v>
      </c>
      <c r="AE88" s="12" t="str">
        <f t="shared" si="47"/>
        <v>-</v>
      </c>
      <c r="AF88" s="12" t="str">
        <f t="shared" si="48"/>
        <v>-</v>
      </c>
      <c r="AG88" s="12" t="str">
        <f t="shared" si="49"/>
        <v>-</v>
      </c>
      <c r="AJ88" s="144">
        <f t="shared" ca="1" si="50"/>
        <v>0</v>
      </c>
      <c r="AK88" s="12">
        <f t="shared" ca="1" si="51"/>
        <v>0</v>
      </c>
      <c r="AL88" s="12">
        <f t="shared" ca="1" si="52"/>
        <v>0</v>
      </c>
      <c r="AN88" s="28"/>
      <c r="AO88" s="42" t="s">
        <v>486</v>
      </c>
      <c r="AP88" s="156"/>
      <c r="AQ88" s="158" t="s">
        <v>60</v>
      </c>
      <c r="AR88" s="149">
        <v>0</v>
      </c>
      <c r="AS88" s="149">
        <v>0</v>
      </c>
      <c r="AT88" s="155" t="s">
        <v>384</v>
      </c>
      <c r="AU88" s="141"/>
      <c r="AV88" s="141"/>
      <c r="AW88" s="141"/>
      <c r="AX88" s="141"/>
      <c r="AY88" s="141"/>
      <c r="AZ88" s="141"/>
      <c r="BA88" s="141"/>
      <c r="BB88" s="141"/>
      <c r="BC88" s="141"/>
      <c r="BD88" s="141"/>
      <c r="BE88" s="141"/>
      <c r="BF88" s="141"/>
      <c r="BG88" s="141"/>
      <c r="BH88" s="141"/>
      <c r="BI88" s="141"/>
      <c r="BJ88" s="141"/>
      <c r="BK88" s="141"/>
      <c r="BL88" s="141"/>
      <c r="BM88" s="141"/>
      <c r="BN88" s="141"/>
      <c r="BO88" s="141"/>
      <c r="BP88" s="141"/>
      <c r="BQ88" s="141"/>
      <c r="BR88" s="141"/>
      <c r="BS88" s="141"/>
      <c r="BT88" s="141"/>
      <c r="BU88" s="141"/>
      <c r="BV88" s="141"/>
      <c r="BW88" s="141"/>
      <c r="BX88" s="141"/>
      <c r="BY88" s="141"/>
    </row>
    <row r="89" spans="1:77" ht="4.5" hidden="1" customHeight="1" outlineLevel="1" x14ac:dyDescent="0.2">
      <c r="A89" s="3" t="s">
        <v>198</v>
      </c>
      <c r="AN89" s="28"/>
      <c r="AO89" s="27"/>
      <c r="AP89" s="27"/>
      <c r="AQ89" s="27"/>
      <c r="AR89" s="27"/>
      <c r="AS89" s="27"/>
      <c r="AT89" s="27"/>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V89" s="70"/>
      <c r="BW89" s="70"/>
      <c r="BX89" s="70"/>
      <c r="BY89" s="70"/>
    </row>
    <row r="90" spans="1:77" ht="15.75" customHeight="1" collapsed="1" x14ac:dyDescent="0.2">
      <c r="A90" s="3" t="s">
        <v>199</v>
      </c>
      <c r="AJ90" s="144">
        <f ca="1">SUM(AJ28:AJ88)</f>
        <v>0</v>
      </c>
      <c r="AK90" s="12">
        <f ca="1">SUM(AK28:AK88)</f>
        <v>0</v>
      </c>
      <c r="AL90" s="12">
        <f ca="1">SUM(AL28:AL88)</f>
        <v>0</v>
      </c>
      <c r="AN90" s="28"/>
      <c r="AO90" s="138" t="str">
        <f>INDEX(g_lang_val,MATCH("le_2_2",g_lang_key,0))</f>
        <v xml:space="preserve">Total </v>
      </c>
      <c r="AP90" s="36"/>
      <c r="AQ90" s="36"/>
      <c r="AR90" s="36"/>
      <c r="AS90" s="36"/>
      <c r="AT90" s="36"/>
      <c r="AU90" s="63">
        <f t="shared" ref="AU90" ca="1" si="53">IF(AU$22="","",AU27+AU38)</f>
        <v>0</v>
      </c>
      <c r="AV90" s="63">
        <f t="shared" ref="AV90:BY90" ca="1" si="54">IF(AV$22="","",AV27+AV38)</f>
        <v>0</v>
      </c>
      <c r="AW90" s="63">
        <f t="shared" ca="1" si="54"/>
        <v>0</v>
      </c>
      <c r="AX90" s="63">
        <f t="shared" ca="1" si="54"/>
        <v>0</v>
      </c>
      <c r="AY90" s="63" t="str">
        <f t="shared" ca="1" si="54"/>
        <v/>
      </c>
      <c r="AZ90" s="63" t="str">
        <f t="shared" ca="1" si="54"/>
        <v/>
      </c>
      <c r="BA90" s="63" t="str">
        <f t="shared" ca="1" si="54"/>
        <v/>
      </c>
      <c r="BB90" s="63" t="str">
        <f t="shared" ca="1" si="54"/>
        <v/>
      </c>
      <c r="BC90" s="63" t="str">
        <f t="shared" ca="1" si="54"/>
        <v/>
      </c>
      <c r="BD90" s="63" t="str">
        <f t="shared" ca="1" si="54"/>
        <v/>
      </c>
      <c r="BE90" s="63" t="str">
        <f t="shared" ca="1" si="54"/>
        <v/>
      </c>
      <c r="BF90" s="63" t="str">
        <f t="shared" ca="1" si="54"/>
        <v/>
      </c>
      <c r="BG90" s="63" t="str">
        <f t="shared" ca="1" si="54"/>
        <v/>
      </c>
      <c r="BH90" s="63" t="str">
        <f t="shared" ca="1" si="54"/>
        <v/>
      </c>
      <c r="BI90" s="63" t="str">
        <f t="shared" ca="1" si="54"/>
        <v/>
      </c>
      <c r="BJ90" s="63" t="str">
        <f t="shared" ca="1" si="54"/>
        <v/>
      </c>
      <c r="BK90" s="63" t="str">
        <f t="shared" ca="1" si="54"/>
        <v/>
      </c>
      <c r="BL90" s="63" t="str">
        <f t="shared" ca="1" si="54"/>
        <v/>
      </c>
      <c r="BM90" s="63" t="str">
        <f t="shared" ca="1" si="54"/>
        <v/>
      </c>
      <c r="BN90" s="63" t="str">
        <f t="shared" ca="1" si="54"/>
        <v/>
      </c>
      <c r="BO90" s="63" t="str">
        <f t="shared" ca="1" si="54"/>
        <v/>
      </c>
      <c r="BP90" s="63" t="str">
        <f t="shared" ca="1" si="54"/>
        <v/>
      </c>
      <c r="BQ90" s="63" t="str">
        <f t="shared" ca="1" si="54"/>
        <v/>
      </c>
      <c r="BR90" s="63" t="str">
        <f t="shared" ca="1" si="54"/>
        <v/>
      </c>
      <c r="BS90" s="63" t="str">
        <f t="shared" ca="1" si="54"/>
        <v/>
      </c>
      <c r="BT90" s="63" t="str">
        <f t="shared" ca="1" si="54"/>
        <v/>
      </c>
      <c r="BU90" s="63" t="str">
        <f t="shared" ca="1" si="54"/>
        <v/>
      </c>
      <c r="BV90" s="63" t="str">
        <f t="shared" ca="1" si="54"/>
        <v/>
      </c>
      <c r="BW90" s="63" t="str">
        <f t="shared" ca="1" si="54"/>
        <v/>
      </c>
      <c r="BX90" s="63" t="str">
        <f t="shared" ca="1" si="54"/>
        <v/>
      </c>
      <c r="BY90" s="63" t="str">
        <f t="shared" ca="1" si="54"/>
        <v/>
      </c>
    </row>
    <row r="91" spans="1:77" ht="4.5" customHeight="1" x14ac:dyDescent="0.2">
      <c r="A91" s="3" t="s">
        <v>200</v>
      </c>
      <c r="AN91" s="28"/>
      <c r="AO91" s="27"/>
      <c r="AP91" s="27"/>
      <c r="AQ91" s="27"/>
      <c r="AR91" s="27"/>
      <c r="AS91" s="27"/>
      <c r="AT91" s="27"/>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c r="BT91" s="70"/>
      <c r="BU91" s="70"/>
      <c r="BV91" s="70"/>
      <c r="BW91" s="70"/>
      <c r="BX91" s="70"/>
      <c r="BY91" s="70"/>
    </row>
    <row r="92" spans="1:77" ht="4.5" customHeight="1" x14ac:dyDescent="0.2">
      <c r="A92" s="3" t="s">
        <v>201</v>
      </c>
      <c r="AN92" s="28"/>
      <c r="AO92" s="24"/>
      <c r="AP92" s="24"/>
      <c r="AQ92" s="24"/>
      <c r="AR92" s="24"/>
      <c r="AS92" s="24"/>
      <c r="AT92" s="2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row>
    <row r="93" spans="1:77" ht="4.5" customHeight="1" x14ac:dyDescent="0.2">
      <c r="A93" s="3" t="s">
        <v>202</v>
      </c>
      <c r="AN93" s="28"/>
      <c r="AO93" s="242"/>
      <c r="AP93" s="242"/>
      <c r="AQ93" s="242"/>
      <c r="AR93" s="242"/>
      <c r="AS93" s="242"/>
      <c r="AT93" s="236"/>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c r="BX93" s="161"/>
      <c r="BY93" s="161"/>
    </row>
    <row r="94" spans="1:77" ht="15.75" x14ac:dyDescent="0.2">
      <c r="A94" s="3" t="s">
        <v>203</v>
      </c>
      <c r="AN94" s="28"/>
      <c r="AO94" s="41" t="str">
        <f>INDEX(g_lang_val,MATCH("so_4_1_1",g_lang_key,0))</f>
        <v>Indtastningsår</v>
      </c>
      <c r="AP94" s="29"/>
      <c r="AQ94" s="29"/>
      <c r="AR94" s="29"/>
      <c r="AS94" s="29"/>
      <c r="AT94" s="29"/>
      <c r="AU94" s="160">
        <f>Stamoplysninger!$L$95</f>
        <v>2026</v>
      </c>
      <c r="AV94" s="160">
        <f>Stamoplysninger!$L$95</f>
        <v>2026</v>
      </c>
      <c r="AW94" s="160">
        <f>Stamoplysninger!$L$95</f>
        <v>2026</v>
      </c>
      <c r="AX94" s="160">
        <f>Stamoplysninger!$L$95</f>
        <v>2026</v>
      </c>
      <c r="AY94" s="160">
        <f>Stamoplysninger!$L$95</f>
        <v>2026</v>
      </c>
      <c r="AZ94" s="160">
        <f>Stamoplysninger!$L$95</f>
        <v>2026</v>
      </c>
      <c r="BA94" s="160">
        <f>Stamoplysninger!$L$95</f>
        <v>2026</v>
      </c>
      <c r="BB94" s="160">
        <f>Stamoplysninger!$L$95</f>
        <v>2026</v>
      </c>
      <c r="BC94" s="160">
        <f>Stamoplysninger!$L$95</f>
        <v>2026</v>
      </c>
      <c r="BD94" s="160">
        <f>Stamoplysninger!$L$95</f>
        <v>2026</v>
      </c>
      <c r="BE94" s="160">
        <f>Stamoplysninger!$L$95</f>
        <v>2026</v>
      </c>
      <c r="BF94" s="160">
        <f>Stamoplysninger!$L$95</f>
        <v>2026</v>
      </c>
      <c r="BG94" s="160">
        <f>Stamoplysninger!$L$95</f>
        <v>2026</v>
      </c>
      <c r="BH94" s="160">
        <f>Stamoplysninger!$L$95</f>
        <v>2026</v>
      </c>
      <c r="BI94" s="160">
        <f>Stamoplysninger!$L$95</f>
        <v>2026</v>
      </c>
      <c r="BJ94" s="160">
        <f>Stamoplysninger!$L$95</f>
        <v>2026</v>
      </c>
      <c r="BK94" s="160">
        <f>Stamoplysninger!$L$95</f>
        <v>2026</v>
      </c>
      <c r="BL94" s="160">
        <f>Stamoplysninger!$L$95</f>
        <v>2026</v>
      </c>
      <c r="BM94" s="160">
        <f>Stamoplysninger!$L$95</f>
        <v>2026</v>
      </c>
      <c r="BN94" s="160">
        <f>Stamoplysninger!$L$95</f>
        <v>2026</v>
      </c>
      <c r="BO94" s="160">
        <f>Stamoplysninger!$L$95</f>
        <v>2026</v>
      </c>
      <c r="BP94" s="160">
        <f>Stamoplysninger!$L$95</f>
        <v>2026</v>
      </c>
      <c r="BQ94" s="160">
        <f>Stamoplysninger!$L$95</f>
        <v>2026</v>
      </c>
      <c r="BR94" s="160">
        <f>Stamoplysninger!$L$95</f>
        <v>2026</v>
      </c>
      <c r="BS94" s="160">
        <f>Stamoplysninger!$L$95</f>
        <v>2026</v>
      </c>
      <c r="BT94" s="160">
        <f>Stamoplysninger!$L$95</f>
        <v>2026</v>
      </c>
      <c r="BU94" s="160">
        <f>Stamoplysninger!$L$95</f>
        <v>2026</v>
      </c>
      <c r="BV94" s="160">
        <f>Stamoplysninger!$L$95</f>
        <v>2026</v>
      </c>
      <c r="BW94" s="160">
        <f>Stamoplysninger!$L$95</f>
        <v>2026</v>
      </c>
      <c r="BX94" s="160">
        <f>Stamoplysninger!$L$95</f>
        <v>2026</v>
      </c>
      <c r="BY94" s="160">
        <f>Stamoplysninger!$L$95</f>
        <v>2026</v>
      </c>
    </row>
    <row r="95" spans="1:77" ht="4.5" customHeight="1" x14ac:dyDescent="0.2">
      <c r="A95" s="3" t="s">
        <v>204</v>
      </c>
      <c r="AN95" s="28"/>
      <c r="AO95" s="235"/>
      <c r="AP95" s="236"/>
      <c r="AQ95" s="236"/>
      <c r="AR95" s="236"/>
      <c r="AS95" s="236"/>
      <c r="AT95" s="236"/>
      <c r="AU95" s="162">
        <f t="shared" ref="AU95" ca="1" si="55">IF(AU$22="","",IF(INDEX(AU93:AU95,2,1)&lt;&gt;0,INDEX(AU93:AU95,2,1),g_pl_year))</f>
        <v>2026</v>
      </c>
      <c r="AV95" s="162">
        <f t="shared" ref="AV95:BY95" ca="1" si="56">IF(AV$22="","",IF(INDEX(AV93:AV95,2,1)&lt;&gt;0,INDEX(AV93:AV95,2,1),g_pl_year))</f>
        <v>2026</v>
      </c>
      <c r="AW95" s="162">
        <f t="shared" ca="1" si="56"/>
        <v>2026</v>
      </c>
      <c r="AX95" s="162">
        <f t="shared" ca="1" si="56"/>
        <v>2026</v>
      </c>
      <c r="AY95" s="162" t="str">
        <f t="shared" ca="1" si="56"/>
        <v/>
      </c>
      <c r="AZ95" s="162" t="str">
        <f t="shared" ca="1" si="56"/>
        <v/>
      </c>
      <c r="BA95" s="162" t="str">
        <f t="shared" ca="1" si="56"/>
        <v/>
      </c>
      <c r="BB95" s="162" t="str">
        <f t="shared" ca="1" si="56"/>
        <v/>
      </c>
      <c r="BC95" s="162" t="str">
        <f t="shared" ca="1" si="56"/>
        <v/>
      </c>
      <c r="BD95" s="162" t="str">
        <f t="shared" ca="1" si="56"/>
        <v/>
      </c>
      <c r="BE95" s="162" t="str">
        <f t="shared" ca="1" si="56"/>
        <v/>
      </c>
      <c r="BF95" s="162" t="str">
        <f t="shared" ca="1" si="56"/>
        <v/>
      </c>
      <c r="BG95" s="162" t="str">
        <f t="shared" ca="1" si="56"/>
        <v/>
      </c>
      <c r="BH95" s="162" t="str">
        <f t="shared" ca="1" si="56"/>
        <v/>
      </c>
      <c r="BI95" s="162" t="str">
        <f t="shared" ca="1" si="56"/>
        <v/>
      </c>
      <c r="BJ95" s="162" t="str">
        <f t="shared" ca="1" si="56"/>
        <v/>
      </c>
      <c r="BK95" s="162" t="str">
        <f t="shared" ca="1" si="56"/>
        <v/>
      </c>
      <c r="BL95" s="162" t="str">
        <f t="shared" ca="1" si="56"/>
        <v/>
      </c>
      <c r="BM95" s="162" t="str">
        <f t="shared" ca="1" si="56"/>
        <v/>
      </c>
      <c r="BN95" s="162" t="str">
        <f t="shared" ca="1" si="56"/>
        <v/>
      </c>
      <c r="BO95" s="162" t="str">
        <f t="shared" ca="1" si="56"/>
        <v/>
      </c>
      <c r="BP95" s="162" t="str">
        <f t="shared" ca="1" si="56"/>
        <v/>
      </c>
      <c r="BQ95" s="162" t="str">
        <f t="shared" ca="1" si="56"/>
        <v/>
      </c>
      <c r="BR95" s="162" t="str">
        <f t="shared" ca="1" si="56"/>
        <v/>
      </c>
      <c r="BS95" s="162" t="str">
        <f t="shared" ca="1" si="56"/>
        <v/>
      </c>
      <c r="BT95" s="162" t="str">
        <f t="shared" ca="1" si="56"/>
        <v/>
      </c>
      <c r="BU95" s="162" t="str">
        <f t="shared" ca="1" si="56"/>
        <v/>
      </c>
      <c r="BV95" s="162" t="str">
        <f t="shared" ca="1" si="56"/>
        <v/>
      </c>
      <c r="BW95" s="162" t="str">
        <f t="shared" ca="1" si="56"/>
        <v/>
      </c>
      <c r="BX95" s="162" t="str">
        <f t="shared" ca="1" si="56"/>
        <v/>
      </c>
      <c r="BY95" s="162" t="str">
        <f t="shared" ca="1" si="56"/>
        <v/>
      </c>
    </row>
    <row r="96" spans="1:77" s="38" customFormat="1" ht="21" customHeight="1" x14ac:dyDescent="0.2">
      <c r="A96" s="37" t="s">
        <v>205</v>
      </c>
      <c r="AK96" s="12"/>
      <c r="AN96" s="28"/>
      <c r="AO96" s="39"/>
      <c r="AP96" s="40"/>
      <c r="AQ96" s="40"/>
      <c r="AR96" s="40"/>
      <c r="AS96" s="40"/>
      <c r="AT96" s="129" t="str">
        <f>INDEX(g_lang_val,MATCH("le_2_3",g_lang_key,0))</f>
        <v>pl-faktor:</v>
      </c>
      <c r="AU96" s="154">
        <f t="shared" ref="AU96" ca="1" si="57">IF(AU22="","",INDEX(g_pl_factors,(g_reporting_year-g_pl_years_start)*(g_pl_years_end-g_pl_years_start+1)+(AU95-g_pl_years_start+1)))</f>
        <v>1</v>
      </c>
      <c r="AV96" s="154">
        <f t="shared" ref="AV96:BY96" ca="1" si="58">IF(AV22="","",INDEX(g_pl_factors,(g_reporting_year-g_pl_years_start)*(g_pl_years_end-g_pl_years_start+1)+(AV95-g_pl_years_start+1)))</f>
        <v>1</v>
      </c>
      <c r="AW96" s="154">
        <f t="shared" ca="1" si="58"/>
        <v>1</v>
      </c>
      <c r="AX96" s="154">
        <f t="shared" ca="1" si="58"/>
        <v>1</v>
      </c>
      <c r="AY96" s="154" t="str">
        <f t="shared" ca="1" si="58"/>
        <v/>
      </c>
      <c r="AZ96" s="154" t="str">
        <f t="shared" ca="1" si="58"/>
        <v/>
      </c>
      <c r="BA96" s="154" t="str">
        <f t="shared" ca="1" si="58"/>
        <v/>
      </c>
      <c r="BB96" s="154" t="str">
        <f t="shared" ca="1" si="58"/>
        <v/>
      </c>
      <c r="BC96" s="154" t="str">
        <f t="shared" ca="1" si="58"/>
        <v/>
      </c>
      <c r="BD96" s="154" t="str">
        <f t="shared" ca="1" si="58"/>
        <v/>
      </c>
      <c r="BE96" s="154" t="str">
        <f t="shared" ca="1" si="58"/>
        <v/>
      </c>
      <c r="BF96" s="154" t="str">
        <f t="shared" ca="1" si="58"/>
        <v/>
      </c>
      <c r="BG96" s="154" t="str">
        <f t="shared" ca="1" si="58"/>
        <v/>
      </c>
      <c r="BH96" s="154" t="str">
        <f t="shared" ca="1" si="58"/>
        <v/>
      </c>
      <c r="BI96" s="154" t="str">
        <f t="shared" ca="1" si="58"/>
        <v/>
      </c>
      <c r="BJ96" s="154" t="str">
        <f t="shared" ca="1" si="58"/>
        <v/>
      </c>
      <c r="BK96" s="154" t="str">
        <f t="shared" ca="1" si="58"/>
        <v/>
      </c>
      <c r="BL96" s="154" t="str">
        <f t="shared" ca="1" si="58"/>
        <v/>
      </c>
      <c r="BM96" s="154" t="str">
        <f t="shared" ca="1" si="58"/>
        <v/>
      </c>
      <c r="BN96" s="154" t="str">
        <f t="shared" ca="1" si="58"/>
        <v/>
      </c>
      <c r="BO96" s="154" t="str">
        <f t="shared" ca="1" si="58"/>
        <v/>
      </c>
      <c r="BP96" s="154" t="str">
        <f t="shared" ca="1" si="58"/>
        <v/>
      </c>
      <c r="BQ96" s="154" t="str">
        <f t="shared" ca="1" si="58"/>
        <v/>
      </c>
      <c r="BR96" s="154" t="str">
        <f t="shared" ca="1" si="58"/>
        <v/>
      </c>
      <c r="BS96" s="154" t="str">
        <f t="shared" ca="1" si="58"/>
        <v/>
      </c>
      <c r="BT96" s="154" t="str">
        <f t="shared" ca="1" si="58"/>
        <v/>
      </c>
      <c r="BU96" s="154" t="str">
        <f t="shared" ca="1" si="58"/>
        <v/>
      </c>
      <c r="BV96" s="154" t="str">
        <f t="shared" ca="1" si="58"/>
        <v/>
      </c>
      <c r="BW96" s="154" t="str">
        <f t="shared" ca="1" si="58"/>
        <v/>
      </c>
      <c r="BX96" s="154" t="str">
        <f t="shared" ca="1" si="58"/>
        <v/>
      </c>
      <c r="BY96" s="154" t="str">
        <f t="shared" ca="1" si="58"/>
        <v/>
      </c>
    </row>
    <row r="97" spans="1:77" ht="15.75" customHeight="1" x14ac:dyDescent="0.2">
      <c r="A97" s="3" t="s">
        <v>206</v>
      </c>
      <c r="AN97" s="28"/>
      <c r="AO97" s="138" t="str">
        <f>INDEX(g_lang_val,MATCH("le_2_2",g_lang_key,0))&amp;INDEX(g_lang_val,MATCH("le_2_6_1",g_lang_key,0))</f>
        <v xml:space="preserve">Total pl-justeret </v>
      </c>
      <c r="AP97" s="36"/>
      <c r="AQ97" s="36"/>
      <c r="AR97" s="36"/>
      <c r="AS97" s="36"/>
      <c r="AT97" s="36"/>
      <c r="AU97" s="63">
        <f ca="1">IF(AU$22="","",AU90*AU96)</f>
        <v>0</v>
      </c>
      <c r="AV97" s="63">
        <f t="shared" ref="AV97:BY97" ca="1" si="59">IF(AV$22="","",AV90*AV96)</f>
        <v>0</v>
      </c>
      <c r="AW97" s="63">
        <f t="shared" ca="1" si="59"/>
        <v>0</v>
      </c>
      <c r="AX97" s="63">
        <f t="shared" ca="1" si="59"/>
        <v>0</v>
      </c>
      <c r="AY97" s="63" t="str">
        <f t="shared" ca="1" si="59"/>
        <v/>
      </c>
      <c r="AZ97" s="63" t="str">
        <f t="shared" ca="1" si="59"/>
        <v/>
      </c>
      <c r="BA97" s="63" t="str">
        <f t="shared" ca="1" si="59"/>
        <v/>
      </c>
      <c r="BB97" s="63" t="str">
        <f t="shared" ca="1" si="59"/>
        <v/>
      </c>
      <c r="BC97" s="63" t="str">
        <f t="shared" ca="1" si="59"/>
        <v/>
      </c>
      <c r="BD97" s="63" t="str">
        <f t="shared" ca="1" si="59"/>
        <v/>
      </c>
      <c r="BE97" s="63" t="str">
        <f t="shared" ca="1" si="59"/>
        <v/>
      </c>
      <c r="BF97" s="63" t="str">
        <f t="shared" ca="1" si="59"/>
        <v/>
      </c>
      <c r="BG97" s="63" t="str">
        <f t="shared" ca="1" si="59"/>
        <v/>
      </c>
      <c r="BH97" s="63" t="str">
        <f t="shared" ca="1" si="59"/>
        <v/>
      </c>
      <c r="BI97" s="63" t="str">
        <f t="shared" ca="1" si="59"/>
        <v/>
      </c>
      <c r="BJ97" s="63" t="str">
        <f t="shared" ca="1" si="59"/>
        <v/>
      </c>
      <c r="BK97" s="63" t="str">
        <f t="shared" ca="1" si="59"/>
        <v/>
      </c>
      <c r="BL97" s="63" t="str">
        <f t="shared" ca="1" si="59"/>
        <v/>
      </c>
      <c r="BM97" s="63" t="str">
        <f t="shared" ca="1" si="59"/>
        <v/>
      </c>
      <c r="BN97" s="63" t="str">
        <f t="shared" ca="1" si="59"/>
        <v/>
      </c>
      <c r="BO97" s="63" t="str">
        <f t="shared" ca="1" si="59"/>
        <v/>
      </c>
      <c r="BP97" s="63" t="str">
        <f t="shared" ca="1" si="59"/>
        <v/>
      </c>
      <c r="BQ97" s="63" t="str">
        <f t="shared" ca="1" si="59"/>
        <v/>
      </c>
      <c r="BR97" s="63" t="str">
        <f t="shared" ca="1" si="59"/>
        <v/>
      </c>
      <c r="BS97" s="63" t="str">
        <f t="shared" ca="1" si="59"/>
        <v/>
      </c>
      <c r="BT97" s="63" t="str">
        <f t="shared" ca="1" si="59"/>
        <v/>
      </c>
      <c r="BU97" s="63" t="str">
        <f t="shared" ca="1" si="59"/>
        <v/>
      </c>
      <c r="BV97" s="63" t="str">
        <f t="shared" ca="1" si="59"/>
        <v/>
      </c>
      <c r="BW97" s="63" t="str">
        <f t="shared" ca="1" si="59"/>
        <v/>
      </c>
      <c r="BX97" s="63" t="str">
        <f t="shared" ca="1" si="59"/>
        <v/>
      </c>
      <c r="BY97" s="63" t="str">
        <f t="shared" ca="1" si="59"/>
        <v/>
      </c>
    </row>
    <row r="98" spans="1:77" ht="4.5" customHeight="1" x14ac:dyDescent="0.2">
      <c r="A98" s="3" t="s">
        <v>207</v>
      </c>
      <c r="AN98" s="28"/>
      <c r="AO98" s="27"/>
      <c r="AP98" s="27"/>
      <c r="AQ98" s="27"/>
      <c r="AR98" s="27"/>
      <c r="AS98" s="27"/>
      <c r="AT98" s="27"/>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BX98" s="70"/>
      <c r="BY98" s="70"/>
    </row>
    <row r="99" spans="1:77" ht="4.5" customHeight="1" x14ac:dyDescent="0.2">
      <c r="A99" s="3" t="s">
        <v>208</v>
      </c>
      <c r="AN99" s="28"/>
      <c r="AO99" s="24"/>
      <c r="AP99" s="24"/>
      <c r="AQ99" s="24"/>
      <c r="AR99" s="24"/>
      <c r="AS99" s="24"/>
      <c r="AT99" s="2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row>
    <row r="100" spans="1:77" ht="4.5" customHeight="1" x14ac:dyDescent="0.2">
      <c r="A100" s="3" t="s">
        <v>209</v>
      </c>
      <c r="AN100" s="28"/>
      <c r="AO100" s="235"/>
      <c r="AP100" s="236"/>
      <c r="AQ100" s="236"/>
      <c r="AR100" s="236"/>
      <c r="AS100" s="236"/>
      <c r="AT100" s="236"/>
      <c r="AU100" s="161"/>
      <c r="AV100" s="161"/>
      <c r="AW100" s="161"/>
      <c r="AX100" s="161"/>
      <c r="AY100" s="161"/>
      <c r="AZ100" s="161"/>
      <c r="BA100" s="161"/>
      <c r="BB100" s="161"/>
      <c r="BC100" s="161"/>
      <c r="BD100" s="161"/>
      <c r="BE100" s="161"/>
      <c r="BF100" s="161"/>
      <c r="BG100" s="161"/>
      <c r="BH100" s="161"/>
      <c r="BI100" s="161"/>
      <c r="BJ100" s="161"/>
      <c r="BK100" s="161"/>
      <c r="BL100" s="161"/>
      <c r="BM100" s="161"/>
      <c r="BN100" s="161"/>
      <c r="BO100" s="161"/>
      <c r="BP100" s="161"/>
      <c r="BQ100" s="161"/>
      <c r="BR100" s="161"/>
      <c r="BS100" s="161"/>
      <c r="BT100" s="161"/>
      <c r="BU100" s="161"/>
      <c r="BV100" s="161"/>
      <c r="BW100" s="161"/>
      <c r="BX100" s="161"/>
      <c r="BY100" s="161"/>
    </row>
    <row r="101" spans="1:77" ht="15.75" customHeight="1" x14ac:dyDescent="0.2">
      <c r="A101" s="3" t="s">
        <v>210</v>
      </c>
      <c r="AN101" s="28"/>
      <c r="AO101" s="41" t="str">
        <f>INDEX(g_lang_val,MATCH("le_2_5",g_lang_key,0))</f>
        <v>Risikopulje</v>
      </c>
      <c r="AP101" s="29"/>
      <c r="AQ101" s="29"/>
      <c r="AR101" s="29"/>
      <c r="AS101" s="141"/>
      <c r="AT101" s="79" t="str">
        <f>INDEX(g_lang_val,MATCH("le_2_5_1",g_lang_key,0))</f>
        <v>Indplacering af risikopuljen (pct.):</v>
      </c>
      <c r="AU101" s="184">
        <v>0</v>
      </c>
      <c r="AV101" s="184">
        <v>0</v>
      </c>
      <c r="AW101" s="184">
        <v>0</v>
      </c>
      <c r="AX101" s="184">
        <v>0</v>
      </c>
      <c r="AY101" s="184"/>
      <c r="AZ101" s="184"/>
      <c r="BA101" s="184"/>
      <c r="BB101" s="184"/>
      <c r="BC101" s="184"/>
      <c r="BD101" s="184"/>
      <c r="BE101" s="184"/>
      <c r="BF101" s="184"/>
      <c r="BG101" s="184"/>
      <c r="BH101" s="184"/>
      <c r="BI101" s="184"/>
      <c r="BJ101" s="184"/>
      <c r="BK101" s="184"/>
      <c r="BL101" s="184"/>
      <c r="BM101" s="184"/>
      <c r="BN101" s="184"/>
      <c r="BO101" s="184"/>
      <c r="BP101" s="184"/>
      <c r="BQ101" s="184"/>
      <c r="BR101" s="184"/>
      <c r="BS101" s="184"/>
      <c r="BT101" s="184"/>
      <c r="BU101" s="184"/>
      <c r="BV101" s="184"/>
      <c r="BW101" s="184"/>
      <c r="BX101" s="184"/>
      <c r="BY101" s="184"/>
    </row>
    <row r="102" spans="1:77" ht="4.5" customHeight="1" x14ac:dyDescent="0.2">
      <c r="A102" s="3" t="s">
        <v>211</v>
      </c>
      <c r="AN102" s="28"/>
      <c r="AO102" s="235"/>
      <c r="AP102" s="236"/>
      <c r="AQ102" s="236"/>
      <c r="AR102" s="236"/>
      <c r="AS102" s="236"/>
      <c r="AT102" s="236"/>
      <c r="AU102" s="161"/>
      <c r="AV102" s="161"/>
      <c r="AW102" s="161"/>
      <c r="AX102" s="161"/>
      <c r="AY102" s="161"/>
      <c r="AZ102" s="161"/>
      <c r="BA102" s="161"/>
      <c r="BB102" s="161"/>
      <c r="BC102" s="161"/>
      <c r="BD102" s="161"/>
      <c r="BE102" s="161"/>
      <c r="BF102" s="161"/>
      <c r="BG102" s="161"/>
      <c r="BH102" s="161"/>
      <c r="BI102" s="161"/>
      <c r="BJ102" s="161"/>
      <c r="BK102" s="161"/>
      <c r="BL102" s="161"/>
      <c r="BM102" s="161"/>
      <c r="BN102" s="161"/>
      <c r="BO102" s="161"/>
      <c r="BP102" s="161"/>
      <c r="BQ102" s="161"/>
      <c r="BR102" s="161"/>
      <c r="BS102" s="161"/>
      <c r="BT102" s="161"/>
      <c r="BU102" s="161"/>
      <c r="BV102" s="161"/>
      <c r="BW102" s="161"/>
      <c r="BX102" s="161"/>
      <c r="BY102" s="161"/>
    </row>
    <row r="103" spans="1:77" ht="4.5" customHeight="1" x14ac:dyDescent="0.2">
      <c r="A103" s="3" t="s">
        <v>181</v>
      </c>
      <c r="AN103" s="28"/>
      <c r="AO103" s="27"/>
      <c r="AP103" s="27"/>
      <c r="AQ103" s="27"/>
      <c r="AR103" s="27"/>
      <c r="AS103" s="27"/>
      <c r="AT103" s="27"/>
      <c r="AU103" s="70"/>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c r="BS103" s="70"/>
      <c r="BT103" s="70"/>
      <c r="BU103" s="70"/>
      <c r="BV103" s="70"/>
      <c r="BW103" s="70"/>
      <c r="BX103" s="70"/>
      <c r="BY103" s="70"/>
    </row>
    <row r="104" spans="1:77" ht="15.75" customHeight="1" x14ac:dyDescent="0.2">
      <c r="A104" s="3" t="s">
        <v>210</v>
      </c>
      <c r="AN104" s="28"/>
      <c r="AO104" s="137" t="str">
        <f>INDEX(g_lang_val,MATCH("le_2_6",g_lang_key,0))&amp;INDEX(g_lang_val,MATCH("le_2_6_1",g_lang_key,0))</f>
        <v xml:space="preserve">Riskopulje pl-justeret </v>
      </c>
      <c r="AP104" s="31"/>
      <c r="AQ104" s="30"/>
      <c r="AR104" s="31"/>
      <c r="AS104" s="36"/>
      <c r="AT104" s="31"/>
      <c r="AU104" s="63">
        <f ca="1">IF(AU$22="","",($AS$101*AU101)*AU96)</f>
        <v>0</v>
      </c>
      <c r="AV104" s="63">
        <f t="shared" ref="AV104:BY104" ca="1" si="60">IF(AV$22="","",($AS$101*AV101)*AV96)</f>
        <v>0</v>
      </c>
      <c r="AW104" s="63">
        <f t="shared" ca="1" si="60"/>
        <v>0</v>
      </c>
      <c r="AX104" s="63">
        <f t="shared" ca="1" si="60"/>
        <v>0</v>
      </c>
      <c r="AY104" s="63" t="str">
        <f t="shared" ca="1" si="60"/>
        <v/>
      </c>
      <c r="AZ104" s="63" t="str">
        <f t="shared" ca="1" si="60"/>
        <v/>
      </c>
      <c r="BA104" s="63" t="str">
        <f t="shared" ca="1" si="60"/>
        <v/>
      </c>
      <c r="BB104" s="63" t="str">
        <f t="shared" ca="1" si="60"/>
        <v/>
      </c>
      <c r="BC104" s="63" t="str">
        <f t="shared" ca="1" si="60"/>
        <v/>
      </c>
      <c r="BD104" s="63" t="str">
        <f t="shared" ca="1" si="60"/>
        <v/>
      </c>
      <c r="BE104" s="63" t="str">
        <f t="shared" ca="1" si="60"/>
        <v/>
      </c>
      <c r="BF104" s="63" t="str">
        <f t="shared" ca="1" si="60"/>
        <v/>
      </c>
      <c r="BG104" s="63" t="str">
        <f t="shared" ca="1" si="60"/>
        <v/>
      </c>
      <c r="BH104" s="63" t="str">
        <f t="shared" ca="1" si="60"/>
        <v/>
      </c>
      <c r="BI104" s="63" t="str">
        <f t="shared" ca="1" si="60"/>
        <v/>
      </c>
      <c r="BJ104" s="63" t="str">
        <f t="shared" ca="1" si="60"/>
        <v/>
      </c>
      <c r="BK104" s="63" t="str">
        <f t="shared" ca="1" si="60"/>
        <v/>
      </c>
      <c r="BL104" s="63" t="str">
        <f t="shared" ca="1" si="60"/>
        <v/>
      </c>
      <c r="BM104" s="63" t="str">
        <f t="shared" ca="1" si="60"/>
        <v/>
      </c>
      <c r="BN104" s="63" t="str">
        <f t="shared" ca="1" si="60"/>
        <v/>
      </c>
      <c r="BO104" s="63" t="str">
        <f t="shared" ca="1" si="60"/>
        <v/>
      </c>
      <c r="BP104" s="63" t="str">
        <f t="shared" ca="1" si="60"/>
        <v/>
      </c>
      <c r="BQ104" s="63" t="str">
        <f t="shared" ca="1" si="60"/>
        <v/>
      </c>
      <c r="BR104" s="63" t="str">
        <f t="shared" ca="1" si="60"/>
        <v/>
      </c>
      <c r="BS104" s="63" t="str">
        <f t="shared" ca="1" si="60"/>
        <v/>
      </c>
      <c r="BT104" s="63" t="str">
        <f t="shared" ca="1" si="60"/>
        <v/>
      </c>
      <c r="BU104" s="63" t="str">
        <f t="shared" ca="1" si="60"/>
        <v/>
      </c>
      <c r="BV104" s="63" t="str">
        <f t="shared" ca="1" si="60"/>
        <v/>
      </c>
      <c r="BW104" s="63" t="str">
        <f t="shared" ca="1" si="60"/>
        <v/>
      </c>
      <c r="BX104" s="63" t="str">
        <f t="shared" ca="1" si="60"/>
        <v/>
      </c>
      <c r="BY104" s="63" t="str">
        <f t="shared" ca="1" si="60"/>
        <v/>
      </c>
    </row>
    <row r="105" spans="1:77" ht="4.5" customHeight="1" thickBot="1" x14ac:dyDescent="0.25">
      <c r="A105" s="3" t="s">
        <v>211</v>
      </c>
      <c r="AN105" s="28"/>
      <c r="AO105" s="27"/>
      <c r="AP105" s="27"/>
      <c r="AQ105" s="27"/>
      <c r="AR105" s="27"/>
      <c r="AS105" s="27"/>
      <c r="AT105" s="27"/>
      <c r="AU105" s="70"/>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c r="BS105" s="70"/>
      <c r="BT105" s="70"/>
      <c r="BU105" s="70"/>
      <c r="BV105" s="70"/>
      <c r="BW105" s="70"/>
      <c r="BX105" s="70"/>
      <c r="BY105" s="70"/>
    </row>
    <row r="106" spans="1:77" ht="15.75" customHeight="1" thickTop="1" x14ac:dyDescent="0.2">
      <c r="A106" s="3" t="s">
        <v>212</v>
      </c>
      <c r="AN106" s="28"/>
      <c r="AO106" s="138" t="str">
        <f>INDEX(g_lang_val,MATCH("le_2_2",g_lang_key,0))&amp;INDEX(g_lang_val,MATCH("le_2_7",g_lang_key,0))</f>
        <v>Total pl-justeret, inkl. risikopulje</v>
      </c>
      <c r="AP106" s="36"/>
      <c r="AQ106" s="36"/>
      <c r="AR106" s="36"/>
      <c r="AS106" s="36"/>
      <c r="AT106" s="36"/>
      <c r="AU106" s="56">
        <f ca="1">IF(AU$22="","",AU97+AU104)</f>
        <v>0</v>
      </c>
      <c r="AV106" s="56">
        <f t="shared" ref="AV106:BY106" ca="1" si="61">IF(AV$22="","",AV97+AV104)</f>
        <v>0</v>
      </c>
      <c r="AW106" s="56">
        <f t="shared" ca="1" si="61"/>
        <v>0</v>
      </c>
      <c r="AX106" s="56">
        <f t="shared" ca="1" si="61"/>
        <v>0</v>
      </c>
      <c r="AY106" s="56" t="str">
        <f t="shared" ca="1" si="61"/>
        <v/>
      </c>
      <c r="AZ106" s="56" t="str">
        <f t="shared" ca="1" si="61"/>
        <v/>
      </c>
      <c r="BA106" s="56" t="str">
        <f t="shared" ca="1" si="61"/>
        <v/>
      </c>
      <c r="BB106" s="56" t="str">
        <f t="shared" ca="1" si="61"/>
        <v/>
      </c>
      <c r="BC106" s="56" t="str">
        <f t="shared" ca="1" si="61"/>
        <v/>
      </c>
      <c r="BD106" s="56" t="str">
        <f t="shared" ca="1" si="61"/>
        <v/>
      </c>
      <c r="BE106" s="56" t="str">
        <f t="shared" ca="1" si="61"/>
        <v/>
      </c>
      <c r="BF106" s="56" t="str">
        <f t="shared" ca="1" si="61"/>
        <v/>
      </c>
      <c r="BG106" s="56" t="str">
        <f t="shared" ca="1" si="61"/>
        <v/>
      </c>
      <c r="BH106" s="56" t="str">
        <f t="shared" ca="1" si="61"/>
        <v/>
      </c>
      <c r="BI106" s="56" t="str">
        <f t="shared" ca="1" si="61"/>
        <v/>
      </c>
      <c r="BJ106" s="56" t="str">
        <f t="shared" ca="1" si="61"/>
        <v/>
      </c>
      <c r="BK106" s="56" t="str">
        <f t="shared" ca="1" si="61"/>
        <v/>
      </c>
      <c r="BL106" s="56" t="str">
        <f t="shared" ca="1" si="61"/>
        <v/>
      </c>
      <c r="BM106" s="56" t="str">
        <f t="shared" ca="1" si="61"/>
        <v/>
      </c>
      <c r="BN106" s="56" t="str">
        <f t="shared" ca="1" si="61"/>
        <v/>
      </c>
      <c r="BO106" s="56" t="str">
        <f t="shared" ca="1" si="61"/>
        <v/>
      </c>
      <c r="BP106" s="56" t="str">
        <f t="shared" ca="1" si="61"/>
        <v/>
      </c>
      <c r="BQ106" s="56" t="str">
        <f t="shared" ca="1" si="61"/>
        <v/>
      </c>
      <c r="BR106" s="56" t="str">
        <f t="shared" ca="1" si="61"/>
        <v/>
      </c>
      <c r="BS106" s="56" t="str">
        <f t="shared" ca="1" si="61"/>
        <v/>
      </c>
      <c r="BT106" s="56" t="str">
        <f t="shared" ca="1" si="61"/>
        <v/>
      </c>
      <c r="BU106" s="56" t="str">
        <f t="shared" ca="1" si="61"/>
        <v/>
      </c>
      <c r="BV106" s="56" t="str">
        <f t="shared" ca="1" si="61"/>
        <v/>
      </c>
      <c r="BW106" s="56" t="str">
        <f t="shared" ca="1" si="61"/>
        <v/>
      </c>
      <c r="BX106" s="56" t="str">
        <f t="shared" ca="1" si="61"/>
        <v/>
      </c>
      <c r="BY106" s="56" t="str">
        <f t="shared" ca="1" si="61"/>
        <v/>
      </c>
    </row>
    <row r="107" spans="1:77" ht="4.5" customHeight="1" x14ac:dyDescent="0.2">
      <c r="A107" s="3" t="s">
        <v>213</v>
      </c>
      <c r="AN107" s="28"/>
      <c r="AO107" s="27"/>
      <c r="AP107" s="27"/>
      <c r="AQ107" s="27"/>
      <c r="AR107" s="27"/>
      <c r="AS107" s="27"/>
      <c r="AT107" s="27"/>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c r="BR107" s="70"/>
      <c r="BS107" s="70"/>
      <c r="BT107" s="70"/>
      <c r="BU107" s="70"/>
      <c r="BV107" s="70"/>
      <c r="BW107" s="70"/>
      <c r="BX107" s="70"/>
      <c r="BY107" s="70"/>
    </row>
    <row r="108" spans="1:77" ht="4.5" customHeight="1" x14ac:dyDescent="0.2">
      <c r="A108" s="3" t="s">
        <v>173</v>
      </c>
      <c r="AN108" s="28"/>
      <c r="AO108" s="24"/>
      <c r="AP108" s="24"/>
      <c r="AQ108" s="24"/>
      <c r="AR108" s="24"/>
      <c r="AS108" s="24"/>
      <c r="AT108" s="2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row>
    <row r="110" spans="1:77" s="13" customFormat="1" ht="29.1" customHeight="1" x14ac:dyDescent="0.2">
      <c r="A110" s="3" t="s">
        <v>214</v>
      </c>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72" t="str">
        <f>INDEX(g_lang_val,MATCH("le_3",g_lang_key,0))</f>
        <v>Afledte økonomiske omkostninger i tusinde kroner (t. kr.)</v>
      </c>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row>
    <row r="111" spans="1:77" ht="4.5" customHeight="1" x14ac:dyDescent="0.2">
      <c r="A111" s="3" t="s">
        <v>215</v>
      </c>
      <c r="AN111" s="169"/>
      <c r="AO111" s="24"/>
      <c r="AP111" s="24"/>
      <c r="AQ111" s="24"/>
      <c r="AR111" s="24"/>
      <c r="AS111" s="24"/>
      <c r="AT111" s="24"/>
      <c r="AU111" s="34">
        <f t="shared" ref="AU111:BY111" ca="1" si="62">IF(INDEX(g_sc_1_opex,2)+COLUMN()-47&lt;=INDEX(g_sc_1_opex,3),INDEX(g_sc_1_opex,2)+COLUMN()-47,"")</f>
        <v>2026</v>
      </c>
      <c r="AV111" s="34">
        <f t="shared" ca="1" si="62"/>
        <v>2027</v>
      </c>
      <c r="AW111" s="34">
        <f t="shared" ca="1" si="62"/>
        <v>2028</v>
      </c>
      <c r="AX111" s="34">
        <f t="shared" ca="1" si="62"/>
        <v>2029</v>
      </c>
      <c r="AY111" s="34" t="str">
        <f t="shared" ca="1" si="62"/>
        <v/>
      </c>
      <c r="AZ111" s="34" t="str">
        <f t="shared" ca="1" si="62"/>
        <v/>
      </c>
      <c r="BA111" s="34" t="str">
        <f t="shared" ca="1" si="62"/>
        <v/>
      </c>
      <c r="BB111" s="34" t="str">
        <f t="shared" ca="1" si="62"/>
        <v/>
      </c>
      <c r="BC111" s="34" t="str">
        <f t="shared" ca="1" si="62"/>
        <v/>
      </c>
      <c r="BD111" s="34" t="str">
        <f t="shared" ca="1" si="62"/>
        <v/>
      </c>
      <c r="BE111" s="34" t="str">
        <f t="shared" ca="1" si="62"/>
        <v/>
      </c>
      <c r="BF111" s="34" t="str">
        <f t="shared" ca="1" si="62"/>
        <v/>
      </c>
      <c r="BG111" s="34" t="str">
        <f t="shared" ca="1" si="62"/>
        <v/>
      </c>
      <c r="BH111" s="34" t="str">
        <f t="shared" ca="1" si="62"/>
        <v/>
      </c>
      <c r="BI111" s="34" t="str">
        <f t="shared" ca="1" si="62"/>
        <v/>
      </c>
      <c r="BJ111" s="34" t="str">
        <f t="shared" ca="1" si="62"/>
        <v/>
      </c>
      <c r="BK111" s="34" t="str">
        <f t="shared" ca="1" si="62"/>
        <v/>
      </c>
      <c r="BL111" s="34" t="str">
        <f t="shared" ca="1" si="62"/>
        <v/>
      </c>
      <c r="BM111" s="34" t="str">
        <f t="shared" ca="1" si="62"/>
        <v/>
      </c>
      <c r="BN111" s="34" t="str">
        <f t="shared" ca="1" si="62"/>
        <v/>
      </c>
      <c r="BO111" s="34" t="str">
        <f t="shared" ca="1" si="62"/>
        <v/>
      </c>
      <c r="BP111" s="34" t="str">
        <f t="shared" ca="1" si="62"/>
        <v/>
      </c>
      <c r="BQ111" s="34" t="str">
        <f t="shared" ca="1" si="62"/>
        <v/>
      </c>
      <c r="BR111" s="34" t="str">
        <f t="shared" ca="1" si="62"/>
        <v/>
      </c>
      <c r="BS111" s="34" t="str">
        <f t="shared" ca="1" si="62"/>
        <v/>
      </c>
      <c r="BT111" s="34" t="str">
        <f t="shared" ca="1" si="62"/>
        <v/>
      </c>
      <c r="BU111" s="34" t="str">
        <f t="shared" ca="1" si="62"/>
        <v/>
      </c>
      <c r="BV111" s="34" t="str">
        <f t="shared" ca="1" si="62"/>
        <v/>
      </c>
      <c r="BW111" s="34" t="str">
        <f t="shared" ca="1" si="62"/>
        <v/>
      </c>
      <c r="BX111" s="34" t="str">
        <f t="shared" ca="1" si="62"/>
        <v/>
      </c>
      <c r="BY111" s="34" t="str">
        <f t="shared" ca="1" si="62"/>
        <v/>
      </c>
    </row>
    <row r="112" spans="1:77" ht="17.25" customHeight="1" x14ac:dyDescent="0.2">
      <c r="A112" s="3" t="s">
        <v>167</v>
      </c>
      <c r="AN112" s="169"/>
      <c r="AO112" s="240" t="str">
        <f>INDEX(g_lang_val,MATCH("le_1",g_lang_key,0))</f>
        <v>Vigtigt:</v>
      </c>
      <c r="AP112" s="232"/>
      <c r="AQ112" s="232"/>
      <c r="AR112" s="232"/>
      <c r="AS112" s="232"/>
      <c r="AT112" s="232"/>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row>
    <row r="113" spans="1:77" ht="90" customHeight="1" x14ac:dyDescent="0.2">
      <c r="A113" s="3" t="s">
        <v>168</v>
      </c>
      <c r="AN113" s="169"/>
      <c r="AO113" s="35"/>
      <c r="AP113" s="241" t="str">
        <f>INDEX(g_lang_val,MATCH("le_3_1",g_lang_key,0))</f>
        <v>1) I denne tabel indtastes alene de kommende drifts-, vedligeholds- og udviklingsomkostninger.
2) Der henvises til Model for porteføljestyring af statslige it-systemer for definition af drifts-, vedligeholds- og udviklingsomkostninger, som kan findes på Økonomistyrelsens hjemmeside oes.dk.
3) Hvis projektet har forventede effektiviseringsgevinster i forretningen, som fører til en besparelse, skal de forventede fremtidige driftsomkostninger for det påvirkede område fremgå i tabellen for de afledte økonomiske omkostninger</v>
      </c>
      <c r="AQ113" s="241"/>
      <c r="AR113" s="241"/>
      <c r="AS113" s="241"/>
      <c r="AT113" s="241"/>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c r="BS113" s="70"/>
      <c r="BT113" s="70"/>
      <c r="BU113" s="70"/>
      <c r="BV113" s="70"/>
      <c r="BW113" s="70"/>
      <c r="BX113" s="70"/>
      <c r="BY113" s="70"/>
    </row>
    <row r="114" spans="1:77" s="13" customFormat="1" ht="51.75" customHeight="1" x14ac:dyDescent="0.2">
      <c r="A114" s="3" t="s">
        <v>216</v>
      </c>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69"/>
      <c r="AO114" s="239" t="str">
        <f>INDEX(g_lang_val,MATCH("le_3_2",g_lang_key,0))</f>
        <v>Drifts-, vedligeholds- og udviklingsomkostninger</v>
      </c>
      <c r="AP114" s="239"/>
      <c r="AQ114" s="239"/>
      <c r="AR114" s="239"/>
      <c r="AS114" s="239"/>
      <c r="AT114" s="167" t="str">
        <f>INDEX(g_lang_val,MATCH("le_2_1_5",g_lang_key,0))</f>
        <v>Grundlag for estimat</v>
      </c>
      <c r="AU114" s="168">
        <f t="shared" ref="AU114" ca="1" si="63">AU111</f>
        <v>2026</v>
      </c>
      <c r="AV114" s="168">
        <f t="shared" ref="AV114:BY114" ca="1" si="64">AV111</f>
        <v>2027</v>
      </c>
      <c r="AW114" s="168">
        <f t="shared" ca="1" si="64"/>
        <v>2028</v>
      </c>
      <c r="AX114" s="168">
        <f t="shared" ca="1" si="64"/>
        <v>2029</v>
      </c>
      <c r="AY114" s="168" t="str">
        <f t="shared" ca="1" si="64"/>
        <v/>
      </c>
      <c r="AZ114" s="168" t="str">
        <f t="shared" ca="1" si="64"/>
        <v/>
      </c>
      <c r="BA114" s="168" t="str">
        <f t="shared" ca="1" si="64"/>
        <v/>
      </c>
      <c r="BB114" s="168" t="str">
        <f t="shared" ca="1" si="64"/>
        <v/>
      </c>
      <c r="BC114" s="168" t="str">
        <f t="shared" ca="1" si="64"/>
        <v/>
      </c>
      <c r="BD114" s="168" t="str">
        <f t="shared" ca="1" si="64"/>
        <v/>
      </c>
      <c r="BE114" s="168" t="str">
        <f t="shared" ca="1" si="64"/>
        <v/>
      </c>
      <c r="BF114" s="168" t="str">
        <f t="shared" ca="1" si="64"/>
        <v/>
      </c>
      <c r="BG114" s="168" t="str">
        <f t="shared" ca="1" si="64"/>
        <v/>
      </c>
      <c r="BH114" s="168" t="str">
        <f t="shared" ca="1" si="64"/>
        <v/>
      </c>
      <c r="BI114" s="168" t="str">
        <f t="shared" ca="1" si="64"/>
        <v/>
      </c>
      <c r="BJ114" s="168" t="str">
        <f t="shared" ca="1" si="64"/>
        <v/>
      </c>
      <c r="BK114" s="168" t="str">
        <f t="shared" ca="1" si="64"/>
        <v/>
      </c>
      <c r="BL114" s="168" t="str">
        <f t="shared" ca="1" si="64"/>
        <v/>
      </c>
      <c r="BM114" s="168" t="str">
        <f t="shared" ca="1" si="64"/>
        <v/>
      </c>
      <c r="BN114" s="168" t="str">
        <f t="shared" ca="1" si="64"/>
        <v/>
      </c>
      <c r="BO114" s="168" t="str">
        <f t="shared" ca="1" si="64"/>
        <v/>
      </c>
      <c r="BP114" s="168" t="str">
        <f t="shared" ca="1" si="64"/>
        <v/>
      </c>
      <c r="BQ114" s="168" t="str">
        <f t="shared" ca="1" si="64"/>
        <v/>
      </c>
      <c r="BR114" s="168" t="str">
        <f t="shared" ca="1" si="64"/>
        <v/>
      </c>
      <c r="BS114" s="168" t="str">
        <f t="shared" ca="1" si="64"/>
        <v/>
      </c>
      <c r="BT114" s="168" t="str">
        <f t="shared" ca="1" si="64"/>
        <v/>
      </c>
      <c r="BU114" s="168" t="str">
        <f t="shared" ca="1" si="64"/>
        <v/>
      </c>
      <c r="BV114" s="168" t="str">
        <f t="shared" ca="1" si="64"/>
        <v/>
      </c>
      <c r="BW114" s="168" t="str">
        <f t="shared" ca="1" si="64"/>
        <v/>
      </c>
      <c r="BX114" s="168" t="str">
        <f t="shared" ca="1" si="64"/>
        <v/>
      </c>
      <c r="BY114" s="168" t="str">
        <f t="shared" ca="1" si="64"/>
        <v/>
      </c>
    </row>
    <row r="115" spans="1:77" s="13" customFormat="1" ht="4.5" customHeight="1" x14ac:dyDescent="0.2">
      <c r="A115" s="3" t="s">
        <v>217</v>
      </c>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69"/>
      <c r="AO115" s="27"/>
      <c r="AP115" s="27"/>
      <c r="AQ115" s="27"/>
      <c r="AR115" s="27"/>
      <c r="AS115" s="27"/>
      <c r="AT115" s="27"/>
      <c r="AU115" s="70"/>
      <c r="AV115" s="70"/>
      <c r="AW115" s="70"/>
      <c r="AX115" s="70"/>
      <c r="AY115" s="70"/>
      <c r="AZ115" s="70"/>
      <c r="BA115" s="70"/>
      <c r="BB115" s="70"/>
      <c r="BC115" s="70"/>
      <c r="BD115" s="70"/>
      <c r="BE115" s="70"/>
      <c r="BF115" s="70"/>
      <c r="BG115" s="70"/>
      <c r="BH115" s="70"/>
      <c r="BI115" s="70"/>
      <c r="BJ115" s="70"/>
      <c r="BK115" s="70"/>
      <c r="BL115" s="70"/>
      <c r="BM115" s="70"/>
      <c r="BN115" s="70"/>
      <c r="BO115" s="70"/>
      <c r="BP115" s="70"/>
      <c r="BQ115" s="70"/>
      <c r="BR115" s="70"/>
      <c r="BS115" s="70"/>
      <c r="BT115" s="70"/>
      <c r="BU115" s="70"/>
      <c r="BV115" s="70"/>
      <c r="BW115" s="70"/>
      <c r="BX115" s="70"/>
      <c r="BY115" s="70"/>
    </row>
    <row r="116" spans="1:77" s="13" customFormat="1" ht="15.75" customHeight="1" x14ac:dyDescent="0.2">
      <c r="A116" s="3" t="s">
        <v>218</v>
      </c>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69"/>
      <c r="AO116" s="42" t="s">
        <v>226</v>
      </c>
      <c r="AP116" s="159"/>
      <c r="AQ116" s="55"/>
      <c r="AR116" s="55"/>
      <c r="AS116" s="55"/>
      <c r="AT116" s="155" t="s">
        <v>384</v>
      </c>
      <c r="AU116" s="141"/>
      <c r="AV116" s="141"/>
      <c r="AW116" s="141"/>
      <c r="AX116" s="141"/>
      <c r="AY116" s="141"/>
      <c r="AZ116" s="141"/>
      <c r="BA116" s="141"/>
      <c r="BB116" s="141"/>
      <c r="BC116" s="141"/>
      <c r="BD116" s="141"/>
      <c r="BE116" s="141"/>
      <c r="BF116" s="141"/>
      <c r="BG116" s="141"/>
      <c r="BH116" s="141"/>
      <c r="BI116" s="141"/>
      <c r="BJ116" s="141"/>
      <c r="BK116" s="141"/>
      <c r="BL116" s="141"/>
      <c r="BM116" s="141"/>
      <c r="BN116" s="141"/>
      <c r="BO116" s="141"/>
      <c r="BP116" s="141"/>
      <c r="BQ116" s="141"/>
      <c r="BR116" s="141"/>
      <c r="BS116" s="141"/>
      <c r="BT116" s="141"/>
      <c r="BU116" s="141"/>
      <c r="BV116" s="141"/>
      <c r="BW116" s="141"/>
      <c r="BX116" s="141"/>
      <c r="BY116" s="141"/>
    </row>
    <row r="117" spans="1:77" s="13" customFormat="1" ht="15.75" customHeight="1" x14ac:dyDescent="0.2">
      <c r="A117" s="3" t="s">
        <v>219</v>
      </c>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69"/>
      <c r="AO117" s="42" t="s">
        <v>227</v>
      </c>
      <c r="AP117" s="159"/>
      <c r="AQ117" s="55"/>
      <c r="AR117" s="55"/>
      <c r="AS117" s="55"/>
      <c r="AT117" s="155" t="s">
        <v>384</v>
      </c>
      <c r="AU117" s="141"/>
      <c r="AV117" s="141"/>
      <c r="AW117" s="141"/>
      <c r="AX117" s="141"/>
      <c r="AY117" s="141"/>
      <c r="AZ117" s="141"/>
      <c r="BA117" s="141"/>
      <c r="BB117" s="141"/>
      <c r="BC117" s="141"/>
      <c r="BD117" s="141"/>
      <c r="BE117" s="141"/>
      <c r="BF117" s="141"/>
      <c r="BG117" s="141"/>
      <c r="BH117" s="141"/>
      <c r="BI117" s="141"/>
      <c r="BJ117" s="141"/>
      <c r="BK117" s="141"/>
      <c r="BL117" s="141"/>
      <c r="BM117" s="141"/>
      <c r="BN117" s="141"/>
      <c r="BO117" s="141"/>
      <c r="BP117" s="141"/>
      <c r="BQ117" s="141"/>
      <c r="BR117" s="141"/>
      <c r="BS117" s="141"/>
      <c r="BT117" s="141"/>
      <c r="BU117" s="141"/>
      <c r="BV117" s="141"/>
      <c r="BW117" s="141"/>
      <c r="BX117" s="141"/>
      <c r="BY117" s="141"/>
    </row>
    <row r="118" spans="1:77" s="13" customFormat="1" ht="15.75" customHeight="1" x14ac:dyDescent="0.2">
      <c r="A118" s="3" t="s">
        <v>220</v>
      </c>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69"/>
      <c r="AO118" s="42" t="s">
        <v>228</v>
      </c>
      <c r="AP118" s="159"/>
      <c r="AQ118" s="55"/>
      <c r="AR118" s="55"/>
      <c r="AS118" s="55"/>
      <c r="AT118" s="155" t="s">
        <v>384</v>
      </c>
      <c r="AU118" s="141"/>
      <c r="AV118" s="141"/>
      <c r="AW118" s="141"/>
      <c r="AX118" s="141"/>
      <c r="AY118" s="141"/>
      <c r="AZ118" s="141"/>
      <c r="BA118" s="141"/>
      <c r="BB118" s="141"/>
      <c r="BC118" s="141"/>
      <c r="BD118" s="141"/>
      <c r="BE118" s="141"/>
      <c r="BF118" s="141"/>
      <c r="BG118" s="141"/>
      <c r="BH118" s="141"/>
      <c r="BI118" s="141"/>
      <c r="BJ118" s="141"/>
      <c r="BK118" s="141"/>
      <c r="BL118" s="141"/>
      <c r="BM118" s="141"/>
      <c r="BN118" s="141"/>
      <c r="BO118" s="141"/>
      <c r="BP118" s="141"/>
      <c r="BQ118" s="141"/>
      <c r="BR118" s="141"/>
      <c r="BS118" s="141"/>
      <c r="BT118" s="141"/>
      <c r="BU118" s="141"/>
      <c r="BV118" s="141"/>
      <c r="BW118" s="141"/>
      <c r="BX118" s="141"/>
      <c r="BY118" s="141"/>
    </row>
    <row r="119" spans="1:77" s="13" customFormat="1" ht="15.75" customHeight="1" x14ac:dyDescent="0.2">
      <c r="A119" s="3" t="s">
        <v>221</v>
      </c>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69"/>
      <c r="AO119" s="42" t="s">
        <v>229</v>
      </c>
      <c r="AP119" s="159"/>
      <c r="AQ119" s="55"/>
      <c r="AR119" s="55"/>
      <c r="AS119" s="55"/>
      <c r="AT119" s="155" t="s">
        <v>384</v>
      </c>
      <c r="AU119" s="141"/>
      <c r="AV119" s="141"/>
      <c r="AW119" s="141"/>
      <c r="AX119" s="141"/>
      <c r="AY119" s="141"/>
      <c r="AZ119" s="141"/>
      <c r="BA119" s="141"/>
      <c r="BB119" s="141"/>
      <c r="BC119" s="141"/>
      <c r="BD119" s="141"/>
      <c r="BE119" s="141"/>
      <c r="BF119" s="141"/>
      <c r="BG119" s="141"/>
      <c r="BH119" s="141"/>
      <c r="BI119" s="141"/>
      <c r="BJ119" s="141"/>
      <c r="BK119" s="141"/>
      <c r="BL119" s="141"/>
      <c r="BM119" s="141"/>
      <c r="BN119" s="141"/>
      <c r="BO119" s="141"/>
      <c r="BP119" s="141"/>
      <c r="BQ119" s="141"/>
      <c r="BR119" s="141"/>
      <c r="BS119" s="141"/>
      <c r="BT119" s="141"/>
      <c r="BU119" s="141"/>
      <c r="BV119" s="141"/>
      <c r="BW119" s="141"/>
      <c r="BX119" s="141"/>
      <c r="BY119" s="141"/>
    </row>
    <row r="120" spans="1:77" s="13" customFormat="1" ht="15.75" customHeight="1" x14ac:dyDescent="0.2">
      <c r="A120" s="3" t="s">
        <v>222</v>
      </c>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69"/>
      <c r="AO120" s="42" t="s">
        <v>230</v>
      </c>
      <c r="AP120" s="159"/>
      <c r="AQ120" s="55"/>
      <c r="AR120" s="55"/>
      <c r="AS120" s="55"/>
      <c r="AT120" s="155" t="s">
        <v>384</v>
      </c>
      <c r="AU120" s="141"/>
      <c r="AV120" s="141"/>
      <c r="AW120" s="141"/>
      <c r="AX120" s="141"/>
      <c r="AY120" s="141"/>
      <c r="AZ120" s="141"/>
      <c r="BA120" s="141"/>
      <c r="BB120" s="141"/>
      <c r="BC120" s="141"/>
      <c r="BD120" s="141"/>
      <c r="BE120" s="141"/>
      <c r="BF120" s="141"/>
      <c r="BG120" s="141"/>
      <c r="BH120" s="141"/>
      <c r="BI120" s="141"/>
      <c r="BJ120" s="141"/>
      <c r="BK120" s="141"/>
      <c r="BL120" s="141"/>
      <c r="BM120" s="141"/>
      <c r="BN120" s="141"/>
      <c r="BO120" s="141"/>
      <c r="BP120" s="141"/>
      <c r="BQ120" s="141"/>
      <c r="BR120" s="141"/>
      <c r="BS120" s="141"/>
      <c r="BT120" s="141"/>
      <c r="BU120" s="141"/>
      <c r="BV120" s="141"/>
      <c r="BW120" s="141"/>
      <c r="BX120" s="141"/>
      <c r="BY120" s="141"/>
    </row>
    <row r="121" spans="1:77" s="13" customFormat="1" ht="15.75" hidden="1" customHeight="1" outlineLevel="1" x14ac:dyDescent="0.2">
      <c r="A121" s="3" t="s">
        <v>537</v>
      </c>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69"/>
      <c r="AO121" s="42" t="s">
        <v>522</v>
      </c>
      <c r="AP121" s="159"/>
      <c r="AQ121" s="55"/>
      <c r="AR121" s="55"/>
      <c r="AS121" s="55"/>
      <c r="AT121" s="155" t="s">
        <v>384</v>
      </c>
      <c r="AU121" s="141"/>
      <c r="AV121" s="141"/>
      <c r="AW121" s="141"/>
      <c r="AX121" s="141"/>
      <c r="AY121" s="141"/>
      <c r="AZ121" s="141"/>
      <c r="BA121" s="141"/>
      <c r="BB121" s="141"/>
      <c r="BC121" s="141"/>
      <c r="BD121" s="141"/>
      <c r="BE121" s="141"/>
      <c r="BF121" s="141"/>
      <c r="BG121" s="141"/>
      <c r="BH121" s="141"/>
      <c r="BI121" s="141"/>
      <c r="BJ121" s="141"/>
      <c r="BK121" s="141"/>
      <c r="BL121" s="141"/>
      <c r="BM121" s="141"/>
      <c r="BN121" s="141"/>
      <c r="BO121" s="141"/>
      <c r="BP121" s="141"/>
      <c r="BQ121" s="141"/>
      <c r="BR121" s="141"/>
      <c r="BS121" s="141"/>
      <c r="BT121" s="141"/>
      <c r="BU121" s="141"/>
      <c r="BV121" s="141"/>
      <c r="BW121" s="141"/>
      <c r="BX121" s="141"/>
      <c r="BY121" s="141"/>
    </row>
    <row r="122" spans="1:77" s="13" customFormat="1" ht="15.75" hidden="1" customHeight="1" outlineLevel="1" x14ac:dyDescent="0.2">
      <c r="A122" s="3" t="s">
        <v>538</v>
      </c>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69"/>
      <c r="AO122" s="42" t="s">
        <v>523</v>
      </c>
      <c r="AP122" s="196"/>
      <c r="AQ122" s="55"/>
      <c r="AR122" s="55"/>
      <c r="AS122" s="55"/>
      <c r="AT122" s="155" t="s">
        <v>384</v>
      </c>
      <c r="AU122" s="141"/>
      <c r="AV122" s="141"/>
      <c r="AW122" s="141"/>
      <c r="AX122" s="141"/>
      <c r="AY122" s="141"/>
      <c r="AZ122" s="141"/>
      <c r="BA122" s="141"/>
      <c r="BB122" s="141"/>
      <c r="BC122" s="141"/>
      <c r="BD122" s="141"/>
      <c r="BE122" s="141"/>
      <c r="BF122" s="141"/>
      <c r="BG122" s="141"/>
      <c r="BH122" s="141"/>
      <c r="BI122" s="141"/>
      <c r="BJ122" s="141"/>
      <c r="BK122" s="141"/>
      <c r="BL122" s="141"/>
      <c r="BM122" s="141"/>
      <c r="BN122" s="141"/>
      <c r="BO122" s="141"/>
      <c r="BP122" s="141"/>
      <c r="BQ122" s="141"/>
      <c r="BR122" s="141"/>
      <c r="BS122" s="141"/>
      <c r="BT122" s="141"/>
      <c r="BU122" s="141"/>
      <c r="BV122" s="141"/>
      <c r="BW122" s="141"/>
      <c r="BX122" s="141"/>
      <c r="BY122" s="141"/>
    </row>
    <row r="123" spans="1:77" s="13" customFormat="1" ht="15.75" hidden="1" customHeight="1" outlineLevel="1" x14ac:dyDescent="0.2">
      <c r="A123" s="3" t="s">
        <v>539</v>
      </c>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69"/>
      <c r="AO123" s="42" t="s">
        <v>524</v>
      </c>
      <c r="AP123" s="197"/>
      <c r="AQ123" s="55"/>
      <c r="AR123" s="55"/>
      <c r="AS123" s="55"/>
      <c r="AT123" s="155" t="s">
        <v>384</v>
      </c>
      <c r="AU123" s="141"/>
      <c r="AV123" s="141"/>
      <c r="AW123" s="141"/>
      <c r="AX123" s="141"/>
      <c r="AY123" s="141"/>
      <c r="AZ123" s="141"/>
      <c r="BA123" s="141"/>
      <c r="BB123" s="141"/>
      <c r="BC123" s="141"/>
      <c r="BD123" s="141"/>
      <c r="BE123" s="141"/>
      <c r="BF123" s="141"/>
      <c r="BG123" s="141"/>
      <c r="BH123" s="141"/>
      <c r="BI123" s="141"/>
      <c r="BJ123" s="141"/>
      <c r="BK123" s="141"/>
      <c r="BL123" s="141"/>
      <c r="BM123" s="141"/>
      <c r="BN123" s="141"/>
      <c r="BO123" s="141"/>
      <c r="BP123" s="141"/>
      <c r="BQ123" s="141"/>
      <c r="BR123" s="141"/>
      <c r="BS123" s="141"/>
      <c r="BT123" s="141"/>
      <c r="BU123" s="141"/>
      <c r="BV123" s="141"/>
      <c r="BW123" s="141"/>
      <c r="BX123" s="141"/>
      <c r="BY123" s="141"/>
    </row>
    <row r="124" spans="1:77" s="13" customFormat="1" ht="15.75" hidden="1" customHeight="1" outlineLevel="1" x14ac:dyDescent="0.2">
      <c r="A124" s="3" t="s">
        <v>540</v>
      </c>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69"/>
      <c r="AO124" s="42" t="s">
        <v>525</v>
      </c>
      <c r="AP124" s="159"/>
      <c r="AQ124" s="55"/>
      <c r="AR124" s="55"/>
      <c r="AS124" s="55"/>
      <c r="AT124" s="155" t="s">
        <v>384</v>
      </c>
      <c r="AU124" s="141"/>
      <c r="AV124" s="141"/>
      <c r="AW124" s="141"/>
      <c r="AX124" s="141"/>
      <c r="AY124" s="141"/>
      <c r="AZ124" s="141"/>
      <c r="BA124" s="141"/>
      <c r="BB124" s="141"/>
      <c r="BC124" s="141"/>
      <c r="BD124" s="141"/>
      <c r="BE124" s="141"/>
      <c r="BF124" s="141"/>
      <c r="BG124" s="141"/>
      <c r="BH124" s="141"/>
      <c r="BI124" s="141"/>
      <c r="BJ124" s="141"/>
      <c r="BK124" s="141"/>
      <c r="BL124" s="141"/>
      <c r="BM124" s="141"/>
      <c r="BN124" s="141"/>
      <c r="BO124" s="141"/>
      <c r="BP124" s="141"/>
      <c r="BQ124" s="141"/>
      <c r="BR124" s="141"/>
      <c r="BS124" s="141"/>
      <c r="BT124" s="141"/>
      <c r="BU124" s="141"/>
      <c r="BV124" s="141"/>
      <c r="BW124" s="141"/>
      <c r="BX124" s="141"/>
      <c r="BY124" s="141"/>
    </row>
    <row r="125" spans="1:77" s="13" customFormat="1" ht="15.75" hidden="1" customHeight="1" outlineLevel="1" x14ac:dyDescent="0.2">
      <c r="A125" s="3" t="s">
        <v>541</v>
      </c>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69"/>
      <c r="AO125" s="42" t="s">
        <v>526</v>
      </c>
      <c r="AP125" s="159"/>
      <c r="AQ125" s="55"/>
      <c r="AR125" s="55"/>
      <c r="AS125" s="55"/>
      <c r="AT125" s="155" t="s">
        <v>384</v>
      </c>
      <c r="AU125" s="141"/>
      <c r="AV125" s="141"/>
      <c r="AW125" s="141"/>
      <c r="AX125" s="141"/>
      <c r="AY125" s="141"/>
      <c r="AZ125" s="141"/>
      <c r="BA125" s="141"/>
      <c r="BB125" s="141"/>
      <c r="BC125" s="141"/>
      <c r="BD125" s="141"/>
      <c r="BE125" s="141"/>
      <c r="BF125" s="141"/>
      <c r="BG125" s="141"/>
      <c r="BH125" s="141"/>
      <c r="BI125" s="141"/>
      <c r="BJ125" s="141"/>
      <c r="BK125" s="141"/>
      <c r="BL125" s="141"/>
      <c r="BM125" s="141"/>
      <c r="BN125" s="141"/>
      <c r="BO125" s="141"/>
      <c r="BP125" s="141"/>
      <c r="BQ125" s="141"/>
      <c r="BR125" s="141"/>
      <c r="BS125" s="141"/>
      <c r="BT125" s="141"/>
      <c r="BU125" s="141"/>
      <c r="BV125" s="141"/>
      <c r="BW125" s="141"/>
      <c r="BX125" s="141"/>
      <c r="BY125" s="141"/>
    </row>
    <row r="126" spans="1:77" s="13" customFormat="1" ht="15.75" hidden="1" customHeight="1" outlineLevel="1" x14ac:dyDescent="0.2">
      <c r="A126" s="3" t="s">
        <v>542</v>
      </c>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69"/>
      <c r="AO126" s="42" t="s">
        <v>527</v>
      </c>
      <c r="AP126" s="159"/>
      <c r="AQ126" s="55"/>
      <c r="AR126" s="55"/>
      <c r="AS126" s="55"/>
      <c r="AT126" s="155" t="s">
        <v>384</v>
      </c>
      <c r="AU126" s="141"/>
      <c r="AV126" s="141"/>
      <c r="AW126" s="141"/>
      <c r="AX126" s="141"/>
      <c r="AY126" s="141"/>
      <c r="AZ126" s="141"/>
      <c r="BA126" s="141"/>
      <c r="BB126" s="141"/>
      <c r="BC126" s="141"/>
      <c r="BD126" s="141"/>
      <c r="BE126" s="141"/>
      <c r="BF126" s="141"/>
      <c r="BG126" s="141"/>
      <c r="BH126" s="141"/>
      <c r="BI126" s="141"/>
      <c r="BJ126" s="141"/>
      <c r="BK126" s="141"/>
      <c r="BL126" s="141"/>
      <c r="BM126" s="141"/>
      <c r="BN126" s="141"/>
      <c r="BO126" s="141"/>
      <c r="BP126" s="141"/>
      <c r="BQ126" s="141"/>
      <c r="BR126" s="141"/>
      <c r="BS126" s="141"/>
      <c r="BT126" s="141"/>
      <c r="BU126" s="141"/>
      <c r="BV126" s="141"/>
      <c r="BW126" s="141"/>
      <c r="BX126" s="141"/>
      <c r="BY126" s="141"/>
    </row>
    <row r="127" spans="1:77" s="13" customFormat="1" ht="15.75" hidden="1" customHeight="1" outlineLevel="1" x14ac:dyDescent="0.2">
      <c r="A127" s="3" t="s">
        <v>543</v>
      </c>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69"/>
      <c r="AO127" s="42" t="s">
        <v>528</v>
      </c>
      <c r="AP127" s="159"/>
      <c r="AQ127" s="55"/>
      <c r="AR127" s="55"/>
      <c r="AS127" s="55"/>
      <c r="AT127" s="155" t="s">
        <v>384</v>
      </c>
      <c r="AU127" s="141"/>
      <c r="AV127" s="141"/>
      <c r="AW127" s="141"/>
      <c r="AX127" s="141"/>
      <c r="AY127" s="141"/>
      <c r="AZ127" s="141"/>
      <c r="BA127" s="141"/>
      <c r="BB127" s="141"/>
      <c r="BC127" s="141"/>
      <c r="BD127" s="141"/>
      <c r="BE127" s="141"/>
      <c r="BF127" s="141"/>
      <c r="BG127" s="141"/>
      <c r="BH127" s="141"/>
      <c r="BI127" s="141"/>
      <c r="BJ127" s="141"/>
      <c r="BK127" s="141"/>
      <c r="BL127" s="141"/>
      <c r="BM127" s="141"/>
      <c r="BN127" s="141"/>
      <c r="BO127" s="141"/>
      <c r="BP127" s="141"/>
      <c r="BQ127" s="141"/>
      <c r="BR127" s="141"/>
      <c r="BS127" s="141"/>
      <c r="BT127" s="141"/>
      <c r="BU127" s="141"/>
      <c r="BV127" s="141"/>
      <c r="BW127" s="141"/>
      <c r="BX127" s="141"/>
      <c r="BY127" s="141"/>
    </row>
    <row r="128" spans="1:77" s="13" customFormat="1" ht="15.75" hidden="1" customHeight="1" outlineLevel="1" x14ac:dyDescent="0.2">
      <c r="A128" s="3" t="s">
        <v>544</v>
      </c>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69"/>
      <c r="AO128" s="42" t="s">
        <v>529</v>
      </c>
      <c r="AP128" s="159"/>
      <c r="AQ128" s="55"/>
      <c r="AR128" s="55"/>
      <c r="AS128" s="55"/>
      <c r="AT128" s="155" t="s">
        <v>384</v>
      </c>
      <c r="AU128" s="141"/>
      <c r="AV128" s="141"/>
      <c r="AW128" s="141"/>
      <c r="AX128" s="141"/>
      <c r="AY128" s="141"/>
      <c r="AZ128" s="141"/>
      <c r="BA128" s="141"/>
      <c r="BB128" s="141"/>
      <c r="BC128" s="141"/>
      <c r="BD128" s="141"/>
      <c r="BE128" s="141"/>
      <c r="BF128" s="141"/>
      <c r="BG128" s="141"/>
      <c r="BH128" s="141"/>
      <c r="BI128" s="141"/>
      <c r="BJ128" s="141"/>
      <c r="BK128" s="141"/>
      <c r="BL128" s="141"/>
      <c r="BM128" s="141"/>
      <c r="BN128" s="141"/>
      <c r="BO128" s="141"/>
      <c r="BP128" s="141"/>
      <c r="BQ128" s="141"/>
      <c r="BR128" s="141"/>
      <c r="BS128" s="141"/>
      <c r="BT128" s="141"/>
      <c r="BU128" s="141"/>
      <c r="BV128" s="141"/>
      <c r="BW128" s="141"/>
      <c r="BX128" s="141"/>
      <c r="BY128" s="141"/>
    </row>
    <row r="129" spans="1:77" s="13" customFormat="1" ht="15.75" hidden="1" customHeight="1" outlineLevel="1" x14ac:dyDescent="0.2">
      <c r="A129" s="3" t="s">
        <v>545</v>
      </c>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69"/>
      <c r="AO129" s="42" t="s">
        <v>530</v>
      </c>
      <c r="AP129" s="159"/>
      <c r="AQ129" s="55"/>
      <c r="AR129" s="55"/>
      <c r="AS129" s="55"/>
      <c r="AT129" s="155" t="s">
        <v>384</v>
      </c>
      <c r="AU129" s="141"/>
      <c r="AV129" s="141"/>
      <c r="AW129" s="141"/>
      <c r="AX129" s="141"/>
      <c r="AY129" s="141"/>
      <c r="AZ129" s="141"/>
      <c r="BA129" s="141"/>
      <c r="BB129" s="141"/>
      <c r="BC129" s="141"/>
      <c r="BD129" s="141"/>
      <c r="BE129" s="141"/>
      <c r="BF129" s="141"/>
      <c r="BG129" s="141"/>
      <c r="BH129" s="141"/>
      <c r="BI129" s="141"/>
      <c r="BJ129" s="141"/>
      <c r="BK129" s="141"/>
      <c r="BL129" s="141"/>
      <c r="BM129" s="141"/>
      <c r="BN129" s="141"/>
      <c r="BO129" s="141"/>
      <c r="BP129" s="141"/>
      <c r="BQ129" s="141"/>
      <c r="BR129" s="141"/>
      <c r="BS129" s="141"/>
      <c r="BT129" s="141"/>
      <c r="BU129" s="141"/>
      <c r="BV129" s="141"/>
      <c r="BW129" s="141"/>
      <c r="BX129" s="141"/>
      <c r="BY129" s="141"/>
    </row>
    <row r="130" spans="1:77" s="13" customFormat="1" ht="15.75" hidden="1" customHeight="1" outlineLevel="1" x14ac:dyDescent="0.2">
      <c r="A130" s="3" t="s">
        <v>546</v>
      </c>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69"/>
      <c r="AO130" s="42" t="s">
        <v>531</v>
      </c>
      <c r="AP130" s="159"/>
      <c r="AQ130" s="55"/>
      <c r="AR130" s="55"/>
      <c r="AS130" s="55"/>
      <c r="AT130" s="155" t="s">
        <v>384</v>
      </c>
      <c r="AU130" s="141"/>
      <c r="AV130" s="141"/>
      <c r="AW130" s="141"/>
      <c r="AX130" s="141"/>
      <c r="AY130" s="141"/>
      <c r="AZ130" s="141"/>
      <c r="BA130" s="141"/>
      <c r="BB130" s="141"/>
      <c r="BC130" s="141"/>
      <c r="BD130" s="141"/>
      <c r="BE130" s="141"/>
      <c r="BF130" s="141"/>
      <c r="BG130" s="141"/>
      <c r="BH130" s="141"/>
      <c r="BI130" s="141"/>
      <c r="BJ130" s="141"/>
      <c r="BK130" s="141"/>
      <c r="BL130" s="141"/>
      <c r="BM130" s="141"/>
      <c r="BN130" s="141"/>
      <c r="BO130" s="141"/>
      <c r="BP130" s="141"/>
      <c r="BQ130" s="141"/>
      <c r="BR130" s="141"/>
      <c r="BS130" s="141"/>
      <c r="BT130" s="141"/>
      <c r="BU130" s="141"/>
      <c r="BV130" s="141"/>
      <c r="BW130" s="141"/>
      <c r="BX130" s="141"/>
      <c r="BY130" s="141"/>
    </row>
    <row r="131" spans="1:77" s="13" customFormat="1" ht="15.75" hidden="1" customHeight="1" outlineLevel="1" x14ac:dyDescent="0.2">
      <c r="A131" s="3" t="s">
        <v>547</v>
      </c>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69"/>
      <c r="AO131" s="42" t="s">
        <v>532</v>
      </c>
      <c r="AP131" s="159"/>
      <c r="AQ131" s="55"/>
      <c r="AR131" s="55"/>
      <c r="AS131" s="55"/>
      <c r="AT131" s="155" t="s">
        <v>384</v>
      </c>
      <c r="AU131" s="141"/>
      <c r="AV131" s="141"/>
      <c r="AW131" s="141"/>
      <c r="AX131" s="141"/>
      <c r="AY131" s="141"/>
      <c r="AZ131" s="141"/>
      <c r="BA131" s="141"/>
      <c r="BB131" s="141"/>
      <c r="BC131" s="141"/>
      <c r="BD131" s="141"/>
      <c r="BE131" s="141"/>
      <c r="BF131" s="141"/>
      <c r="BG131" s="141"/>
      <c r="BH131" s="141"/>
      <c r="BI131" s="141"/>
      <c r="BJ131" s="141"/>
      <c r="BK131" s="141"/>
      <c r="BL131" s="141"/>
      <c r="BM131" s="141"/>
      <c r="BN131" s="141"/>
      <c r="BO131" s="141"/>
      <c r="BP131" s="141"/>
      <c r="BQ131" s="141"/>
      <c r="BR131" s="141"/>
      <c r="BS131" s="141"/>
      <c r="BT131" s="141"/>
      <c r="BU131" s="141"/>
      <c r="BV131" s="141"/>
      <c r="BW131" s="141"/>
      <c r="BX131" s="141"/>
      <c r="BY131" s="141"/>
    </row>
    <row r="132" spans="1:77" s="13" customFormat="1" ht="15.75" hidden="1" customHeight="1" outlineLevel="1" x14ac:dyDescent="0.2">
      <c r="A132" s="3" t="s">
        <v>548</v>
      </c>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69"/>
      <c r="AO132" s="42" t="s">
        <v>533</v>
      </c>
      <c r="AP132" s="159"/>
      <c r="AQ132" s="55"/>
      <c r="AR132" s="55"/>
      <c r="AS132" s="55"/>
      <c r="AT132" s="155" t="s">
        <v>384</v>
      </c>
      <c r="AU132" s="141"/>
      <c r="AV132" s="141"/>
      <c r="AW132" s="141"/>
      <c r="AX132" s="141"/>
      <c r="AY132" s="141"/>
      <c r="AZ132" s="141"/>
      <c r="BA132" s="141"/>
      <c r="BB132" s="141"/>
      <c r="BC132" s="141"/>
      <c r="BD132" s="141"/>
      <c r="BE132" s="141"/>
      <c r="BF132" s="141"/>
      <c r="BG132" s="141"/>
      <c r="BH132" s="141"/>
      <c r="BI132" s="141"/>
      <c r="BJ132" s="141"/>
      <c r="BK132" s="141"/>
      <c r="BL132" s="141"/>
      <c r="BM132" s="141"/>
      <c r="BN132" s="141"/>
      <c r="BO132" s="141"/>
      <c r="BP132" s="141"/>
      <c r="BQ132" s="141"/>
      <c r="BR132" s="141"/>
      <c r="BS132" s="141"/>
      <c r="BT132" s="141"/>
      <c r="BU132" s="141"/>
      <c r="BV132" s="141"/>
      <c r="BW132" s="141"/>
      <c r="BX132" s="141"/>
      <c r="BY132" s="141"/>
    </row>
    <row r="133" spans="1:77" s="13" customFormat="1" ht="15.75" hidden="1" customHeight="1" outlineLevel="1" x14ac:dyDescent="0.2">
      <c r="A133" s="3" t="s">
        <v>549</v>
      </c>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69"/>
      <c r="AO133" s="42" t="s">
        <v>534</v>
      </c>
      <c r="AP133" s="159"/>
      <c r="AQ133" s="55"/>
      <c r="AR133" s="55"/>
      <c r="AS133" s="55"/>
      <c r="AT133" s="155" t="s">
        <v>384</v>
      </c>
      <c r="AU133" s="141"/>
      <c r="AV133" s="141"/>
      <c r="AW133" s="141"/>
      <c r="AX133" s="141"/>
      <c r="AY133" s="141"/>
      <c r="AZ133" s="141"/>
      <c r="BA133" s="141"/>
      <c r="BB133" s="141"/>
      <c r="BC133" s="141"/>
      <c r="BD133" s="141"/>
      <c r="BE133" s="141"/>
      <c r="BF133" s="141"/>
      <c r="BG133" s="141"/>
      <c r="BH133" s="141"/>
      <c r="BI133" s="141"/>
      <c r="BJ133" s="141"/>
      <c r="BK133" s="141"/>
      <c r="BL133" s="141"/>
      <c r="BM133" s="141"/>
      <c r="BN133" s="141"/>
      <c r="BO133" s="141"/>
      <c r="BP133" s="141"/>
      <c r="BQ133" s="141"/>
      <c r="BR133" s="141"/>
      <c r="BS133" s="141"/>
      <c r="BT133" s="141"/>
      <c r="BU133" s="141"/>
      <c r="BV133" s="141"/>
      <c r="BW133" s="141"/>
      <c r="BX133" s="141"/>
      <c r="BY133" s="141"/>
    </row>
    <row r="134" spans="1:77" s="13" customFormat="1" ht="15.75" hidden="1" customHeight="1" outlineLevel="1" x14ac:dyDescent="0.2">
      <c r="A134" s="3" t="s">
        <v>550</v>
      </c>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69"/>
      <c r="AO134" s="42" t="s">
        <v>535</v>
      </c>
      <c r="AP134" s="159"/>
      <c r="AQ134" s="55"/>
      <c r="AR134" s="55"/>
      <c r="AS134" s="55"/>
      <c r="AT134" s="155" t="s">
        <v>384</v>
      </c>
      <c r="AU134" s="141"/>
      <c r="AV134" s="141"/>
      <c r="AW134" s="141"/>
      <c r="AX134" s="141"/>
      <c r="AY134" s="141"/>
      <c r="AZ134" s="141"/>
      <c r="BA134" s="141"/>
      <c r="BB134" s="141"/>
      <c r="BC134" s="141"/>
      <c r="BD134" s="141"/>
      <c r="BE134" s="141"/>
      <c r="BF134" s="141"/>
      <c r="BG134" s="141"/>
      <c r="BH134" s="141"/>
      <c r="BI134" s="141"/>
      <c r="BJ134" s="141"/>
      <c r="BK134" s="141"/>
      <c r="BL134" s="141"/>
      <c r="BM134" s="141"/>
      <c r="BN134" s="141"/>
      <c r="BO134" s="141"/>
      <c r="BP134" s="141"/>
      <c r="BQ134" s="141"/>
      <c r="BR134" s="141"/>
      <c r="BS134" s="141"/>
      <c r="BT134" s="141"/>
      <c r="BU134" s="141"/>
      <c r="BV134" s="141"/>
      <c r="BW134" s="141"/>
      <c r="BX134" s="141"/>
      <c r="BY134" s="141"/>
    </row>
    <row r="135" spans="1:77" s="13" customFormat="1" ht="15.75" hidden="1" customHeight="1" outlineLevel="1" x14ac:dyDescent="0.2">
      <c r="A135" s="3" t="s">
        <v>551</v>
      </c>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69"/>
      <c r="AO135" s="42" t="s">
        <v>536</v>
      </c>
      <c r="AP135" s="159"/>
      <c r="AQ135" s="55"/>
      <c r="AR135" s="55"/>
      <c r="AS135" s="55"/>
      <c r="AT135" s="155" t="s">
        <v>384</v>
      </c>
      <c r="AU135" s="141"/>
      <c r="AV135" s="141"/>
      <c r="AW135" s="141"/>
      <c r="AX135" s="141"/>
      <c r="AY135" s="141"/>
      <c r="AZ135" s="141"/>
      <c r="BA135" s="141"/>
      <c r="BB135" s="141"/>
      <c r="BC135" s="141"/>
      <c r="BD135" s="141"/>
      <c r="BE135" s="141"/>
      <c r="BF135" s="141"/>
      <c r="BG135" s="141"/>
      <c r="BH135" s="141"/>
      <c r="BI135" s="141"/>
      <c r="BJ135" s="141"/>
      <c r="BK135" s="141"/>
      <c r="BL135" s="141"/>
      <c r="BM135" s="141"/>
      <c r="BN135" s="141"/>
      <c r="BO135" s="141"/>
      <c r="BP135" s="141"/>
      <c r="BQ135" s="141"/>
      <c r="BR135" s="141"/>
      <c r="BS135" s="141"/>
      <c r="BT135" s="141"/>
      <c r="BU135" s="141"/>
      <c r="BV135" s="141"/>
      <c r="BW135" s="141"/>
      <c r="BX135" s="141"/>
      <c r="BY135" s="141"/>
    </row>
    <row r="136" spans="1:77" s="13" customFormat="1" ht="4.5" hidden="1" customHeight="1" outlineLevel="1" x14ac:dyDescent="0.2">
      <c r="A136" s="3" t="s">
        <v>223</v>
      </c>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69"/>
      <c r="AO136" s="27"/>
      <c r="AP136" s="27"/>
      <c r="AQ136" s="27"/>
      <c r="AR136" s="27"/>
      <c r="AS136" s="27"/>
      <c r="AT136" s="27"/>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c r="BW136" s="70"/>
      <c r="BX136" s="70"/>
      <c r="BY136" s="70"/>
    </row>
    <row r="137" spans="1:77" s="13" customFormat="1" ht="15.75" customHeight="1" collapsed="1" x14ac:dyDescent="0.2">
      <c r="A137" s="3" t="s">
        <v>224</v>
      </c>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69"/>
      <c r="AO137" s="138" t="str">
        <f>INDEX(g_lang_val,MATCH("le_2_2",g_lang_key,0))</f>
        <v xml:space="preserve">Total </v>
      </c>
      <c r="AP137" s="36"/>
      <c r="AQ137" s="36"/>
      <c r="AR137" s="36"/>
      <c r="AS137" s="36"/>
      <c r="AT137" s="36"/>
      <c r="AU137" s="170">
        <f t="shared" ref="AU137" ca="1" si="65">IF(AU111="","",SUM(AU115:AU136))</f>
        <v>0</v>
      </c>
      <c r="AV137" s="170">
        <f t="shared" ref="AV137:BY137" ca="1" si="66">IF(AV111="","",SUM(AV115:AV136))</f>
        <v>0</v>
      </c>
      <c r="AW137" s="170">
        <f t="shared" ca="1" si="66"/>
        <v>0</v>
      </c>
      <c r="AX137" s="170">
        <f t="shared" ca="1" si="66"/>
        <v>0</v>
      </c>
      <c r="AY137" s="170" t="str">
        <f t="shared" ca="1" si="66"/>
        <v/>
      </c>
      <c r="AZ137" s="170" t="str">
        <f t="shared" ca="1" si="66"/>
        <v/>
      </c>
      <c r="BA137" s="170" t="str">
        <f t="shared" ca="1" si="66"/>
        <v/>
      </c>
      <c r="BB137" s="170" t="str">
        <f t="shared" ca="1" si="66"/>
        <v/>
      </c>
      <c r="BC137" s="170" t="str">
        <f t="shared" ca="1" si="66"/>
        <v/>
      </c>
      <c r="BD137" s="170" t="str">
        <f t="shared" ca="1" si="66"/>
        <v/>
      </c>
      <c r="BE137" s="170" t="str">
        <f t="shared" ca="1" si="66"/>
        <v/>
      </c>
      <c r="BF137" s="170" t="str">
        <f t="shared" ca="1" si="66"/>
        <v/>
      </c>
      <c r="BG137" s="170" t="str">
        <f t="shared" ca="1" si="66"/>
        <v/>
      </c>
      <c r="BH137" s="170" t="str">
        <f t="shared" ca="1" si="66"/>
        <v/>
      </c>
      <c r="BI137" s="170" t="str">
        <f t="shared" ca="1" si="66"/>
        <v/>
      </c>
      <c r="BJ137" s="170" t="str">
        <f t="shared" ca="1" si="66"/>
        <v/>
      </c>
      <c r="BK137" s="170" t="str">
        <f t="shared" ca="1" si="66"/>
        <v/>
      </c>
      <c r="BL137" s="170" t="str">
        <f t="shared" ca="1" si="66"/>
        <v/>
      </c>
      <c r="BM137" s="170" t="str">
        <f t="shared" ca="1" si="66"/>
        <v/>
      </c>
      <c r="BN137" s="170" t="str">
        <f t="shared" ca="1" si="66"/>
        <v/>
      </c>
      <c r="BO137" s="170" t="str">
        <f t="shared" ca="1" si="66"/>
        <v/>
      </c>
      <c r="BP137" s="170" t="str">
        <f t="shared" ca="1" si="66"/>
        <v/>
      </c>
      <c r="BQ137" s="170" t="str">
        <f t="shared" ca="1" si="66"/>
        <v/>
      </c>
      <c r="BR137" s="170" t="str">
        <f t="shared" ca="1" si="66"/>
        <v/>
      </c>
      <c r="BS137" s="170" t="str">
        <f t="shared" ca="1" si="66"/>
        <v/>
      </c>
      <c r="BT137" s="170" t="str">
        <f t="shared" ca="1" si="66"/>
        <v/>
      </c>
      <c r="BU137" s="170" t="str">
        <f t="shared" ca="1" si="66"/>
        <v/>
      </c>
      <c r="BV137" s="170" t="str">
        <f t="shared" ca="1" si="66"/>
        <v/>
      </c>
      <c r="BW137" s="170" t="str">
        <f t="shared" ca="1" si="66"/>
        <v/>
      </c>
      <c r="BX137" s="170" t="str">
        <f t="shared" ca="1" si="66"/>
        <v/>
      </c>
      <c r="BY137" s="170" t="str">
        <f t="shared" ca="1" si="66"/>
        <v/>
      </c>
    </row>
    <row r="138" spans="1:77" s="13" customFormat="1" ht="4.5" customHeight="1" x14ac:dyDescent="0.2">
      <c r="A138" s="3" t="s">
        <v>225</v>
      </c>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69"/>
      <c r="AO138" s="27"/>
      <c r="AP138" s="27"/>
      <c r="AQ138" s="27"/>
      <c r="AR138" s="27"/>
      <c r="AS138" s="27"/>
      <c r="AT138" s="27"/>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c r="BW138" s="70"/>
      <c r="BX138" s="70"/>
      <c r="BY138" s="70"/>
    </row>
    <row r="139" spans="1:77" ht="4.5" customHeight="1" x14ac:dyDescent="0.2">
      <c r="A139" s="3" t="s">
        <v>201</v>
      </c>
      <c r="AN139" s="169"/>
      <c r="AO139" s="24"/>
      <c r="AP139" s="24"/>
      <c r="AQ139" s="24"/>
      <c r="AR139" s="24"/>
      <c r="AS139" s="24"/>
      <c r="AT139" s="2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row>
    <row r="140" spans="1:77" ht="4.5" customHeight="1" x14ac:dyDescent="0.2">
      <c r="A140" s="3" t="s">
        <v>202</v>
      </c>
      <c r="AN140" s="169"/>
      <c r="AO140" s="244"/>
      <c r="AP140" s="244"/>
      <c r="AQ140" s="244"/>
      <c r="AR140" s="244"/>
      <c r="AS140" s="244"/>
      <c r="AT140" s="245"/>
      <c r="AU140" s="166"/>
      <c r="AV140" s="166"/>
      <c r="AW140" s="166"/>
      <c r="AX140" s="166"/>
      <c r="AY140" s="166"/>
      <c r="AZ140" s="166"/>
      <c r="BA140" s="166"/>
      <c r="BB140" s="166"/>
      <c r="BC140" s="166"/>
      <c r="BD140" s="166"/>
      <c r="BE140" s="166"/>
      <c r="BF140" s="166"/>
      <c r="BG140" s="166"/>
      <c r="BH140" s="166"/>
      <c r="BI140" s="166"/>
      <c r="BJ140" s="166"/>
      <c r="BK140" s="166"/>
      <c r="BL140" s="166"/>
      <c r="BM140" s="166"/>
      <c r="BN140" s="166"/>
      <c r="BO140" s="166"/>
      <c r="BP140" s="166"/>
      <c r="BQ140" s="166"/>
      <c r="BR140" s="166"/>
      <c r="BS140" s="166"/>
      <c r="BT140" s="166"/>
      <c r="BU140" s="166"/>
      <c r="BV140" s="166"/>
      <c r="BW140" s="166"/>
      <c r="BX140" s="166"/>
      <c r="BY140" s="166"/>
    </row>
    <row r="141" spans="1:77" ht="15.75" x14ac:dyDescent="0.2">
      <c r="A141" s="3" t="s">
        <v>203</v>
      </c>
      <c r="AN141" s="169"/>
      <c r="AO141" s="244" t="str">
        <f>INDEX(g_lang_val,MATCH("so_4_1_1",g_lang_key,0))</f>
        <v>Indtastningsår</v>
      </c>
      <c r="AP141" s="244"/>
      <c r="AQ141" s="244"/>
      <c r="AR141" s="244"/>
      <c r="AS141" s="244"/>
      <c r="AT141" s="244"/>
      <c r="AU141" s="160">
        <f>Stamoplysninger!$L$95</f>
        <v>2026</v>
      </c>
      <c r="AV141" s="160">
        <f>Stamoplysninger!$L$95</f>
        <v>2026</v>
      </c>
      <c r="AW141" s="160">
        <f>Stamoplysninger!$L$95</f>
        <v>2026</v>
      </c>
      <c r="AX141" s="160">
        <f>Stamoplysninger!$L$95</f>
        <v>2026</v>
      </c>
      <c r="AY141" s="160">
        <f>Stamoplysninger!$L$95</f>
        <v>2026</v>
      </c>
      <c r="AZ141" s="160">
        <f>Stamoplysninger!$L$95</f>
        <v>2026</v>
      </c>
      <c r="BA141" s="160">
        <f>Stamoplysninger!$L$95</f>
        <v>2026</v>
      </c>
      <c r="BB141" s="160">
        <f>Stamoplysninger!$L$95</f>
        <v>2026</v>
      </c>
      <c r="BC141" s="160">
        <f>Stamoplysninger!$L$95</f>
        <v>2026</v>
      </c>
      <c r="BD141" s="160">
        <f>Stamoplysninger!$L$95</f>
        <v>2026</v>
      </c>
      <c r="BE141" s="160">
        <f>Stamoplysninger!$L$95</f>
        <v>2026</v>
      </c>
      <c r="BF141" s="160">
        <f>Stamoplysninger!$L$95</f>
        <v>2026</v>
      </c>
      <c r="BG141" s="160">
        <f>Stamoplysninger!$L$95</f>
        <v>2026</v>
      </c>
      <c r="BH141" s="160">
        <f>Stamoplysninger!$L$95</f>
        <v>2026</v>
      </c>
      <c r="BI141" s="160">
        <f>Stamoplysninger!$L$95</f>
        <v>2026</v>
      </c>
      <c r="BJ141" s="160">
        <f>Stamoplysninger!$L$95</f>
        <v>2026</v>
      </c>
      <c r="BK141" s="160">
        <f>Stamoplysninger!$L$95</f>
        <v>2026</v>
      </c>
      <c r="BL141" s="160">
        <f>Stamoplysninger!$L$95</f>
        <v>2026</v>
      </c>
      <c r="BM141" s="160">
        <f>Stamoplysninger!$L$95</f>
        <v>2026</v>
      </c>
      <c r="BN141" s="160">
        <f>Stamoplysninger!$L$95</f>
        <v>2026</v>
      </c>
      <c r="BO141" s="160">
        <f>Stamoplysninger!$L$95</f>
        <v>2026</v>
      </c>
      <c r="BP141" s="160">
        <f>Stamoplysninger!$L$95</f>
        <v>2026</v>
      </c>
      <c r="BQ141" s="160">
        <f>Stamoplysninger!$L$95</f>
        <v>2026</v>
      </c>
      <c r="BR141" s="160">
        <f>Stamoplysninger!$L$95</f>
        <v>2026</v>
      </c>
      <c r="BS141" s="160">
        <f>Stamoplysninger!$L$95</f>
        <v>2026</v>
      </c>
      <c r="BT141" s="160">
        <f>Stamoplysninger!$L$95</f>
        <v>2026</v>
      </c>
      <c r="BU141" s="160">
        <f>Stamoplysninger!$L$95</f>
        <v>2026</v>
      </c>
      <c r="BV141" s="160">
        <f>Stamoplysninger!$L$95</f>
        <v>2026</v>
      </c>
      <c r="BW141" s="160">
        <f>Stamoplysninger!$L$95</f>
        <v>2026</v>
      </c>
      <c r="BX141" s="160">
        <f>Stamoplysninger!$L$95</f>
        <v>2026</v>
      </c>
      <c r="BY141" s="160">
        <f>Stamoplysninger!$L$95</f>
        <v>2026</v>
      </c>
    </row>
    <row r="142" spans="1:77" ht="4.5" customHeight="1" x14ac:dyDescent="0.2">
      <c r="A142" s="3" t="s">
        <v>204</v>
      </c>
      <c r="AN142" s="169"/>
      <c r="AO142" s="246"/>
      <c r="AP142" s="246"/>
      <c r="AQ142" s="246"/>
      <c r="AR142" s="246"/>
      <c r="AS142" s="246"/>
      <c r="AT142" s="247"/>
      <c r="AU142" s="174">
        <f t="shared" ref="AU142" ca="1" si="67">IF(AU$111="","",IF(INDEX(AU140:AU142,2,1)&lt;&gt;0,INDEX(AU140:AU142,2,1),g_pl_year))</f>
        <v>2026</v>
      </c>
      <c r="AV142" s="174">
        <f t="shared" ref="AV142:BY142" ca="1" si="68">IF(AV$111="","",IF(INDEX(AV140:AV142,2,1)&lt;&gt;0,INDEX(AV140:AV142,2,1),g_pl_year))</f>
        <v>2026</v>
      </c>
      <c r="AW142" s="174">
        <f t="shared" ca="1" si="68"/>
        <v>2026</v>
      </c>
      <c r="AX142" s="174">
        <f t="shared" ca="1" si="68"/>
        <v>2026</v>
      </c>
      <c r="AY142" s="174" t="str">
        <f t="shared" ca="1" si="68"/>
        <v/>
      </c>
      <c r="AZ142" s="174" t="str">
        <f t="shared" ca="1" si="68"/>
        <v/>
      </c>
      <c r="BA142" s="174" t="str">
        <f t="shared" ca="1" si="68"/>
        <v/>
      </c>
      <c r="BB142" s="174" t="str">
        <f t="shared" ca="1" si="68"/>
        <v/>
      </c>
      <c r="BC142" s="174" t="str">
        <f t="shared" ca="1" si="68"/>
        <v/>
      </c>
      <c r="BD142" s="174" t="str">
        <f t="shared" ca="1" si="68"/>
        <v/>
      </c>
      <c r="BE142" s="174" t="str">
        <f t="shared" ca="1" si="68"/>
        <v/>
      </c>
      <c r="BF142" s="174" t="str">
        <f t="shared" ca="1" si="68"/>
        <v/>
      </c>
      <c r="BG142" s="174" t="str">
        <f t="shared" ca="1" si="68"/>
        <v/>
      </c>
      <c r="BH142" s="174" t="str">
        <f t="shared" ca="1" si="68"/>
        <v/>
      </c>
      <c r="BI142" s="174" t="str">
        <f t="shared" ca="1" si="68"/>
        <v/>
      </c>
      <c r="BJ142" s="174" t="str">
        <f t="shared" ca="1" si="68"/>
        <v/>
      </c>
      <c r="BK142" s="174" t="str">
        <f t="shared" ca="1" si="68"/>
        <v/>
      </c>
      <c r="BL142" s="174" t="str">
        <f t="shared" ca="1" si="68"/>
        <v/>
      </c>
      <c r="BM142" s="174" t="str">
        <f t="shared" ca="1" si="68"/>
        <v/>
      </c>
      <c r="BN142" s="174" t="str">
        <f t="shared" ca="1" si="68"/>
        <v/>
      </c>
      <c r="BO142" s="174" t="str">
        <f t="shared" ca="1" si="68"/>
        <v/>
      </c>
      <c r="BP142" s="174" t="str">
        <f t="shared" ca="1" si="68"/>
        <v/>
      </c>
      <c r="BQ142" s="174" t="str">
        <f t="shared" ca="1" si="68"/>
        <v/>
      </c>
      <c r="BR142" s="174" t="str">
        <f t="shared" ca="1" si="68"/>
        <v/>
      </c>
      <c r="BS142" s="174" t="str">
        <f t="shared" ca="1" si="68"/>
        <v/>
      </c>
      <c r="BT142" s="174" t="str">
        <f t="shared" ca="1" si="68"/>
        <v/>
      </c>
      <c r="BU142" s="174" t="str">
        <f t="shared" ca="1" si="68"/>
        <v/>
      </c>
      <c r="BV142" s="174" t="str">
        <f t="shared" ca="1" si="68"/>
        <v/>
      </c>
      <c r="BW142" s="174" t="str">
        <f t="shared" ca="1" si="68"/>
        <v/>
      </c>
      <c r="BX142" s="174" t="str">
        <f t="shared" ca="1" si="68"/>
        <v/>
      </c>
      <c r="BY142" s="174" t="str">
        <f t="shared" ca="1" si="68"/>
        <v/>
      </c>
    </row>
    <row r="143" spans="1:77" s="38" customFormat="1" ht="21" customHeight="1" x14ac:dyDescent="0.2">
      <c r="A143" s="37" t="s">
        <v>205</v>
      </c>
      <c r="AK143" s="12"/>
      <c r="AN143" s="169"/>
      <c r="AO143" s="39"/>
      <c r="AP143" s="40"/>
      <c r="AQ143" s="40"/>
      <c r="AR143" s="40"/>
      <c r="AS143" s="40"/>
      <c r="AT143" s="129" t="str">
        <f>INDEX(g_lang_val,MATCH("le_2_3",g_lang_key,0))</f>
        <v>pl-faktor:</v>
      </c>
      <c r="AU143" s="154">
        <f t="shared" ref="AU143" ca="1" si="69">IF(AU$111="","",INDEX(g_pl_factors,(g_reporting_year-g_pl_years_start)*(g_pl_years_end-g_pl_years_start+1)+(AU142-g_pl_years_start+1)))</f>
        <v>1</v>
      </c>
      <c r="AV143" s="154">
        <f t="shared" ref="AV143:BY143" ca="1" si="70">IF(AV$111="","",INDEX(g_pl_factors,(g_reporting_year-g_pl_years_start)*(g_pl_years_end-g_pl_years_start+1)+(AV142-g_pl_years_start+1)))</f>
        <v>1</v>
      </c>
      <c r="AW143" s="154">
        <f t="shared" ca="1" si="70"/>
        <v>1</v>
      </c>
      <c r="AX143" s="154">
        <f t="shared" ca="1" si="70"/>
        <v>1</v>
      </c>
      <c r="AY143" s="154" t="str">
        <f t="shared" ca="1" si="70"/>
        <v/>
      </c>
      <c r="AZ143" s="154" t="str">
        <f t="shared" ca="1" si="70"/>
        <v/>
      </c>
      <c r="BA143" s="154" t="str">
        <f t="shared" ca="1" si="70"/>
        <v/>
      </c>
      <c r="BB143" s="154" t="str">
        <f t="shared" ca="1" si="70"/>
        <v/>
      </c>
      <c r="BC143" s="154" t="str">
        <f t="shared" ca="1" si="70"/>
        <v/>
      </c>
      <c r="BD143" s="154" t="str">
        <f t="shared" ca="1" si="70"/>
        <v/>
      </c>
      <c r="BE143" s="154" t="str">
        <f t="shared" ca="1" si="70"/>
        <v/>
      </c>
      <c r="BF143" s="154" t="str">
        <f t="shared" ca="1" si="70"/>
        <v/>
      </c>
      <c r="BG143" s="154" t="str">
        <f t="shared" ca="1" si="70"/>
        <v/>
      </c>
      <c r="BH143" s="154" t="str">
        <f t="shared" ca="1" si="70"/>
        <v/>
      </c>
      <c r="BI143" s="154" t="str">
        <f t="shared" ca="1" si="70"/>
        <v/>
      </c>
      <c r="BJ143" s="154" t="str">
        <f t="shared" ca="1" si="70"/>
        <v/>
      </c>
      <c r="BK143" s="154" t="str">
        <f t="shared" ca="1" si="70"/>
        <v/>
      </c>
      <c r="BL143" s="154" t="str">
        <f t="shared" ca="1" si="70"/>
        <v/>
      </c>
      <c r="BM143" s="154" t="str">
        <f t="shared" ca="1" si="70"/>
        <v/>
      </c>
      <c r="BN143" s="154" t="str">
        <f t="shared" ca="1" si="70"/>
        <v/>
      </c>
      <c r="BO143" s="154" t="str">
        <f t="shared" ca="1" si="70"/>
        <v/>
      </c>
      <c r="BP143" s="154" t="str">
        <f t="shared" ca="1" si="70"/>
        <v/>
      </c>
      <c r="BQ143" s="154" t="str">
        <f t="shared" ca="1" si="70"/>
        <v/>
      </c>
      <c r="BR143" s="154" t="str">
        <f t="shared" ca="1" si="70"/>
        <v/>
      </c>
      <c r="BS143" s="154" t="str">
        <f t="shared" ca="1" si="70"/>
        <v/>
      </c>
      <c r="BT143" s="154" t="str">
        <f t="shared" ca="1" si="70"/>
        <v/>
      </c>
      <c r="BU143" s="154" t="str">
        <f t="shared" ca="1" si="70"/>
        <v/>
      </c>
      <c r="BV143" s="154" t="str">
        <f t="shared" ca="1" si="70"/>
        <v/>
      </c>
      <c r="BW143" s="154" t="str">
        <f t="shared" ca="1" si="70"/>
        <v/>
      </c>
      <c r="BX143" s="154" t="str">
        <f t="shared" ca="1" si="70"/>
        <v/>
      </c>
      <c r="BY143" s="154" t="str">
        <f t="shared" ca="1" si="70"/>
        <v/>
      </c>
    </row>
    <row r="144" spans="1:77" ht="15.75" customHeight="1" x14ac:dyDescent="0.2">
      <c r="A144" s="3" t="s">
        <v>206</v>
      </c>
      <c r="AN144" s="169"/>
      <c r="AO144" s="138" t="str">
        <f>INDEX(g_lang_val,MATCH("le_2_2",g_lang_key,0))&amp;INDEX(g_lang_val,MATCH("le_2_6_1",g_lang_key,0))</f>
        <v xml:space="preserve">Total pl-justeret </v>
      </c>
      <c r="AP144" s="36"/>
      <c r="AQ144" s="36"/>
      <c r="AR144" s="36"/>
      <c r="AS144" s="36"/>
      <c r="AT144" s="36"/>
      <c r="AU144" s="170">
        <f ca="1">IF(AU$111="","",AU137*AU143)</f>
        <v>0</v>
      </c>
      <c r="AV144" s="170">
        <f t="shared" ref="AV144:BY144" ca="1" si="71">IF(AV$111="","",AV137*AV143)</f>
        <v>0</v>
      </c>
      <c r="AW144" s="170">
        <f t="shared" ca="1" si="71"/>
        <v>0</v>
      </c>
      <c r="AX144" s="170">
        <f t="shared" ca="1" si="71"/>
        <v>0</v>
      </c>
      <c r="AY144" s="170" t="str">
        <f t="shared" ca="1" si="71"/>
        <v/>
      </c>
      <c r="AZ144" s="170" t="str">
        <f t="shared" ca="1" si="71"/>
        <v/>
      </c>
      <c r="BA144" s="170" t="str">
        <f t="shared" ca="1" si="71"/>
        <v/>
      </c>
      <c r="BB144" s="170" t="str">
        <f t="shared" ca="1" si="71"/>
        <v/>
      </c>
      <c r="BC144" s="170" t="str">
        <f t="shared" ca="1" si="71"/>
        <v/>
      </c>
      <c r="BD144" s="170" t="str">
        <f t="shared" ca="1" si="71"/>
        <v/>
      </c>
      <c r="BE144" s="170" t="str">
        <f t="shared" ca="1" si="71"/>
        <v/>
      </c>
      <c r="BF144" s="170" t="str">
        <f t="shared" ca="1" si="71"/>
        <v/>
      </c>
      <c r="BG144" s="170" t="str">
        <f t="shared" ca="1" si="71"/>
        <v/>
      </c>
      <c r="BH144" s="170" t="str">
        <f t="shared" ca="1" si="71"/>
        <v/>
      </c>
      <c r="BI144" s="170" t="str">
        <f t="shared" ca="1" si="71"/>
        <v/>
      </c>
      <c r="BJ144" s="170" t="str">
        <f t="shared" ca="1" si="71"/>
        <v/>
      </c>
      <c r="BK144" s="170" t="str">
        <f t="shared" ca="1" si="71"/>
        <v/>
      </c>
      <c r="BL144" s="170" t="str">
        <f t="shared" ca="1" si="71"/>
        <v/>
      </c>
      <c r="BM144" s="170" t="str">
        <f t="shared" ca="1" si="71"/>
        <v/>
      </c>
      <c r="BN144" s="170" t="str">
        <f t="shared" ca="1" si="71"/>
        <v/>
      </c>
      <c r="BO144" s="170" t="str">
        <f t="shared" ca="1" si="71"/>
        <v/>
      </c>
      <c r="BP144" s="170" t="str">
        <f t="shared" ca="1" si="71"/>
        <v/>
      </c>
      <c r="BQ144" s="170" t="str">
        <f t="shared" ca="1" si="71"/>
        <v/>
      </c>
      <c r="BR144" s="170" t="str">
        <f t="shared" ca="1" si="71"/>
        <v/>
      </c>
      <c r="BS144" s="170" t="str">
        <f t="shared" ca="1" si="71"/>
        <v/>
      </c>
      <c r="BT144" s="170" t="str">
        <f t="shared" ca="1" si="71"/>
        <v/>
      </c>
      <c r="BU144" s="170" t="str">
        <f t="shared" ca="1" si="71"/>
        <v/>
      </c>
      <c r="BV144" s="170" t="str">
        <f t="shared" ca="1" si="71"/>
        <v/>
      </c>
      <c r="BW144" s="170" t="str">
        <f t="shared" ca="1" si="71"/>
        <v/>
      </c>
      <c r="BX144" s="170" t="str">
        <f t="shared" ca="1" si="71"/>
        <v/>
      </c>
      <c r="BY144" s="170" t="str">
        <f t="shared" ca="1" si="71"/>
        <v/>
      </c>
    </row>
    <row r="145" spans="1:77" ht="4.5" customHeight="1" x14ac:dyDescent="0.2">
      <c r="A145" s="3" t="s">
        <v>207</v>
      </c>
      <c r="AN145" s="169"/>
      <c r="AO145" s="27"/>
      <c r="AP145" s="27"/>
      <c r="AQ145" s="27"/>
      <c r="AR145" s="27"/>
      <c r="AS145" s="27"/>
      <c r="AT145" s="27"/>
      <c r="AU145" s="70"/>
      <c r="AV145" s="70"/>
      <c r="AW145" s="70"/>
      <c r="AX145" s="70"/>
      <c r="AY145" s="70"/>
      <c r="AZ145" s="70"/>
      <c r="BA145" s="70"/>
      <c r="BB145" s="70"/>
      <c r="BC145" s="70"/>
      <c r="BD145" s="70"/>
      <c r="BE145" s="70"/>
      <c r="BF145" s="70"/>
      <c r="BG145" s="70"/>
      <c r="BH145" s="70"/>
      <c r="BI145" s="70"/>
      <c r="BJ145" s="70"/>
      <c r="BK145" s="70"/>
      <c r="BL145" s="70"/>
      <c r="BM145" s="70"/>
      <c r="BN145" s="70"/>
      <c r="BO145" s="70"/>
      <c r="BP145" s="70"/>
      <c r="BQ145" s="70"/>
      <c r="BR145" s="70"/>
      <c r="BS145" s="70"/>
      <c r="BT145" s="70"/>
      <c r="BU145" s="70"/>
      <c r="BV145" s="70"/>
      <c r="BW145" s="70"/>
      <c r="BX145" s="70"/>
      <c r="BY145" s="70"/>
    </row>
    <row r="146" spans="1:77" ht="4.5" customHeight="1" x14ac:dyDescent="0.2">
      <c r="A146" s="3" t="s">
        <v>208</v>
      </c>
      <c r="AN146" s="169"/>
      <c r="AO146" s="24"/>
      <c r="AP146" s="24"/>
      <c r="AQ146" s="24"/>
      <c r="AR146" s="24"/>
      <c r="AS146" s="24"/>
      <c r="AT146" s="24"/>
      <c r="AU146" s="34"/>
      <c r="AV146" s="34"/>
      <c r="AW146" s="34"/>
      <c r="AX146" s="34"/>
      <c r="AY146" s="34"/>
      <c r="AZ146" s="34"/>
      <c r="BA146" s="34"/>
      <c r="BB146" s="34"/>
      <c r="BC146" s="34"/>
      <c r="BD146" s="34"/>
      <c r="BE146" s="34"/>
      <c r="BF146" s="34"/>
      <c r="BG146" s="34"/>
      <c r="BH146" s="34"/>
      <c r="BI146" s="34"/>
      <c r="BJ146" s="34"/>
      <c r="BK146" s="34"/>
      <c r="BL146" s="34"/>
      <c r="BM146" s="34"/>
      <c r="BN146" s="34"/>
      <c r="BO146" s="34"/>
      <c r="BP146" s="34"/>
      <c r="BQ146" s="34"/>
      <c r="BR146" s="34"/>
      <c r="BS146" s="34"/>
      <c r="BT146" s="34"/>
      <c r="BU146" s="34"/>
      <c r="BV146" s="34"/>
      <c r="BW146" s="34"/>
      <c r="BX146" s="34"/>
      <c r="BY146" s="34"/>
    </row>
    <row r="148" spans="1:77" s="13" customFormat="1" ht="28.5" customHeight="1" x14ac:dyDescent="0.2">
      <c r="A148" s="3"/>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72" t="str">
        <f>INDEX(g_lang_val,MATCH("le_4",g_lang_key,0))</f>
        <v>Afledt driftseffekt i tusinde kroner (t. kr.)</v>
      </c>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row>
    <row r="149" spans="1:77" ht="4.5" customHeight="1" x14ac:dyDescent="0.2">
      <c r="A149" s="3"/>
      <c r="AN149" s="173"/>
      <c r="AO149" s="24"/>
      <c r="AP149" s="24"/>
      <c r="AQ149" s="24"/>
      <c r="AR149" s="24"/>
      <c r="AS149" s="24"/>
      <c r="AT149" s="24"/>
      <c r="AU149" s="34">
        <f t="shared" ref="AU149:BY149" ca="1" si="72">IF(INDEX(g_sc_1_opex,2)+COLUMN()-47&lt;=INDEX(g_sc_1_opex,3),INDEX(g_sc_1_opex,2)+COLUMN()-47,"")</f>
        <v>2026</v>
      </c>
      <c r="AV149" s="34">
        <f t="shared" ca="1" si="72"/>
        <v>2027</v>
      </c>
      <c r="AW149" s="34">
        <f t="shared" ca="1" si="72"/>
        <v>2028</v>
      </c>
      <c r="AX149" s="34">
        <f t="shared" ca="1" si="72"/>
        <v>2029</v>
      </c>
      <c r="AY149" s="34" t="str">
        <f t="shared" ca="1" si="72"/>
        <v/>
      </c>
      <c r="AZ149" s="34" t="str">
        <f t="shared" ca="1" si="72"/>
        <v/>
      </c>
      <c r="BA149" s="34" t="str">
        <f t="shared" ca="1" si="72"/>
        <v/>
      </c>
      <c r="BB149" s="34" t="str">
        <f t="shared" ca="1" si="72"/>
        <v/>
      </c>
      <c r="BC149" s="34" t="str">
        <f t="shared" ca="1" si="72"/>
        <v/>
      </c>
      <c r="BD149" s="34" t="str">
        <f t="shared" ca="1" si="72"/>
        <v/>
      </c>
      <c r="BE149" s="34" t="str">
        <f t="shared" ca="1" si="72"/>
        <v/>
      </c>
      <c r="BF149" s="34" t="str">
        <f t="shared" ca="1" si="72"/>
        <v/>
      </c>
      <c r="BG149" s="34" t="str">
        <f t="shared" ca="1" si="72"/>
        <v/>
      </c>
      <c r="BH149" s="34" t="str">
        <f t="shared" ca="1" si="72"/>
        <v/>
      </c>
      <c r="BI149" s="34" t="str">
        <f t="shared" ca="1" si="72"/>
        <v/>
      </c>
      <c r="BJ149" s="34" t="str">
        <f t="shared" ca="1" si="72"/>
        <v/>
      </c>
      <c r="BK149" s="34" t="str">
        <f t="shared" ca="1" si="72"/>
        <v/>
      </c>
      <c r="BL149" s="34" t="str">
        <f t="shared" ca="1" si="72"/>
        <v/>
      </c>
      <c r="BM149" s="34" t="str">
        <f t="shared" ca="1" si="72"/>
        <v/>
      </c>
      <c r="BN149" s="34" t="str">
        <f t="shared" ca="1" si="72"/>
        <v/>
      </c>
      <c r="BO149" s="34" t="str">
        <f t="shared" ca="1" si="72"/>
        <v/>
      </c>
      <c r="BP149" s="34" t="str">
        <f t="shared" ca="1" si="72"/>
        <v/>
      </c>
      <c r="BQ149" s="34" t="str">
        <f t="shared" ca="1" si="72"/>
        <v/>
      </c>
      <c r="BR149" s="34" t="str">
        <f t="shared" ca="1" si="72"/>
        <v/>
      </c>
      <c r="BS149" s="34" t="str">
        <f t="shared" ca="1" si="72"/>
        <v/>
      </c>
      <c r="BT149" s="34" t="str">
        <f t="shared" ca="1" si="72"/>
        <v/>
      </c>
      <c r="BU149" s="34" t="str">
        <f t="shared" ca="1" si="72"/>
        <v/>
      </c>
      <c r="BV149" s="34" t="str">
        <f t="shared" ca="1" si="72"/>
        <v/>
      </c>
      <c r="BW149" s="34" t="str">
        <f t="shared" ca="1" si="72"/>
        <v/>
      </c>
      <c r="BX149" s="34" t="str">
        <f t="shared" ca="1" si="72"/>
        <v/>
      </c>
      <c r="BY149" s="34" t="str">
        <f t="shared" ca="1" si="72"/>
        <v/>
      </c>
    </row>
    <row r="150" spans="1:77" ht="17.25" customHeight="1" x14ac:dyDescent="0.2">
      <c r="A150" s="3" t="s">
        <v>167</v>
      </c>
      <c r="AN150" s="173"/>
      <c r="AO150" s="240" t="str">
        <f>INDEX(g_lang_val,MATCH("le_1",g_lang_key,0))</f>
        <v>Vigtigt:</v>
      </c>
      <c r="AP150" s="232"/>
      <c r="AQ150" s="232"/>
      <c r="AR150" s="232"/>
      <c r="AS150" s="232"/>
      <c r="AT150" s="232"/>
      <c r="AU150" s="70"/>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c r="BS150" s="70"/>
      <c r="BT150" s="70"/>
      <c r="BU150" s="70"/>
      <c r="BV150" s="70"/>
      <c r="BW150" s="70"/>
      <c r="BX150" s="70"/>
      <c r="BY150" s="70"/>
    </row>
    <row r="151" spans="1:77" ht="90" customHeight="1" x14ac:dyDescent="0.2">
      <c r="A151" s="3" t="s">
        <v>168</v>
      </c>
      <c r="AN151" s="173"/>
      <c r="AO151" s="35"/>
      <c r="AP151" s="241" t="str">
        <f>INDEX(g_lang_val,MATCH("le_4_2",g_lang_key,0))</f>
        <v>1) Driftseffekten er lig med forskellen mellem kommende (A) og eksisterende (B) drifts, vedligeholds- og udviklingsomkostninger (A - B = driftseffekten).
2) En positiv driftseffekt betyder en stigning i budgettet, mens en negativ driftseffekt betyder en budgetmæssig besparelse.
3) Driftseffekten synliggør økonomiske gevinster, der leder til en budgetmæssig besparelse eller den økonomiske effekt, hvor det leder til en fordyrelse. Økonomiske gevinster, der ikke leder til en budgetmæssig besparelse, f.eks. produktivitetsgevinster, skal kun fremgå af projektgrundlaget og indtastes ikke her. I projektgrundlaget kan den samlede driftseffekt fordeles på de konkrete økonomiske effekter
4) Tabel for den afledte driftseffekt har samme pl-justering som tabel for afledte økonomiske omkostninger.</v>
      </c>
      <c r="AQ151" s="241"/>
      <c r="AR151" s="241"/>
      <c r="AS151" s="241"/>
      <c r="AT151" s="241"/>
      <c r="AU151" s="70"/>
      <c r="AV151" s="70"/>
      <c r="AW151" s="70"/>
      <c r="AX151" s="70"/>
      <c r="AY151" s="70"/>
      <c r="AZ151" s="70"/>
      <c r="BA151" s="70"/>
      <c r="BB151" s="70"/>
      <c r="BC151" s="70"/>
      <c r="BD151" s="70"/>
      <c r="BE151" s="70"/>
      <c r="BF151" s="70"/>
      <c r="BG151" s="70"/>
      <c r="BH151" s="70"/>
      <c r="BI151" s="70"/>
      <c r="BJ151" s="70"/>
      <c r="BK151" s="70"/>
      <c r="BL151" s="70"/>
      <c r="BM151" s="70"/>
      <c r="BN151" s="70"/>
      <c r="BO151" s="70"/>
      <c r="BP151" s="70"/>
      <c r="BQ151" s="70"/>
      <c r="BR151" s="70"/>
      <c r="BS151" s="70"/>
      <c r="BT151" s="70"/>
      <c r="BU151" s="70"/>
      <c r="BV151" s="70"/>
      <c r="BW151" s="70"/>
      <c r="BX151" s="70"/>
      <c r="BY151" s="70"/>
    </row>
    <row r="152" spans="1:77" s="13" customFormat="1" ht="51.75" customHeight="1" x14ac:dyDescent="0.2">
      <c r="A152" s="3" t="s">
        <v>203</v>
      </c>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65"/>
      <c r="AO152" s="243" t="str">
        <f>INDEX(g_lang_val,MATCH("le_4_1",g_lang_key,0))</f>
        <v xml:space="preserve">Driftseffekt </v>
      </c>
      <c r="AP152" s="243"/>
      <c r="AQ152" s="243"/>
      <c r="AR152" s="243"/>
      <c r="AS152" s="243"/>
      <c r="AT152" s="147"/>
      <c r="AU152" s="164">
        <f ca="1">AU149</f>
        <v>2026</v>
      </c>
      <c r="AV152" s="164">
        <f t="shared" ref="AV152:BY152" ca="1" si="73">AV149</f>
        <v>2027</v>
      </c>
      <c r="AW152" s="164">
        <f t="shared" ca="1" si="73"/>
        <v>2028</v>
      </c>
      <c r="AX152" s="164">
        <f t="shared" ca="1" si="73"/>
        <v>2029</v>
      </c>
      <c r="AY152" s="164" t="str">
        <f t="shared" ca="1" si="73"/>
        <v/>
      </c>
      <c r="AZ152" s="164" t="str">
        <f t="shared" ca="1" si="73"/>
        <v/>
      </c>
      <c r="BA152" s="164" t="str">
        <f t="shared" ca="1" si="73"/>
        <v/>
      </c>
      <c r="BB152" s="164" t="str">
        <f t="shared" ca="1" si="73"/>
        <v/>
      </c>
      <c r="BC152" s="164" t="str">
        <f t="shared" ca="1" si="73"/>
        <v/>
      </c>
      <c r="BD152" s="164" t="str">
        <f t="shared" ca="1" si="73"/>
        <v/>
      </c>
      <c r="BE152" s="164" t="str">
        <f t="shared" ca="1" si="73"/>
        <v/>
      </c>
      <c r="BF152" s="164" t="str">
        <f t="shared" ca="1" si="73"/>
        <v/>
      </c>
      <c r="BG152" s="164" t="str">
        <f t="shared" ca="1" si="73"/>
        <v/>
      </c>
      <c r="BH152" s="164" t="str">
        <f t="shared" ca="1" si="73"/>
        <v/>
      </c>
      <c r="BI152" s="164" t="str">
        <f t="shared" ca="1" si="73"/>
        <v/>
      </c>
      <c r="BJ152" s="164" t="str">
        <f t="shared" ca="1" si="73"/>
        <v/>
      </c>
      <c r="BK152" s="164" t="str">
        <f t="shared" ca="1" si="73"/>
        <v/>
      </c>
      <c r="BL152" s="164" t="str">
        <f t="shared" ca="1" si="73"/>
        <v/>
      </c>
      <c r="BM152" s="164" t="str">
        <f t="shared" ca="1" si="73"/>
        <v/>
      </c>
      <c r="BN152" s="164" t="str">
        <f t="shared" ca="1" si="73"/>
        <v/>
      </c>
      <c r="BO152" s="164" t="str">
        <f t="shared" ca="1" si="73"/>
        <v/>
      </c>
      <c r="BP152" s="164" t="str">
        <f t="shared" ca="1" si="73"/>
        <v/>
      </c>
      <c r="BQ152" s="164" t="str">
        <f t="shared" ca="1" si="73"/>
        <v/>
      </c>
      <c r="BR152" s="164" t="str">
        <f t="shared" ca="1" si="73"/>
        <v/>
      </c>
      <c r="BS152" s="164" t="str">
        <f t="shared" ca="1" si="73"/>
        <v/>
      </c>
      <c r="BT152" s="164" t="str">
        <f t="shared" ca="1" si="73"/>
        <v/>
      </c>
      <c r="BU152" s="164" t="str">
        <f t="shared" ca="1" si="73"/>
        <v/>
      </c>
      <c r="BV152" s="164" t="str">
        <f t="shared" ca="1" si="73"/>
        <v/>
      </c>
      <c r="BW152" s="164" t="str">
        <f t="shared" ca="1" si="73"/>
        <v/>
      </c>
      <c r="BX152" s="164" t="str">
        <f t="shared" ca="1" si="73"/>
        <v/>
      </c>
      <c r="BY152" s="164" t="str">
        <f t="shared" ca="1" si="73"/>
        <v/>
      </c>
    </row>
    <row r="153" spans="1:77" ht="4.5" customHeight="1" x14ac:dyDescent="0.2">
      <c r="A153" s="3" t="s">
        <v>207</v>
      </c>
      <c r="AN153" s="165"/>
      <c r="AO153" s="27"/>
      <c r="AP153" s="27"/>
      <c r="AQ153" s="27"/>
      <c r="AR153" s="27"/>
      <c r="AS153" s="27"/>
      <c r="AT153" s="27"/>
      <c r="AU153" s="70"/>
      <c r="AV153" s="70"/>
      <c r="AW153" s="70"/>
      <c r="AX153" s="70"/>
      <c r="AY153" s="70"/>
      <c r="AZ153" s="70"/>
      <c r="BA153" s="70"/>
      <c r="BB153" s="70"/>
      <c r="BC153" s="70"/>
      <c r="BD153" s="70"/>
      <c r="BE153" s="70"/>
      <c r="BF153" s="70"/>
      <c r="BG153" s="70"/>
      <c r="BH153" s="70"/>
      <c r="BI153" s="70"/>
      <c r="BJ153" s="70"/>
      <c r="BK153" s="70"/>
      <c r="BL153" s="70"/>
      <c r="BM153" s="70"/>
      <c r="BN153" s="70"/>
      <c r="BO153" s="70"/>
      <c r="BP153" s="70"/>
      <c r="BQ153" s="70"/>
      <c r="BR153" s="70"/>
      <c r="BS153" s="70"/>
      <c r="BT153" s="70"/>
      <c r="BU153" s="70"/>
      <c r="BV153" s="70"/>
      <c r="BW153" s="70"/>
      <c r="BX153" s="70"/>
      <c r="BY153" s="70"/>
    </row>
    <row r="154" spans="1:77" s="13" customFormat="1" ht="15.75" customHeight="1" x14ac:dyDescent="0.2">
      <c r="A154" s="3" t="s">
        <v>218</v>
      </c>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65"/>
      <c r="AO154" s="137"/>
      <c r="AP154" s="163"/>
      <c r="AQ154" s="163"/>
      <c r="AR154" s="163"/>
      <c r="AS154" s="163"/>
      <c r="AT154" s="163"/>
      <c r="AU154" s="141"/>
      <c r="AV154" s="141"/>
      <c r="AW154" s="141"/>
      <c r="AX154" s="141"/>
      <c r="AY154" s="141"/>
      <c r="AZ154" s="141"/>
      <c r="BA154" s="141"/>
      <c r="BB154" s="141"/>
      <c r="BC154" s="141"/>
      <c r="BD154" s="141"/>
      <c r="BE154" s="141"/>
      <c r="BF154" s="141"/>
      <c r="BG154" s="141"/>
      <c r="BH154" s="141"/>
      <c r="BI154" s="141"/>
      <c r="BJ154" s="141"/>
      <c r="BK154" s="141"/>
      <c r="BL154" s="141"/>
      <c r="BM154" s="141"/>
      <c r="BN154" s="141"/>
      <c r="BO154" s="141"/>
      <c r="BP154" s="141"/>
      <c r="BQ154" s="141"/>
      <c r="BR154" s="141"/>
      <c r="BS154" s="141"/>
      <c r="BT154" s="141"/>
      <c r="BU154" s="141"/>
      <c r="BV154" s="141"/>
      <c r="BW154" s="141"/>
      <c r="BX154" s="141"/>
      <c r="BY154" s="141"/>
    </row>
    <row r="155" spans="1:77" ht="4.5" customHeight="1" x14ac:dyDescent="0.2">
      <c r="A155" s="3" t="s">
        <v>207</v>
      </c>
      <c r="AN155" s="165"/>
      <c r="AO155" s="27"/>
      <c r="AP155" s="27"/>
      <c r="AQ155" s="27"/>
      <c r="AR155" s="27"/>
      <c r="AS155" s="27"/>
      <c r="AT155" s="27"/>
      <c r="AU155" s="70"/>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c r="BR155" s="70"/>
      <c r="BS155" s="70"/>
      <c r="BT155" s="70"/>
      <c r="BU155" s="70"/>
      <c r="BV155" s="70"/>
      <c r="BW155" s="70"/>
      <c r="BX155" s="70"/>
      <c r="BY155" s="70"/>
    </row>
    <row r="156" spans="1:77" s="38" customFormat="1" ht="15.75" customHeight="1" x14ac:dyDescent="0.2">
      <c r="A156" s="37" t="s">
        <v>205</v>
      </c>
      <c r="AK156" s="12"/>
      <c r="AN156" s="165"/>
      <c r="AO156" s="151" t="str">
        <f>INDEX(g_lang_val,MATCH("le_4_1",g_lang_key,0))&amp;INDEX(g_lang_val,MATCH("le_2_6_1",g_lang_key,0))</f>
        <v xml:space="preserve">Driftseffekt pl-justeret </v>
      </c>
      <c r="AP156" s="40"/>
      <c r="AQ156" s="40"/>
      <c r="AR156" s="40"/>
      <c r="AS156" s="40"/>
      <c r="AT156" s="129"/>
      <c r="AU156" s="148">
        <f ca="1">IF(AU$111="","",AU154*AU143)</f>
        <v>0</v>
      </c>
      <c r="AV156" s="148">
        <f t="shared" ref="AV156:BY156" ca="1" si="74">IF(AV$111="","",AV154*AV143)</f>
        <v>0</v>
      </c>
      <c r="AW156" s="148">
        <f t="shared" ca="1" si="74"/>
        <v>0</v>
      </c>
      <c r="AX156" s="148">
        <f t="shared" ca="1" si="74"/>
        <v>0</v>
      </c>
      <c r="AY156" s="148" t="str">
        <f t="shared" ca="1" si="74"/>
        <v/>
      </c>
      <c r="AZ156" s="148" t="str">
        <f t="shared" ca="1" si="74"/>
        <v/>
      </c>
      <c r="BA156" s="148" t="str">
        <f t="shared" ca="1" si="74"/>
        <v/>
      </c>
      <c r="BB156" s="148" t="str">
        <f t="shared" ca="1" si="74"/>
        <v/>
      </c>
      <c r="BC156" s="148" t="str">
        <f t="shared" ca="1" si="74"/>
        <v/>
      </c>
      <c r="BD156" s="148" t="str">
        <f t="shared" ca="1" si="74"/>
        <v/>
      </c>
      <c r="BE156" s="148" t="str">
        <f t="shared" ca="1" si="74"/>
        <v/>
      </c>
      <c r="BF156" s="148" t="str">
        <f t="shared" ca="1" si="74"/>
        <v/>
      </c>
      <c r="BG156" s="148" t="str">
        <f t="shared" ca="1" si="74"/>
        <v/>
      </c>
      <c r="BH156" s="148" t="str">
        <f t="shared" ca="1" si="74"/>
        <v/>
      </c>
      <c r="BI156" s="148" t="str">
        <f t="shared" ca="1" si="74"/>
        <v/>
      </c>
      <c r="BJ156" s="148" t="str">
        <f t="shared" ca="1" si="74"/>
        <v/>
      </c>
      <c r="BK156" s="148" t="str">
        <f t="shared" ca="1" si="74"/>
        <v/>
      </c>
      <c r="BL156" s="148" t="str">
        <f t="shared" ca="1" si="74"/>
        <v/>
      </c>
      <c r="BM156" s="148" t="str">
        <f t="shared" ca="1" si="74"/>
        <v/>
      </c>
      <c r="BN156" s="148" t="str">
        <f t="shared" ca="1" si="74"/>
        <v/>
      </c>
      <c r="BO156" s="148" t="str">
        <f t="shared" ca="1" si="74"/>
        <v/>
      </c>
      <c r="BP156" s="148" t="str">
        <f t="shared" ca="1" si="74"/>
        <v/>
      </c>
      <c r="BQ156" s="148" t="str">
        <f t="shared" ca="1" si="74"/>
        <v/>
      </c>
      <c r="BR156" s="148" t="str">
        <f t="shared" ca="1" si="74"/>
        <v/>
      </c>
      <c r="BS156" s="148" t="str">
        <f t="shared" ca="1" si="74"/>
        <v/>
      </c>
      <c r="BT156" s="148" t="str">
        <f t="shared" ca="1" si="74"/>
        <v/>
      </c>
      <c r="BU156" s="148" t="str">
        <f t="shared" ca="1" si="74"/>
        <v/>
      </c>
      <c r="BV156" s="148" t="str">
        <f t="shared" ca="1" si="74"/>
        <v/>
      </c>
      <c r="BW156" s="148" t="str">
        <f t="shared" ca="1" si="74"/>
        <v/>
      </c>
      <c r="BX156" s="148" t="str">
        <f t="shared" ca="1" si="74"/>
        <v/>
      </c>
      <c r="BY156" s="148" t="str">
        <f t="shared" ca="1" si="74"/>
        <v/>
      </c>
    </row>
    <row r="157" spans="1:77" ht="4.5" customHeight="1" x14ac:dyDescent="0.2">
      <c r="A157" s="3" t="s">
        <v>207</v>
      </c>
      <c r="AN157" s="165"/>
      <c r="AO157" s="27"/>
      <c r="AP157" s="27"/>
      <c r="AQ157" s="27"/>
      <c r="AR157" s="27"/>
      <c r="AS157" s="27"/>
      <c r="AT157" s="27"/>
      <c r="AU157" s="70"/>
      <c r="AV157" s="70"/>
      <c r="AW157" s="70"/>
      <c r="AX157" s="70"/>
      <c r="AY157" s="70"/>
      <c r="AZ157" s="70"/>
      <c r="BA157" s="70"/>
      <c r="BB157" s="70"/>
      <c r="BC157" s="70"/>
      <c r="BD157" s="70"/>
      <c r="BE157" s="70"/>
      <c r="BF157" s="70"/>
      <c r="BG157" s="70"/>
      <c r="BH157" s="70"/>
      <c r="BI157" s="70"/>
      <c r="BJ157" s="70"/>
      <c r="BK157" s="70"/>
      <c r="BL157" s="70"/>
      <c r="BM157" s="70"/>
      <c r="BN157" s="70"/>
      <c r="BO157" s="70"/>
      <c r="BP157" s="70"/>
      <c r="BQ157" s="70"/>
      <c r="BR157" s="70"/>
      <c r="BS157" s="70"/>
      <c r="BT157" s="70"/>
      <c r="BU157" s="70"/>
      <c r="BV157" s="70"/>
      <c r="BW157" s="70"/>
      <c r="BX157" s="70"/>
      <c r="BY157" s="70"/>
    </row>
    <row r="158" spans="1:77" ht="4.5" customHeight="1" x14ac:dyDescent="0.2">
      <c r="A158" s="3" t="s">
        <v>208</v>
      </c>
      <c r="AN158" s="165"/>
      <c r="AO158" s="24"/>
      <c r="AP158" s="24"/>
      <c r="AQ158" s="24"/>
      <c r="AR158" s="24"/>
      <c r="AS158" s="24"/>
      <c r="AT158" s="2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34"/>
      <c r="BW158" s="34"/>
      <c r="BX158" s="34"/>
      <c r="BY158" s="34"/>
    </row>
  </sheetData>
  <sheetProtection formatColumns="0" formatRows="0" autoFilter="0"/>
  <customSheetViews>
    <customSheetView guid="{CC114306-4468-4F70-9DB6-D54D814D228F}" fitToPage="1" printArea="1" hiddenRows="1" hiddenColumns="1" topLeftCell="L25">
      <selection activeCell="L13" sqref="L13"/>
      <pageMargins left="0.7" right="0.7" top="0.75" bottom="0.75" header="0.3" footer="0.3"/>
      <pageSetup paperSize="9" fitToHeight="0" orientation="landscape" r:id="rId1"/>
    </customSheetView>
  </customSheetViews>
  <mergeCells count="16">
    <mergeCell ref="AO152:AS152"/>
    <mergeCell ref="AO150:AT150"/>
    <mergeCell ref="AP151:AT151"/>
    <mergeCell ref="AO140:AT140"/>
    <mergeCell ref="AO142:AT142"/>
    <mergeCell ref="AO141:AT141"/>
    <mergeCell ref="AO23:AT23"/>
    <mergeCell ref="AP24:AT24"/>
    <mergeCell ref="AO102:AT102"/>
    <mergeCell ref="AO25:AP25"/>
    <mergeCell ref="AO114:AS114"/>
    <mergeCell ref="AO112:AT112"/>
    <mergeCell ref="AP113:AT113"/>
    <mergeCell ref="AO95:AT95"/>
    <mergeCell ref="AO93:AT93"/>
    <mergeCell ref="AO100:AT100"/>
  </mergeCells>
  <conditionalFormatting sqref="AQ28:AQ37">
    <cfRule type="cellIs" dxfId="44" priority="13" operator="equal">
      <formula>"|Vælg anlæg &gt;|"</formula>
    </cfRule>
    <cfRule type="expression" dxfId="43" priority="14">
      <formula>IFERROR(INDEX(g_assets_sc_1,MATCH(AQ28,g_assets_sc_1,),0),TRUE)</formula>
    </cfRule>
  </conditionalFormatting>
  <conditionalFormatting sqref="AQ39:AQ88">
    <cfRule type="cellIs" dxfId="42" priority="21" operator="equal">
      <formula>"|Vælg anlæg &gt;|"</formula>
    </cfRule>
    <cfRule type="expression" dxfId="41" priority="22">
      <formula>IFERROR(INDEX(g_assets_sc_1,MATCH(AQ39,g_assets_sc_1,),0),TRUE)</formula>
    </cfRule>
  </conditionalFormatting>
  <conditionalFormatting sqref="AU94:BY94">
    <cfRule type="expression" dxfId="40" priority="19">
      <formula>AU$22=""</formula>
    </cfRule>
  </conditionalFormatting>
  <conditionalFormatting sqref="AU111:BY158">
    <cfRule type="expression" dxfId="39" priority="1">
      <formula>AU$111=""</formula>
    </cfRule>
  </conditionalFormatting>
  <conditionalFormatting sqref="AU141:BY141">
    <cfRule type="expression" dxfId="38" priority="17">
      <formula>AU$111=""</formula>
    </cfRule>
  </conditionalFormatting>
  <conditionalFormatting sqref="AU22:JH108">
    <cfRule type="expression" dxfId="37" priority="3">
      <formula>AU$22=""</formula>
    </cfRule>
  </conditionalFormatting>
  <conditionalFormatting sqref="AU101:JH101">
    <cfRule type="expression" dxfId="36" priority="16" stopIfTrue="1">
      <formula>$AS$101=0</formula>
    </cfRule>
    <cfRule type="expression" dxfId="35" priority="20">
      <formula>SUM($AU$101:$XFD$101)&lt;&gt;1</formula>
    </cfRule>
  </conditionalFormatting>
  <dataValidations count="2">
    <dataValidation type="list" allowBlank="1" showInputMessage="1" showErrorMessage="1" sqref="AU141:BY141 AU94:BY94" xr:uid="{00000000-0002-0000-0300-000000000000}">
      <formula1>g_pl_years</formula1>
    </dataValidation>
    <dataValidation type="list" allowBlank="1" showInputMessage="1" showErrorMessage="1" error="Anlæg kan ikke findes i fanen &quot;Stamoplysninger&quot;" sqref="AQ39:AQ88 AQ28:AQ37" xr:uid="{00000000-0002-0000-0300-000001000000}">
      <formula1>g_assets_sc_1</formula1>
    </dataValidation>
  </dataValidations>
  <pageMargins left="0.7" right="0.7" top="0.75" bottom="0.75" header="0.3" footer="0.3"/>
  <pageSetup paperSize="9" fitToHeight="0" orientation="landscape" r:id="rId2"/>
  <headerFooter>
    <oddFooter>&amp;C_x000D_&amp;1#&amp;"Aptos"&amp;10&amp;K000000 Denne information er følsom og må derfor kun deles inden for staten.</oddFooter>
  </headerFooter>
  <ignoredErrors>
    <ignoredError sqref="AU94:BY94 AY141:BY141 AU141:AX141" unlockedFormula="1"/>
  </ignoredError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NR_1!$U$3:$U$5</xm:f>
          </x14:formula1>
          <xm:sqref>AP169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002060"/>
    <pageSetUpPr autoPageBreaks="0" fitToPage="1"/>
  </sheetPr>
  <dimension ref="A1:BB259"/>
  <sheetViews>
    <sheetView topLeftCell="M13" zoomScaleNormal="100" workbookViewId="0">
      <selection activeCell="T290" sqref="T290"/>
    </sheetView>
  </sheetViews>
  <sheetFormatPr defaultColWidth="9.28515625" defaultRowHeight="12.75" customHeight="1" outlineLevelRow="1" x14ac:dyDescent="0.2"/>
  <cols>
    <col min="1" max="1" width="5.85546875" style="84" hidden="1" customWidth="1"/>
    <col min="2" max="2" width="4" style="84" hidden="1" customWidth="1"/>
    <col min="3" max="3" width="13.7109375" style="84" hidden="1" customWidth="1"/>
    <col min="4" max="6" width="4" style="84" hidden="1" customWidth="1"/>
    <col min="7" max="7" width="3.5703125" style="84" hidden="1" customWidth="1"/>
    <col min="8" max="8" width="3.140625" style="84" hidden="1" customWidth="1"/>
    <col min="9" max="9" width="4.85546875" style="84" hidden="1" customWidth="1"/>
    <col min="10" max="11" width="4.28515625" style="84" hidden="1" customWidth="1"/>
    <col min="12" max="12" width="3.7109375" style="84" hidden="1" customWidth="1"/>
    <col min="13" max="13" width="2.7109375" style="84" customWidth="1"/>
    <col min="14" max="16" width="1.5703125" style="84" customWidth="1"/>
    <col min="17" max="17" width="64.7109375" style="84" customWidth="1"/>
    <col min="18" max="18" width="6.7109375" style="84" customWidth="1"/>
    <col min="19" max="19" width="11" style="84" customWidth="1"/>
    <col min="20" max="24" width="6.7109375" style="84" customWidth="1"/>
    <col min="25" max="25" width="6.85546875" style="84" customWidth="1"/>
    <col min="26" max="28" width="6.7109375" style="84" customWidth="1"/>
    <col min="29" max="29" width="7.42578125" style="84" customWidth="1"/>
    <col min="30" max="30" width="7.140625" style="84" customWidth="1"/>
    <col min="31" max="49" width="6.7109375" style="84" customWidth="1"/>
    <col min="50" max="54" width="1.5703125" style="84" customWidth="1"/>
    <col min="55" max="16384" width="9.28515625" style="84"/>
  </cols>
  <sheetData>
    <row r="1" spans="1:54" s="81" customFormat="1" ht="21.75" hidden="1" customHeight="1" x14ac:dyDescent="0.2">
      <c r="A1" s="80" t="s">
        <v>64</v>
      </c>
      <c r="B1" s="80" t="s">
        <v>65</v>
      </c>
      <c r="C1" s="80" t="s">
        <v>66</v>
      </c>
      <c r="D1" s="80" t="s">
        <v>67</v>
      </c>
      <c r="E1" s="80" t="s">
        <v>68</v>
      </c>
      <c r="F1" s="80" t="s">
        <v>69</v>
      </c>
      <c r="G1" s="80" t="s">
        <v>70</v>
      </c>
      <c r="H1" s="80" t="s">
        <v>71</v>
      </c>
      <c r="I1" s="80" t="s">
        <v>72</v>
      </c>
      <c r="J1" s="80" t="s">
        <v>73</v>
      </c>
      <c r="K1" s="80" t="s">
        <v>74</v>
      </c>
      <c r="L1" s="80" t="s">
        <v>75</v>
      </c>
      <c r="M1" s="80" t="s">
        <v>76</v>
      </c>
      <c r="N1" s="80" t="s">
        <v>77</v>
      </c>
      <c r="O1" s="80" t="s">
        <v>78</v>
      </c>
      <c r="P1" s="80" t="s">
        <v>79</v>
      </c>
      <c r="Q1" s="80" t="s">
        <v>80</v>
      </c>
      <c r="R1" s="80" t="s">
        <v>81</v>
      </c>
      <c r="S1" s="80" t="s">
        <v>82</v>
      </c>
      <c r="T1" s="80" t="s">
        <v>83</v>
      </c>
      <c r="U1" s="80" t="s">
        <v>84</v>
      </c>
      <c r="V1" s="80" t="s">
        <v>85</v>
      </c>
      <c r="W1" s="80" t="s">
        <v>86</v>
      </c>
      <c r="X1" s="80" t="s">
        <v>87</v>
      </c>
      <c r="Y1" s="80" t="s">
        <v>88</v>
      </c>
      <c r="Z1" s="80" t="s">
        <v>89</v>
      </c>
      <c r="AA1" s="80" t="s">
        <v>90</v>
      </c>
      <c r="AB1" s="80" t="s">
        <v>91</v>
      </c>
      <c r="AC1" s="80" t="s">
        <v>92</v>
      </c>
      <c r="AD1" s="80" t="s">
        <v>93</v>
      </c>
      <c r="AE1" s="80" t="s">
        <v>97</v>
      </c>
      <c r="AF1" s="80" t="s">
        <v>98</v>
      </c>
      <c r="AG1" s="80" t="s">
        <v>99</v>
      </c>
      <c r="AH1" s="80" t="s">
        <v>100</v>
      </c>
      <c r="AI1" s="80" t="s">
        <v>101</v>
      </c>
      <c r="AJ1" s="80" t="s">
        <v>102</v>
      </c>
      <c r="AK1" s="80" t="s">
        <v>103</v>
      </c>
      <c r="AL1" s="80" t="s">
        <v>104</v>
      </c>
      <c r="AM1" s="80" t="s">
        <v>105</v>
      </c>
      <c r="AN1" s="80" t="s">
        <v>106</v>
      </c>
      <c r="AO1" s="80" t="s">
        <v>107</v>
      </c>
      <c r="AP1" s="80" t="s">
        <v>108</v>
      </c>
      <c r="AQ1" s="80" t="s">
        <v>109</v>
      </c>
      <c r="AR1" s="80" t="s">
        <v>110</v>
      </c>
      <c r="AS1" s="80"/>
      <c r="AT1" s="80"/>
      <c r="AU1" s="80"/>
      <c r="AV1" s="80"/>
      <c r="AW1" s="80"/>
      <c r="AX1" s="80" t="s">
        <v>106</v>
      </c>
      <c r="AY1" s="80" t="s">
        <v>107</v>
      </c>
      <c r="AZ1" s="80" t="s">
        <v>108</v>
      </c>
      <c r="BA1" s="80" t="s">
        <v>109</v>
      </c>
      <c r="BB1" s="80" t="s">
        <v>110</v>
      </c>
    </row>
    <row r="2" spans="1:54" s="81" customFormat="1" ht="409.35" hidden="1" customHeight="1" x14ac:dyDescent="0.2">
      <c r="A2" s="82"/>
      <c r="B2" s="82"/>
      <c r="C2" s="82"/>
      <c r="D2" s="82"/>
      <c r="E2" s="82"/>
      <c r="F2" s="82"/>
      <c r="G2" s="82"/>
      <c r="H2" s="82"/>
      <c r="I2" s="82"/>
      <c r="J2" s="82"/>
      <c r="K2" s="82"/>
      <c r="L2" s="82"/>
      <c r="M2" s="82"/>
      <c r="N2" s="82"/>
      <c r="O2" s="82"/>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row>
    <row r="3" spans="1:54" s="6" customFormat="1" ht="12" hidden="1" x14ac:dyDescent="0.2">
      <c r="A3" s="11" t="s">
        <v>116</v>
      </c>
      <c r="B3" s="11" t="s">
        <v>116</v>
      </c>
      <c r="C3" s="11" t="s">
        <v>116</v>
      </c>
      <c r="D3" s="11" t="s">
        <v>116</v>
      </c>
      <c r="E3" s="11" t="s">
        <v>116</v>
      </c>
      <c r="F3" s="11" t="s">
        <v>116</v>
      </c>
      <c r="G3" s="11" t="s">
        <v>116</v>
      </c>
      <c r="H3" s="11" t="s">
        <v>116</v>
      </c>
      <c r="I3" s="11" t="s">
        <v>116</v>
      </c>
      <c r="J3" s="11" t="s">
        <v>116</v>
      </c>
      <c r="K3" s="11" t="s">
        <v>116</v>
      </c>
      <c r="L3" s="11" t="s">
        <v>116</v>
      </c>
      <c r="M3" s="11" t="s">
        <v>116</v>
      </c>
      <c r="N3" s="11" t="s">
        <v>116</v>
      </c>
      <c r="O3" s="11" t="s">
        <v>116</v>
      </c>
      <c r="P3" s="11" t="s">
        <v>116</v>
      </c>
      <c r="Q3" s="11" t="s">
        <v>116</v>
      </c>
      <c r="R3" s="11" t="s">
        <v>116</v>
      </c>
      <c r="S3" s="11" t="s">
        <v>116</v>
      </c>
      <c r="T3" s="11" t="s">
        <v>116</v>
      </c>
      <c r="U3" s="11" t="s">
        <v>116</v>
      </c>
      <c r="V3" s="11" t="s">
        <v>116</v>
      </c>
      <c r="W3" s="11" t="s">
        <v>116</v>
      </c>
      <c r="X3" s="11" t="s">
        <v>116</v>
      </c>
      <c r="Y3" s="11" t="s">
        <v>116</v>
      </c>
      <c r="Z3" s="11" t="s">
        <v>116</v>
      </c>
      <c r="AA3" s="11" t="s">
        <v>116</v>
      </c>
      <c r="AB3" s="11" t="s">
        <v>116</v>
      </c>
      <c r="AC3" s="11" t="s">
        <v>116</v>
      </c>
      <c r="AD3" s="11" t="s">
        <v>116</v>
      </c>
      <c r="AE3" s="11" t="s">
        <v>116</v>
      </c>
      <c r="AF3" s="11" t="s">
        <v>116</v>
      </c>
      <c r="AG3" s="11" t="s">
        <v>116</v>
      </c>
      <c r="AH3" s="11" t="s">
        <v>116</v>
      </c>
      <c r="AI3" s="11" t="s">
        <v>116</v>
      </c>
      <c r="AJ3" s="11" t="s">
        <v>116</v>
      </c>
      <c r="AK3" s="11" t="s">
        <v>116</v>
      </c>
      <c r="AL3" s="11" t="s">
        <v>116</v>
      </c>
      <c r="AM3" s="11" t="s">
        <v>116</v>
      </c>
      <c r="AN3" s="11" t="s">
        <v>116</v>
      </c>
      <c r="AO3" s="11" t="s">
        <v>116</v>
      </c>
      <c r="AP3" s="11" t="s">
        <v>116</v>
      </c>
      <c r="AQ3" s="11" t="s">
        <v>116</v>
      </c>
      <c r="AR3" s="11" t="s">
        <v>116</v>
      </c>
      <c r="AS3" s="11"/>
      <c r="AT3" s="11"/>
      <c r="AU3" s="11"/>
      <c r="AV3" s="11"/>
      <c r="AW3" s="11"/>
      <c r="AX3" s="11" t="s">
        <v>116</v>
      </c>
      <c r="AY3" s="11" t="s">
        <v>116</v>
      </c>
      <c r="AZ3" s="11" t="s">
        <v>116</v>
      </c>
      <c r="BA3" s="11" t="s">
        <v>116</v>
      </c>
      <c r="BB3" s="11" t="s">
        <v>116</v>
      </c>
    </row>
    <row r="4" spans="1:54" s="6" customFormat="1" ht="12" hidden="1" x14ac:dyDescent="0.2">
      <c r="A4" s="16">
        <v>-13</v>
      </c>
      <c r="B4" s="16">
        <v>-12</v>
      </c>
      <c r="C4" s="16">
        <v>-11</v>
      </c>
      <c r="D4" s="16">
        <v>-10</v>
      </c>
      <c r="E4" s="16">
        <v>-9</v>
      </c>
      <c r="F4" s="16">
        <v>-8</v>
      </c>
      <c r="G4" s="16">
        <v>-7</v>
      </c>
      <c r="H4" s="16">
        <v>-6</v>
      </c>
      <c r="I4" s="16">
        <v>-5</v>
      </c>
      <c r="J4" s="16">
        <v>-4</v>
      </c>
      <c r="K4" s="16">
        <v>-3</v>
      </c>
      <c r="L4" s="16">
        <v>-2</v>
      </c>
      <c r="M4" s="16">
        <v>-1</v>
      </c>
      <c r="N4" s="16">
        <v>0</v>
      </c>
      <c r="O4" s="16">
        <v>1</v>
      </c>
      <c r="P4" s="16">
        <v>2</v>
      </c>
      <c r="Q4" s="16">
        <v>3</v>
      </c>
      <c r="R4" s="16">
        <v>4</v>
      </c>
      <c r="S4" s="16">
        <v>5</v>
      </c>
      <c r="T4" s="16">
        <v>6</v>
      </c>
      <c r="U4" s="16">
        <v>7</v>
      </c>
      <c r="V4" s="16">
        <v>8</v>
      </c>
      <c r="W4" s="16">
        <v>9</v>
      </c>
      <c r="X4" s="16">
        <v>10</v>
      </c>
      <c r="Y4" s="16">
        <v>11</v>
      </c>
      <c r="Z4" s="16">
        <v>12</v>
      </c>
      <c r="AA4" s="16">
        <v>13</v>
      </c>
      <c r="AB4" s="16">
        <v>14</v>
      </c>
      <c r="AC4" s="16">
        <v>15</v>
      </c>
      <c r="AD4" s="16">
        <v>16</v>
      </c>
      <c r="AE4" s="16">
        <v>17</v>
      </c>
      <c r="AF4" s="16">
        <v>18</v>
      </c>
      <c r="AG4" s="16">
        <v>19</v>
      </c>
      <c r="AH4" s="16">
        <v>20</v>
      </c>
      <c r="AI4" s="16">
        <v>21</v>
      </c>
      <c r="AJ4" s="16">
        <v>22</v>
      </c>
      <c r="AK4" s="16">
        <v>23</v>
      </c>
      <c r="AL4" s="16">
        <v>24</v>
      </c>
      <c r="AM4" s="16">
        <v>25</v>
      </c>
      <c r="AN4" s="16">
        <v>26</v>
      </c>
      <c r="AO4" s="16">
        <v>27</v>
      </c>
      <c r="AP4" s="16">
        <v>28</v>
      </c>
      <c r="AQ4" s="16">
        <v>29</v>
      </c>
      <c r="AR4" s="16">
        <v>30</v>
      </c>
      <c r="AS4" s="16"/>
      <c r="AT4" s="16"/>
      <c r="AU4" s="16"/>
      <c r="AV4" s="16"/>
      <c r="AW4" s="16"/>
      <c r="AX4" s="16">
        <v>26</v>
      </c>
      <c r="AY4" s="16">
        <v>27</v>
      </c>
      <c r="AZ4" s="16">
        <v>28</v>
      </c>
      <c r="BA4" s="16">
        <v>29</v>
      </c>
      <c r="BB4" s="16">
        <v>30</v>
      </c>
    </row>
    <row r="5" spans="1:54" ht="12.75" hidden="1" customHeight="1" x14ac:dyDescent="0.2"/>
    <row r="6" spans="1:54" ht="12.75" hidden="1" customHeight="1" x14ac:dyDescent="0.2"/>
    <row r="7" spans="1:54" ht="12.75" hidden="1" customHeight="1" x14ac:dyDescent="0.2"/>
    <row r="8" spans="1:54" ht="12.75" hidden="1" customHeight="1" x14ac:dyDescent="0.2"/>
    <row r="9" spans="1:54" ht="12.75" hidden="1" customHeight="1" x14ac:dyDescent="0.2"/>
    <row r="10" spans="1:54" ht="12.75" hidden="1" customHeight="1" x14ac:dyDescent="0.2"/>
    <row r="11" spans="1:54" ht="12.75" hidden="1" customHeight="1" x14ac:dyDescent="0.2"/>
    <row r="12" spans="1:54" ht="12.75" hidden="1" customHeight="1" x14ac:dyDescent="0.2"/>
    <row r="13" spans="1:54" ht="28.5" customHeight="1" x14ac:dyDescent="0.2">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row>
    <row r="14" spans="1:54" ht="12.75" customHeight="1" x14ac:dyDescent="0.2">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row>
    <row r="16" spans="1:54" ht="12.75" customHeight="1" thickBot="1" x14ac:dyDescent="0.25"/>
    <row r="17" spans="14:52" ht="42.75" customHeight="1" thickTop="1" x14ac:dyDescent="0.2">
      <c r="N17" s="178"/>
      <c r="O17" s="179" t="str">
        <f>INDEX(g_lang_val,MATCH("tb_1",g_lang_key,0))</f>
        <v>Projektets økonomiske nøgletal</v>
      </c>
      <c r="P17" s="179"/>
      <c r="Q17" s="179"/>
      <c r="R17" s="179"/>
      <c r="S17" s="179"/>
      <c r="T17" s="179"/>
      <c r="U17" s="179"/>
      <c r="V17" s="179"/>
      <c r="W17" s="179"/>
      <c r="X17" s="179"/>
      <c r="Y17" s="179"/>
      <c r="Z17" s="179"/>
      <c r="AA17" s="179"/>
      <c r="AB17" s="179"/>
      <c r="AC17" s="179"/>
      <c r="AD17" s="179"/>
      <c r="AE17" s="179"/>
      <c r="AF17" s="179"/>
      <c r="AG17" s="179"/>
      <c r="AH17" s="179"/>
      <c r="AI17" s="179"/>
      <c r="AJ17" s="179"/>
      <c r="AK17" s="179"/>
      <c r="AL17" s="179"/>
      <c r="AM17" s="179"/>
      <c r="AN17" s="179"/>
      <c r="AO17" s="179"/>
      <c r="AP17" s="179"/>
      <c r="AQ17" s="179"/>
      <c r="AR17" s="179"/>
      <c r="AS17" s="179"/>
      <c r="AT17" s="179"/>
      <c r="AU17" s="179"/>
      <c r="AV17" s="179"/>
      <c r="AW17" s="179"/>
      <c r="AX17" s="179"/>
      <c r="AY17" s="179"/>
      <c r="AZ17" s="180"/>
    </row>
    <row r="18" spans="14:52" ht="12.75" customHeight="1" x14ac:dyDescent="0.2">
      <c r="N18" s="85"/>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row>
    <row r="19" spans="14:52" ht="22.9" customHeight="1" x14ac:dyDescent="0.2">
      <c r="N19" s="85"/>
      <c r="O19" s="88"/>
      <c r="P19" s="89"/>
      <c r="Q19" s="107" t="str">
        <f>INDEX(g_lang_val,MATCH("tb_1_1",g_lang_key,0)) &amp; " 1"</f>
        <v>Tabel 1</v>
      </c>
      <c r="R19" s="89"/>
      <c r="S19" s="89"/>
      <c r="T19" s="89"/>
      <c r="U19" s="89"/>
      <c r="V19" s="89"/>
      <c r="W19" s="89"/>
      <c r="X19" s="89"/>
      <c r="Y19" s="89"/>
      <c r="Z19" s="89"/>
      <c r="AA19" s="89"/>
      <c r="AB19" s="89"/>
      <c r="AC19" s="89"/>
      <c r="AD19" s="89"/>
      <c r="AE19" s="89"/>
      <c r="AF19" s="89"/>
      <c r="AG19" s="89"/>
      <c r="AH19" s="89"/>
      <c r="AI19" s="89"/>
      <c r="AJ19" s="89"/>
      <c r="AK19" s="89"/>
      <c r="AL19" s="89" t="s">
        <v>117</v>
      </c>
      <c r="AM19" s="89"/>
      <c r="AN19" s="89"/>
      <c r="AO19" s="89"/>
      <c r="AP19" s="89"/>
      <c r="AQ19" s="89"/>
      <c r="AR19" s="89"/>
      <c r="AS19" s="89"/>
      <c r="AT19" s="89"/>
      <c r="AU19" s="89"/>
      <c r="AV19" s="89"/>
      <c r="AW19" s="89"/>
      <c r="AX19" s="89"/>
      <c r="AY19" s="88"/>
      <c r="AZ19" s="87"/>
    </row>
    <row r="20" spans="14:52" ht="31.15" customHeight="1" x14ac:dyDescent="0.2">
      <c r="N20" s="85"/>
      <c r="O20" s="90"/>
      <c r="P20" s="91"/>
      <c r="Q20" s="92" t="str">
        <f>INDEX(g_lang_val,MATCH("tb_1_1_1",g_lang_key,0))</f>
        <v>Økonomiske nøgletal</v>
      </c>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0"/>
      <c r="AZ20" s="87"/>
    </row>
    <row r="21" spans="14:52" ht="12.75" customHeight="1" thickBot="1" x14ac:dyDescent="0.25">
      <c r="N21" s="85"/>
      <c r="O21" s="90"/>
      <c r="P21" s="91"/>
      <c r="Q21" s="93" t="str">
        <f ca="1">INDEX(g_lang_val,MATCH("tb_1_1_1_1",g_lang_key,0)) &amp;g_reporting_year&amp;INDEX(g_lang_val,MATCH("tb_1_1_1_2",g_lang_key,0))</f>
        <v>Mio. kr. 2026-pl</v>
      </c>
      <c r="R21" s="93"/>
      <c r="S21" s="94" t="str">
        <f>INDEX(g_lang_val,MATCH("le_2_2",g_lang_key,0))</f>
        <v xml:space="preserve">Total </v>
      </c>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0"/>
      <c r="AZ21" s="87"/>
    </row>
    <row r="22" spans="14:52" ht="12.75" customHeight="1" thickTop="1" x14ac:dyDescent="0.2">
      <c r="N22" s="85"/>
      <c r="O22" s="90"/>
      <c r="P22" s="91"/>
      <c r="Q22" s="95" t="str">
        <f>INDEX(g_lang_val,MATCH("tb_1_1_2",g_lang_key,0))</f>
        <v>Projektudgifter, ekskl. renter</v>
      </c>
      <c r="R22" s="96"/>
      <c r="S22" s="97">
        <f ca="1">S23+S26</f>
        <v>0</v>
      </c>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0"/>
      <c r="AZ22" s="87"/>
    </row>
    <row r="23" spans="14:52" ht="12.75" customHeight="1" x14ac:dyDescent="0.2">
      <c r="N23" s="85"/>
      <c r="O23" s="90"/>
      <c r="P23" s="91"/>
      <c r="Q23" s="98" t="str">
        <f>INDEX(g_lang_val,MATCH("le_2_1_1",g_lang_key,0))</f>
        <v>Leverancer</v>
      </c>
      <c r="R23" s="99"/>
      <c r="S23" s="100">
        <f ca="1">SUM(Leverancer!AU97:BX97)/1000</f>
        <v>0</v>
      </c>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0"/>
      <c r="AZ23" s="87"/>
    </row>
    <row r="24" spans="14:52" ht="12.75" customHeight="1" x14ac:dyDescent="0.2">
      <c r="N24" s="85"/>
      <c r="O24" s="90"/>
      <c r="P24" s="91"/>
      <c r="Q24" s="143" t="str">
        <f>INDEX(g_lang_val,MATCH("tb_1_1_3",g_lang_key,0))</f>
        <v>Interne</v>
      </c>
      <c r="R24" s="99"/>
      <c r="S24" s="100">
        <f ca="1">Leverancer!$AJ$90/1000-Leverancer!$AL$90/1000</f>
        <v>0</v>
      </c>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0"/>
      <c r="AZ24" s="87"/>
    </row>
    <row r="25" spans="14:52" ht="12.75" customHeight="1" x14ac:dyDescent="0.2">
      <c r="N25" s="85"/>
      <c r="O25" s="90"/>
      <c r="P25" s="91"/>
      <c r="Q25" s="143" t="str">
        <f>INDEX(g_lang_val,MATCH("tb_1_1_4",g_lang_key,0))</f>
        <v>Eksterne</v>
      </c>
      <c r="R25" s="99"/>
      <c r="S25" s="100">
        <f ca="1">Leverancer!$AL$90/1000</f>
        <v>0</v>
      </c>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0"/>
      <c r="AZ25" s="87"/>
    </row>
    <row r="26" spans="14:52" ht="12.75" customHeight="1" x14ac:dyDescent="0.2">
      <c r="N26" s="85"/>
      <c r="O26" s="90"/>
      <c r="P26" s="91"/>
      <c r="Q26" s="98" t="str">
        <f>INDEX(g_lang_val,MATCH("le_2_5",g_lang_key,0))</f>
        <v>Risikopulje</v>
      </c>
      <c r="R26" s="99"/>
      <c r="S26" s="100">
        <f ca="1">SUM(Leverancer!AU104:BX104)/1000</f>
        <v>0</v>
      </c>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0"/>
      <c r="AZ26" s="87"/>
    </row>
    <row r="27" spans="14:52" ht="12.75" customHeight="1" x14ac:dyDescent="0.2">
      <c r="N27" s="85"/>
      <c r="O27" s="90"/>
      <c r="P27" s="91"/>
      <c r="Q27" s="95" t="str">
        <f>INDEX(g_lang_val,MATCH("tb_1_1_5",g_lang_key,0))</f>
        <v>Driftseffekter</v>
      </c>
      <c r="R27" s="96"/>
      <c r="S27" s="97">
        <f ca="1">SUM(Leverancer!AU156:BX156)/1000</f>
        <v>0</v>
      </c>
      <c r="T27" s="91"/>
      <c r="U27" s="91"/>
      <c r="V27" s="91"/>
      <c r="W27" s="91"/>
      <c r="X27" s="91"/>
      <c r="Y27" s="10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0"/>
      <c r="AZ27" s="87"/>
    </row>
    <row r="28" spans="14:52" ht="12.75" customHeight="1" x14ac:dyDescent="0.2">
      <c r="N28" s="85"/>
      <c r="O28" s="90"/>
      <c r="P28" s="91"/>
      <c r="Q28" s="95" t="str">
        <f>INDEX(g_lang_val,MATCH("tb_1_1_6",g_lang_key,0))</f>
        <v>Samlede effekter</v>
      </c>
      <c r="R28" s="96"/>
      <c r="S28" s="97">
        <f ca="1">S22+S27</f>
        <v>0</v>
      </c>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0"/>
      <c r="AZ28" s="87"/>
    </row>
    <row r="29" spans="14:52" ht="12.75" customHeight="1" x14ac:dyDescent="0.2">
      <c r="N29" s="85"/>
      <c r="O29" s="102"/>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2"/>
      <c r="AZ29" s="87"/>
    </row>
    <row r="30" spans="14:52" ht="25.5" customHeight="1" x14ac:dyDescent="0.2">
      <c r="N30" s="104"/>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6"/>
    </row>
    <row r="31" spans="14:52" ht="12.75" customHeight="1" thickBot="1" x14ac:dyDescent="0.25"/>
    <row r="32" spans="14:52" ht="42.75" customHeight="1" thickTop="1" thickBot="1" x14ac:dyDescent="0.25">
      <c r="N32" s="175"/>
      <c r="O32" s="176" t="str">
        <f>INDEX(g_lang_val,MATCH("tb_2",g_lang_key,0))</f>
        <v>Oversigtstabeller</v>
      </c>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7"/>
    </row>
    <row r="33" spans="14:52" ht="32.25" customHeight="1" thickTop="1" x14ac:dyDescent="0.2">
      <c r="N33" s="181"/>
      <c r="O33" s="182" t="str">
        <f>INDEX(g_lang_val,MATCH("tb_2_1",g_lang_key,0))</f>
        <v>Oversigtstabeller til Finansudvalget</v>
      </c>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3"/>
    </row>
    <row r="34" spans="14:52" ht="12.75" customHeight="1" x14ac:dyDescent="0.2">
      <c r="N34" s="85"/>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7"/>
    </row>
    <row r="35" spans="14:52" ht="22.9" customHeight="1" x14ac:dyDescent="0.2">
      <c r="N35" s="85"/>
      <c r="O35" s="88"/>
      <c r="P35" s="88"/>
      <c r="Q35" s="107" t="str">
        <f>INDEX(g_lang_val,MATCH("tb_1_1",g_lang_key,0)) &amp; " 2"</f>
        <v>Tabel 2</v>
      </c>
      <c r="R35" s="88"/>
      <c r="S35" s="88"/>
      <c r="T35" s="88"/>
      <c r="U35" s="88"/>
      <c r="V35" s="88"/>
      <c r="W35" s="88"/>
      <c r="X35" s="88"/>
      <c r="Y35" s="88"/>
      <c r="Z35" s="88"/>
      <c r="AA35" s="88"/>
      <c r="AB35" s="88"/>
      <c r="AC35" s="88"/>
      <c r="AD35" s="88"/>
      <c r="AE35" s="88"/>
      <c r="AF35" s="88"/>
      <c r="AG35" s="88"/>
      <c r="AH35" s="88"/>
      <c r="AI35" s="88"/>
      <c r="AJ35" s="88"/>
      <c r="AK35" s="88"/>
      <c r="AL35" s="88" t="s">
        <v>117</v>
      </c>
      <c r="AM35" s="88"/>
      <c r="AN35" s="88"/>
      <c r="AO35" s="88"/>
      <c r="AP35" s="88"/>
      <c r="AQ35" s="88"/>
      <c r="AR35" s="88"/>
      <c r="AS35" s="88"/>
      <c r="AT35" s="88"/>
      <c r="AU35" s="88"/>
      <c r="AV35" s="88"/>
      <c r="AW35" s="88"/>
      <c r="AX35" s="88"/>
      <c r="AY35" s="88"/>
      <c r="AZ35" s="87"/>
    </row>
    <row r="36" spans="14:52" ht="31.15" customHeight="1" x14ac:dyDescent="0.2">
      <c r="N36" s="85"/>
      <c r="O36" s="90"/>
      <c r="P36" s="90"/>
      <c r="Q36" s="108" t="str">
        <f>INDEX(g_lang_val,MATCH("tb_2_1_1",g_lang_key,0))</f>
        <v>Omkostningsbaserede projektudgifter</v>
      </c>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87"/>
    </row>
    <row r="37" spans="14:52" ht="12.75" customHeight="1" thickBot="1" x14ac:dyDescent="0.25">
      <c r="N37" s="85"/>
      <c r="O37" s="90"/>
      <c r="P37" s="90"/>
      <c r="Q37" s="93" t="str">
        <f ca="1">INDEX(g_lang_val,MATCH("tb_1_1_1_1",g_lang_key,0)) &amp;g_reporting_year&amp;INDEX(g_lang_val,MATCH("tb_1_1_1_2",g_lang_key,0))</f>
        <v>Mio. kr. 2026-pl</v>
      </c>
      <c r="R37" s="109"/>
      <c r="S37" s="94" t="str">
        <f>INDEX(g_lang_val,MATCH("le_2_2",g_lang_key,0))</f>
        <v xml:space="preserve">Total </v>
      </c>
      <c r="T37" s="110">
        <f ca="1">Leverancer!AU114</f>
        <v>2026</v>
      </c>
      <c r="U37" s="110">
        <f ca="1">Leverancer!AV114</f>
        <v>2027</v>
      </c>
      <c r="V37" s="110">
        <f ca="1">Leverancer!AW114</f>
        <v>2028</v>
      </c>
      <c r="W37" s="110">
        <f ca="1">Leverancer!AX114</f>
        <v>2029</v>
      </c>
      <c r="X37" s="110" t="str">
        <f ca="1">Leverancer!AY114</f>
        <v/>
      </c>
      <c r="Y37" s="110" t="str">
        <f ca="1">Leverancer!AZ114</f>
        <v/>
      </c>
      <c r="Z37" s="110" t="str">
        <f ca="1">Leverancer!BA114</f>
        <v/>
      </c>
      <c r="AA37" s="110" t="str">
        <f ca="1">Leverancer!BB114</f>
        <v/>
      </c>
      <c r="AB37" s="110" t="str">
        <f ca="1">Leverancer!BC114</f>
        <v/>
      </c>
      <c r="AC37" s="110" t="str">
        <f ca="1">Leverancer!BD114</f>
        <v/>
      </c>
      <c r="AD37" s="110" t="str">
        <f ca="1">Leverancer!BE114</f>
        <v/>
      </c>
      <c r="AE37" s="110" t="str">
        <f ca="1">Leverancer!BF114</f>
        <v/>
      </c>
      <c r="AF37" s="110" t="str">
        <f ca="1">Leverancer!BG114</f>
        <v/>
      </c>
      <c r="AG37" s="110" t="str">
        <f ca="1">Leverancer!BH114</f>
        <v/>
      </c>
      <c r="AH37" s="110" t="str">
        <f ca="1">Leverancer!BI114</f>
        <v/>
      </c>
      <c r="AI37" s="110" t="str">
        <f ca="1">Leverancer!BJ114</f>
        <v/>
      </c>
      <c r="AJ37" s="110" t="str">
        <f ca="1">Leverancer!BK114</f>
        <v/>
      </c>
      <c r="AK37" s="110" t="str">
        <f ca="1">Leverancer!BL114</f>
        <v/>
      </c>
      <c r="AL37" s="110" t="str">
        <f ca="1">Leverancer!BM114</f>
        <v/>
      </c>
      <c r="AM37" s="110" t="str">
        <f ca="1">Leverancer!BN114</f>
        <v/>
      </c>
      <c r="AN37" s="110" t="str">
        <f ca="1">Leverancer!BO114</f>
        <v/>
      </c>
      <c r="AO37" s="110" t="str">
        <f ca="1">Leverancer!BP114</f>
        <v/>
      </c>
      <c r="AP37" s="110" t="str">
        <f ca="1">Leverancer!BQ114</f>
        <v/>
      </c>
      <c r="AQ37" s="110" t="str">
        <f ca="1">Leverancer!BR114</f>
        <v/>
      </c>
      <c r="AR37" s="110" t="str">
        <f ca="1">Leverancer!BS114</f>
        <v/>
      </c>
      <c r="AS37" s="110" t="str">
        <f ca="1">Leverancer!BT114</f>
        <v/>
      </c>
      <c r="AT37" s="110" t="str">
        <f ca="1">Leverancer!BU114</f>
        <v/>
      </c>
      <c r="AU37" s="110" t="str">
        <f ca="1">Leverancer!BV114</f>
        <v/>
      </c>
      <c r="AV37" s="110" t="str">
        <f ca="1">Leverancer!BW114</f>
        <v/>
      </c>
      <c r="AW37" s="110" t="str">
        <f ca="1">Leverancer!BX114</f>
        <v/>
      </c>
      <c r="AX37" s="90"/>
      <c r="AY37" s="90"/>
      <c r="AZ37" s="87"/>
    </row>
    <row r="38" spans="14:52" ht="12.75" customHeight="1" thickTop="1" x14ac:dyDescent="0.2">
      <c r="N38" s="85"/>
      <c r="O38" s="90"/>
      <c r="P38" s="90"/>
      <c r="Q38" s="111" t="str">
        <f>INDEX(g_lang_val,MATCH("tb_2_1_2",g_lang_key,0))</f>
        <v>Aktiverbare projektudgifter, afskrivninger</v>
      </c>
      <c r="R38" s="112"/>
      <c r="S38" s="113">
        <f ca="1">SUM(T38:BG38)</f>
        <v>0</v>
      </c>
      <c r="T38" s="114">
        <f t="shared" ref="T38:AW38" ca="1" si="0">IF(T37="","",T160+T165+T170+T175+T180+T185+T190+T195+T200+T205+T210+T215+T220+T225+T230+T235+T240+T245+T250+T255)</f>
        <v>0</v>
      </c>
      <c r="U38" s="114">
        <f t="shared" ca="1" si="0"/>
        <v>0</v>
      </c>
      <c r="V38" s="114">
        <f t="shared" ca="1" si="0"/>
        <v>0</v>
      </c>
      <c r="W38" s="114">
        <f t="shared" ca="1" si="0"/>
        <v>0</v>
      </c>
      <c r="X38" s="114" t="str">
        <f t="shared" ca="1" si="0"/>
        <v/>
      </c>
      <c r="Y38" s="114" t="str">
        <f t="shared" ca="1" si="0"/>
        <v/>
      </c>
      <c r="Z38" s="114" t="str">
        <f t="shared" ca="1" si="0"/>
        <v/>
      </c>
      <c r="AA38" s="114" t="str">
        <f t="shared" ca="1" si="0"/>
        <v/>
      </c>
      <c r="AB38" s="114" t="str">
        <f t="shared" ca="1" si="0"/>
        <v/>
      </c>
      <c r="AC38" s="114" t="str">
        <f t="shared" ca="1" si="0"/>
        <v/>
      </c>
      <c r="AD38" s="114" t="str">
        <f t="shared" ca="1" si="0"/>
        <v/>
      </c>
      <c r="AE38" s="114" t="str">
        <f t="shared" ca="1" si="0"/>
        <v/>
      </c>
      <c r="AF38" s="114" t="str">
        <f t="shared" ca="1" si="0"/>
        <v/>
      </c>
      <c r="AG38" s="114" t="str">
        <f t="shared" ca="1" si="0"/>
        <v/>
      </c>
      <c r="AH38" s="114" t="str">
        <f t="shared" ca="1" si="0"/>
        <v/>
      </c>
      <c r="AI38" s="114" t="str">
        <f t="shared" ca="1" si="0"/>
        <v/>
      </c>
      <c r="AJ38" s="114" t="str">
        <f t="shared" ca="1" si="0"/>
        <v/>
      </c>
      <c r="AK38" s="114" t="str">
        <f t="shared" ca="1" si="0"/>
        <v/>
      </c>
      <c r="AL38" s="114" t="str">
        <f t="shared" ca="1" si="0"/>
        <v/>
      </c>
      <c r="AM38" s="114" t="str">
        <f t="shared" ca="1" si="0"/>
        <v/>
      </c>
      <c r="AN38" s="114" t="str">
        <f t="shared" ca="1" si="0"/>
        <v/>
      </c>
      <c r="AO38" s="114" t="str">
        <f t="shared" ca="1" si="0"/>
        <v/>
      </c>
      <c r="AP38" s="114" t="str">
        <f t="shared" ca="1" si="0"/>
        <v/>
      </c>
      <c r="AQ38" s="114" t="str">
        <f t="shared" ca="1" si="0"/>
        <v/>
      </c>
      <c r="AR38" s="114" t="str">
        <f t="shared" ca="1" si="0"/>
        <v/>
      </c>
      <c r="AS38" s="114" t="str">
        <f t="shared" ca="1" si="0"/>
        <v/>
      </c>
      <c r="AT38" s="114" t="str">
        <f t="shared" ca="1" si="0"/>
        <v/>
      </c>
      <c r="AU38" s="114" t="str">
        <f t="shared" ca="1" si="0"/>
        <v/>
      </c>
      <c r="AV38" s="114" t="str">
        <f t="shared" ca="1" si="0"/>
        <v/>
      </c>
      <c r="AW38" s="114" t="str">
        <f t="shared" ca="1" si="0"/>
        <v/>
      </c>
      <c r="AX38" s="90"/>
      <c r="AY38" s="90"/>
      <c r="AZ38" s="87"/>
    </row>
    <row r="39" spans="14:52" ht="12.75" customHeight="1" x14ac:dyDescent="0.2">
      <c r="N39" s="85"/>
      <c r="O39" s="90"/>
      <c r="P39" s="90"/>
      <c r="Q39" s="111" t="str">
        <f>INDEX(g_lang_val,MATCH("tb_2_1_3",g_lang_key,0))</f>
        <v>Ikke-aktiverbare projektudgifter</v>
      </c>
      <c r="R39" s="112"/>
      <c r="S39" s="113">
        <f ca="1">SUM(T39:BG39)</f>
        <v>0</v>
      </c>
      <c r="T39" s="114">
        <f ca="1">IF(T57="","",SUMPRODUCT(--(Leverancer!$C$28:$C$88&gt;0),Leverancer!AU$28:AU$88)*Leverancer!AU96/1000-SUMPRODUCT(--(Leverancer!$C$28:$C$88&gt;2),Leverancer!AU$28:AU$88,Leverancer!$AR$28:$AR$88)*Leverancer!AU96/1000+T40)</f>
        <v>0</v>
      </c>
      <c r="U39" s="114">
        <f ca="1">IF(U57="","",SUMPRODUCT(--(Leverancer!$C$28:$C$88&gt;0),Leverancer!AV$28:AV$88)*Leverancer!AV96/1000-SUMPRODUCT(--(Leverancer!$C$28:$C$88&gt;2),Leverancer!AV$28:AV$88,Leverancer!$AR$28:$AR$88)*Leverancer!AV96/1000+U40)</f>
        <v>0</v>
      </c>
      <c r="V39" s="114">
        <f ca="1">IF(V57="","",SUMPRODUCT(--(Leverancer!$C$28:$C$88&gt;0),Leverancer!AW$28:AW$88)*Leverancer!AW96/1000-SUMPRODUCT(--(Leverancer!$C$28:$C$88&gt;2),Leverancer!AW$28:AW$88,Leverancer!$AR$28:$AR$88)*Leverancer!AW96/1000+V40)</f>
        <v>0</v>
      </c>
      <c r="W39" s="114">
        <f ca="1">IF(W57="","",SUMPRODUCT(--(Leverancer!$C$28:$C$88&gt;0),Leverancer!AX$28:AX$88)*Leverancer!AX96/1000-SUMPRODUCT(--(Leverancer!$C$28:$C$88&gt;2),Leverancer!AX$28:AX$88,Leverancer!$AR$28:$AR$88)*Leverancer!AX96/1000+W40)</f>
        <v>0</v>
      </c>
      <c r="X39" s="114" t="str">
        <f ca="1">IF(X57="","",SUMPRODUCT(--(Leverancer!$C$28:$C$88&gt;0),Leverancer!AY$28:AY$88)*Leverancer!AY96/1000-SUMPRODUCT(--(Leverancer!$C$28:$C$88&gt;2),Leverancer!AY$28:AY$88,Leverancer!$AR$28:$AR$88)*Leverancer!AY96/1000+X40)</f>
        <v/>
      </c>
      <c r="Y39" s="114" t="str">
        <f ca="1">IF(Y57="","",SUMPRODUCT(--(Leverancer!$C$28:$C$88&gt;0),Leverancer!AZ$28:AZ$88)*Leverancer!AZ96/1000-SUMPRODUCT(--(Leverancer!$C$28:$C$88&gt;2),Leverancer!AZ$28:AZ$88,Leverancer!$AR$28:$AR$88)*Leverancer!AZ96/1000+Y40)</f>
        <v/>
      </c>
      <c r="Z39" s="114" t="str">
        <f ca="1">IF(Z57="","",SUMPRODUCT(--(Leverancer!$C$28:$C$88&gt;0),Leverancer!BA$28:BA$88)*Leverancer!BA96/1000-SUMPRODUCT(--(Leverancer!$C$28:$C$88&gt;2),Leverancer!BA$28:BA$88,Leverancer!$AR$28:$AR$88)*Leverancer!BA96/1000+Z40)</f>
        <v/>
      </c>
      <c r="AA39" s="114" t="str">
        <f ca="1">IF(AA57="","",SUMPRODUCT(--(Leverancer!$C$28:$C$88&gt;0),Leverancer!BB$28:BB$88)*Leverancer!BB96/1000-SUMPRODUCT(--(Leverancer!$C$28:$C$88&gt;2),Leverancer!BB$28:BB$88,Leverancer!$AR$28:$AR$88)*Leverancer!BB96/1000+AA40)</f>
        <v/>
      </c>
      <c r="AB39" s="114" t="str">
        <f ca="1">IF(AB57="","",SUMPRODUCT(--(Leverancer!$C$28:$C$88&gt;0),Leverancer!BC$28:BC$88)*Leverancer!BC96/1000-SUMPRODUCT(--(Leverancer!$C$28:$C$88&gt;2),Leverancer!BC$28:BC$88,Leverancer!$AR$28:$AR$88)*Leverancer!BC96/1000+AB40)</f>
        <v/>
      </c>
      <c r="AC39" s="114" t="str">
        <f ca="1">IF(AC57="","",SUMPRODUCT(--(Leverancer!$C$28:$C$88&gt;0),Leverancer!BD$28:BD$88)*Leverancer!BD96/1000-SUMPRODUCT(--(Leverancer!$C$28:$C$88&gt;2),Leverancer!BD$28:BD$88,Leverancer!$AR$28:$AR$88)*Leverancer!BD96/1000+AC40)</f>
        <v/>
      </c>
      <c r="AD39" s="114" t="str">
        <f ca="1">IF(AD57="","",SUMPRODUCT(--(Leverancer!$C$28:$C$88&gt;0),Leverancer!BE$28:BE$88)*Leverancer!BE96/1000-SUMPRODUCT(--(Leverancer!$C$28:$C$88&gt;2),Leverancer!BE$28:BE$88,Leverancer!$AR$28:$AR$88)*Leverancer!BE96/1000+AD40)</f>
        <v/>
      </c>
      <c r="AE39" s="114" t="str">
        <f ca="1">IF(AE57="","",SUMPRODUCT(--(Leverancer!$C$28:$C$88&gt;0),Leverancer!BF$28:BF$88)*Leverancer!BF96/1000-SUMPRODUCT(--(Leverancer!$C$28:$C$88&gt;2),Leverancer!BF$28:BF$88,Leverancer!$AR$28:$AR$88)*Leverancer!BF96/1000+AE40)</f>
        <v/>
      </c>
      <c r="AF39" s="114" t="str">
        <f ca="1">IF(AF57="","",SUMPRODUCT(--(Leverancer!$C$28:$C$88&gt;0),Leverancer!BG$28:BG$88)*Leverancer!BG96/1000-SUMPRODUCT(--(Leverancer!$C$28:$C$88&gt;2),Leverancer!BG$28:BG$88,Leverancer!$AR$28:$AR$88)*Leverancer!BG96/1000+AF40)</f>
        <v/>
      </c>
      <c r="AG39" s="114" t="str">
        <f ca="1">IF(AG57="","",SUMPRODUCT(--(Leverancer!$C$28:$C$88&gt;0),Leverancer!BH$28:BH$88)*Leverancer!BH96/1000-SUMPRODUCT(--(Leverancer!$C$28:$C$88&gt;2),Leverancer!BH$28:BH$88,Leverancer!$AR$28:$AR$88)*Leverancer!BH96/1000+AG40)</f>
        <v/>
      </c>
      <c r="AH39" s="114" t="str">
        <f ca="1">IF(AH57="","",SUMPRODUCT(--(Leverancer!$C$28:$C$88&gt;0),Leverancer!BI$28:BI$88)*Leverancer!BI96/1000-SUMPRODUCT(--(Leverancer!$C$28:$C$88&gt;2),Leverancer!BI$28:BI$88,Leverancer!$AR$28:$AR$88)*Leverancer!BI96/1000+AH40)</f>
        <v/>
      </c>
      <c r="AI39" s="114" t="str">
        <f ca="1">IF(AI57="","",SUMPRODUCT(--(Leverancer!$C$28:$C$88&gt;0),Leverancer!BJ$28:BJ$88)*Leverancer!BJ96/1000-SUMPRODUCT(--(Leverancer!$C$28:$C$88&gt;2),Leverancer!BJ$28:BJ$88,Leverancer!$AR$28:$AR$88)*Leverancer!BJ96/1000+AI40)</f>
        <v/>
      </c>
      <c r="AJ39" s="114" t="str">
        <f ca="1">IF(AJ57="","",SUMPRODUCT(--(Leverancer!$C$28:$C$88&gt;0),Leverancer!BK$28:BK$88)*Leverancer!BK96/1000-SUMPRODUCT(--(Leverancer!$C$28:$C$88&gt;2),Leverancer!BK$28:BK$88,Leverancer!$AR$28:$AR$88)*Leverancer!BK96/1000+AJ40)</f>
        <v/>
      </c>
      <c r="AK39" s="114" t="str">
        <f ca="1">IF(AK57="","",SUMPRODUCT(--(Leverancer!$C$28:$C$88&gt;0),Leverancer!BL$28:BL$88)*Leverancer!BL96/1000-SUMPRODUCT(--(Leverancer!$C$28:$C$88&gt;2),Leverancer!BL$28:BL$88,Leverancer!$AR$28:$AR$88)*Leverancer!BL96/1000+AK40)</f>
        <v/>
      </c>
      <c r="AL39" s="114" t="str">
        <f ca="1">IF(AL57="","",SUMPRODUCT(--(Leverancer!$C$28:$C$88&gt;0),Leverancer!BM$28:BM$88)*Leverancer!BM96/1000-SUMPRODUCT(--(Leverancer!$C$28:$C$88&gt;2),Leverancer!BM$28:BM$88,Leverancer!$AR$28:$AR$88)*Leverancer!BM96/1000+AL40)</f>
        <v/>
      </c>
      <c r="AM39" s="114" t="str">
        <f ca="1">IF(AM57="","",SUMPRODUCT(--(Leverancer!$C$28:$C$88&gt;0),Leverancer!BN$28:BN$88)*Leverancer!BN96/1000-SUMPRODUCT(--(Leverancer!$C$28:$C$88&gt;2),Leverancer!BN$28:BN$88,Leverancer!$AR$28:$AR$88)*Leverancer!BN96/1000+AM40)</f>
        <v/>
      </c>
      <c r="AN39" s="114" t="str">
        <f ca="1">IF(AN57="","",SUMPRODUCT(--(Leverancer!$C$28:$C$88&gt;0),Leverancer!BO$28:BO$88)*Leverancer!BO96/1000-SUMPRODUCT(--(Leverancer!$C$28:$C$88&gt;2),Leverancer!BO$28:BO$88,Leverancer!$AR$28:$AR$88)*Leverancer!BO96/1000+AN40)</f>
        <v/>
      </c>
      <c r="AO39" s="114" t="str">
        <f ca="1">IF(AO57="","",SUMPRODUCT(--(Leverancer!$C$28:$C$88&gt;0),Leverancer!BP$28:BP$88)*Leverancer!BP96/1000-SUMPRODUCT(--(Leverancer!$C$28:$C$88&gt;2),Leverancer!BP$28:BP$88,Leverancer!$AR$28:$AR$88)*Leverancer!BP96/1000+AO40)</f>
        <v/>
      </c>
      <c r="AP39" s="114" t="str">
        <f ca="1">IF(AP57="","",SUMPRODUCT(--(Leverancer!$C$28:$C$88&gt;0),Leverancer!BQ$28:BQ$88)*Leverancer!BQ96/1000-SUMPRODUCT(--(Leverancer!$C$28:$C$88&gt;2),Leverancer!BQ$28:BQ$88,Leverancer!$AR$28:$AR$88)*Leverancer!BQ96/1000+AP40)</f>
        <v/>
      </c>
      <c r="AQ39" s="114" t="str">
        <f ca="1">IF(AQ57="","",SUMPRODUCT(--(Leverancer!$C$28:$C$88&gt;0),Leverancer!BR$28:BR$88)*Leverancer!BR96/1000-SUMPRODUCT(--(Leverancer!$C$28:$C$88&gt;2),Leverancer!BR$28:BR$88,Leverancer!$AR$28:$AR$88)*Leverancer!BR96/1000+AQ40)</f>
        <v/>
      </c>
      <c r="AR39" s="114" t="str">
        <f ca="1">IF(AR57="","",SUMPRODUCT(--(Leverancer!$C$28:$C$88&gt;0),Leverancer!BS$28:BS$88)*Leverancer!BS96/1000-SUMPRODUCT(--(Leverancer!$C$28:$C$88&gt;2),Leverancer!BS$28:BS$88,Leverancer!$AR$28:$AR$88)*Leverancer!BS96/1000+AR40)</f>
        <v/>
      </c>
      <c r="AS39" s="114" t="str">
        <f ca="1">IF(AS57="","",SUMPRODUCT(--(Leverancer!$C$28:$C$88&gt;0),Leverancer!BT$28:BT$88)*Leverancer!BT96/1000-SUMPRODUCT(--(Leverancer!$C$28:$C$88&gt;2),Leverancer!BT$28:BT$88,Leverancer!$AR$28:$AR$88)*Leverancer!BT96/1000+AS40)</f>
        <v/>
      </c>
      <c r="AT39" s="114" t="str">
        <f ca="1">IF(AT57="","",SUMPRODUCT(--(Leverancer!$C$28:$C$88&gt;0),Leverancer!BU$28:BU$88)*Leverancer!BU96/1000-SUMPRODUCT(--(Leverancer!$C$28:$C$88&gt;2),Leverancer!BU$28:BU$88,Leverancer!$AR$28:$AR$88)*Leverancer!BU96/1000+AT40)</f>
        <v/>
      </c>
      <c r="AU39" s="114" t="str">
        <f ca="1">IF(AU57="","",SUMPRODUCT(--(Leverancer!$C$28:$C$88&gt;0),Leverancer!BV$28:BV$88)*Leverancer!BV96/1000-SUMPRODUCT(--(Leverancer!$C$28:$C$88&gt;2),Leverancer!BV$28:BV$88,Leverancer!$AR$28:$AR$88)*Leverancer!BV96/1000+AU40)</f>
        <v/>
      </c>
      <c r="AV39" s="114" t="str">
        <f ca="1">IF(AV57="","",SUMPRODUCT(--(Leverancer!$C$28:$C$88&gt;0),Leverancer!BW$28:BW$88)*Leverancer!BW96/1000-SUMPRODUCT(--(Leverancer!$C$28:$C$88&gt;2),Leverancer!BW$28:BW$88,Leverancer!$AR$28:$AR$88)*Leverancer!BW96/1000+AV40)</f>
        <v/>
      </c>
      <c r="AW39" s="114" t="str">
        <f ca="1">IF(AW57="","",SUMPRODUCT(--(Leverancer!$C$28:$C$88&gt;0),Leverancer!BX$28:BX$88)*Leverancer!BX96/1000-SUMPRODUCT(--(Leverancer!$C$28:$C$88&gt;2),Leverancer!BX$28:BX$88,Leverancer!$AR$28:$AR$88)*Leverancer!BX96/1000+AW40)</f>
        <v/>
      </c>
      <c r="AX39" s="90"/>
      <c r="AY39" s="90"/>
      <c r="AZ39" s="87"/>
    </row>
    <row r="40" spans="14:52" ht="12.75" customHeight="1" x14ac:dyDescent="0.2">
      <c r="N40" s="85"/>
      <c r="O40" s="90"/>
      <c r="P40" s="90"/>
      <c r="Q40" s="98" t="str">
        <f>INDEX(g_lang_val,MATCH("le_2_5",g_lang_key,0))</f>
        <v>Risikopulje</v>
      </c>
      <c r="R40" s="116"/>
      <c r="S40" s="113">
        <f t="shared" ref="S40:S43" ca="1" si="1">SUM(T40:BG40)</f>
        <v>0</v>
      </c>
      <c r="T40" s="114">
        <f ca="1">IF(T$57="","",INDEX(Leverancer!AU104:BX104,1)/1000)</f>
        <v>0</v>
      </c>
      <c r="U40" s="114">
        <f ca="1">IF(U$57="","",INDEX(Leverancer!AV104:BY104,1)/1000)</f>
        <v>0</v>
      </c>
      <c r="V40" s="114">
        <f ca="1">IF(V$57="","",INDEX(Leverancer!AW104:BZ104,1)/1000)</f>
        <v>0</v>
      </c>
      <c r="W40" s="114">
        <f ca="1">IF(W$57="","",INDEX(Leverancer!AX104:CA104,1)/1000)</f>
        <v>0</v>
      </c>
      <c r="X40" s="114" t="str">
        <f ca="1">IF(X$57="","",INDEX(Leverancer!AY104:CB104,1)/1000)</f>
        <v/>
      </c>
      <c r="Y40" s="114" t="str">
        <f ca="1">IF(Y$57="","",INDEX(Leverancer!AZ104:CC104,1)/1000)</f>
        <v/>
      </c>
      <c r="Z40" s="114" t="str">
        <f ca="1">IF(Z$57="","",INDEX(Leverancer!BA104:CD104,1)/1000)</f>
        <v/>
      </c>
      <c r="AA40" s="114" t="str">
        <f ca="1">IF(AA$57="","",INDEX(Leverancer!BB104:CE104,1)/1000)</f>
        <v/>
      </c>
      <c r="AB40" s="114" t="str">
        <f ca="1">IF(AB$57="","",INDEX(Leverancer!BC104:CF104,1)/1000)</f>
        <v/>
      </c>
      <c r="AC40" s="114" t="str">
        <f ca="1">IF(AC$57="","",INDEX(Leverancer!BD104:CG104,1)/1000)</f>
        <v/>
      </c>
      <c r="AD40" s="114" t="str">
        <f ca="1">IF(AD$57="","",INDEX(Leverancer!BE104:CH104,1)/1000)</f>
        <v/>
      </c>
      <c r="AE40" s="114" t="str">
        <f ca="1">IF(AE$57="","",INDEX(Leverancer!BF104:CI104,1)/1000)</f>
        <v/>
      </c>
      <c r="AF40" s="114" t="str">
        <f ca="1">IF(AF$57="","",INDEX(Leverancer!BG104:CJ104,1)/1000)</f>
        <v/>
      </c>
      <c r="AG40" s="114" t="str">
        <f ca="1">IF(AG$57="","",INDEX(Leverancer!BH104:CK104,1)/1000)</f>
        <v/>
      </c>
      <c r="AH40" s="114" t="str">
        <f ca="1">IF(AH$57="","",INDEX(Leverancer!BI104:CL104,1)/1000)</f>
        <v/>
      </c>
      <c r="AI40" s="114" t="str">
        <f ca="1">IF(AI$57="","",INDEX(Leverancer!BJ104:CM104,1)/1000)</f>
        <v/>
      </c>
      <c r="AJ40" s="114" t="str">
        <f ca="1">IF(AJ$57="","",INDEX(Leverancer!BK104:CN104,1)/1000)</f>
        <v/>
      </c>
      <c r="AK40" s="114" t="str">
        <f ca="1">IF(AK$57="","",INDEX(Leverancer!BL104:CO104,1)/1000)</f>
        <v/>
      </c>
      <c r="AL40" s="114" t="str">
        <f ca="1">IF(AL$57="","",INDEX(Leverancer!BM104:CP104,1)/1000)</f>
        <v/>
      </c>
      <c r="AM40" s="114" t="str">
        <f ca="1">IF(AM$57="","",INDEX(Leverancer!BN104:CQ104,1)/1000)</f>
        <v/>
      </c>
      <c r="AN40" s="114" t="str">
        <f ca="1">IF(AN$57="","",INDEX(Leverancer!BO104:CR104,1)/1000)</f>
        <v/>
      </c>
      <c r="AO40" s="114" t="str">
        <f ca="1">IF(AO$57="","",INDEX(Leverancer!BP104:CS104,1)/1000)</f>
        <v/>
      </c>
      <c r="AP40" s="114" t="str">
        <f ca="1">IF(AP$57="","",INDEX(Leverancer!BQ104:CT104,1)/1000)</f>
        <v/>
      </c>
      <c r="AQ40" s="114" t="str">
        <f ca="1">IF(AQ$57="","",INDEX(Leverancer!BR104:CU104,1)/1000)</f>
        <v/>
      </c>
      <c r="AR40" s="114" t="str">
        <f ca="1">IF(AR$57="","",INDEX(Leverancer!BS104:CV104,1)/1000)</f>
        <v/>
      </c>
      <c r="AS40" s="114" t="str">
        <f ca="1">IF(AS$57="","",INDEX(Leverancer!BT104:CW104,1)/1000)</f>
        <v/>
      </c>
      <c r="AT40" s="114" t="str">
        <f ca="1">IF(AT$57="","",INDEX(Leverancer!BU104:CX104,1)/1000)</f>
        <v/>
      </c>
      <c r="AU40" s="114" t="str">
        <f ca="1">IF(AU$57="","",INDEX(Leverancer!BV104:CY104,1)/1000)</f>
        <v/>
      </c>
      <c r="AV40" s="114" t="str">
        <f ca="1">IF(AV$57="","",INDEX(Leverancer!BW104:CZ104,1)/1000)</f>
        <v/>
      </c>
      <c r="AW40" s="114" t="str">
        <f ca="1">IF(AW57="","",INDEX(Leverancer!BX:BX,64)/1000)</f>
        <v/>
      </c>
      <c r="AX40" s="90"/>
      <c r="AY40" s="90"/>
      <c r="AZ40" s="87"/>
    </row>
    <row r="41" spans="14:52" ht="12.75" customHeight="1" x14ac:dyDescent="0.2">
      <c r="N41" s="85"/>
      <c r="O41" s="90"/>
      <c r="P41" s="90"/>
      <c r="Q41" s="117" t="str">
        <f>INDEX(g_lang_val,MATCH("tb_2_1_4",g_lang_key,0))</f>
        <v>Total, ekskl. renter</v>
      </c>
      <c r="R41" s="118"/>
      <c r="S41" s="119">
        <f ca="1">SUM(T41:BG41)</f>
        <v>0</v>
      </c>
      <c r="T41" s="120">
        <f ca="1">IF(T37="","",SUM(T38:T39))</f>
        <v>0</v>
      </c>
      <c r="U41" s="120">
        <f ca="1">IF(U37="","",SUM(U38:U39))</f>
        <v>0</v>
      </c>
      <c r="V41" s="120">
        <f ca="1">IF(V37="","",SUM(V38:V39))</f>
        <v>0</v>
      </c>
      <c r="W41" s="120">
        <f ca="1">IF(W37="","",SUM(W38:W39))</f>
        <v>0</v>
      </c>
      <c r="X41" s="120" t="str">
        <f t="shared" ref="X41:AC41" ca="1" si="2">IF(X37="","",SUM(X38:X39))</f>
        <v/>
      </c>
      <c r="Y41" s="120" t="str">
        <f t="shared" ca="1" si="2"/>
        <v/>
      </c>
      <c r="Z41" s="120" t="str">
        <f t="shared" ca="1" si="2"/>
        <v/>
      </c>
      <c r="AA41" s="120" t="str">
        <f t="shared" ca="1" si="2"/>
        <v/>
      </c>
      <c r="AB41" s="120" t="str">
        <f t="shared" ca="1" si="2"/>
        <v/>
      </c>
      <c r="AC41" s="120" t="str">
        <f t="shared" ca="1" si="2"/>
        <v/>
      </c>
      <c r="AD41" s="120" t="str">
        <f t="shared" ref="AD41:AW41" ca="1" si="3">IF(AD37="","",SUM(AD38:AD39))</f>
        <v/>
      </c>
      <c r="AE41" s="120" t="str">
        <f t="shared" ca="1" si="3"/>
        <v/>
      </c>
      <c r="AF41" s="120" t="str">
        <f t="shared" ca="1" si="3"/>
        <v/>
      </c>
      <c r="AG41" s="120" t="str">
        <f t="shared" ca="1" si="3"/>
        <v/>
      </c>
      <c r="AH41" s="120" t="str">
        <f t="shared" ca="1" si="3"/>
        <v/>
      </c>
      <c r="AI41" s="120" t="str">
        <f t="shared" ca="1" si="3"/>
        <v/>
      </c>
      <c r="AJ41" s="120" t="str">
        <f t="shared" ca="1" si="3"/>
        <v/>
      </c>
      <c r="AK41" s="120" t="str">
        <f t="shared" ca="1" si="3"/>
        <v/>
      </c>
      <c r="AL41" s="120" t="str">
        <f t="shared" ca="1" si="3"/>
        <v/>
      </c>
      <c r="AM41" s="120" t="str">
        <f t="shared" ca="1" si="3"/>
        <v/>
      </c>
      <c r="AN41" s="120" t="str">
        <f t="shared" ca="1" si="3"/>
        <v/>
      </c>
      <c r="AO41" s="120" t="str">
        <f t="shared" ca="1" si="3"/>
        <v/>
      </c>
      <c r="AP41" s="120" t="str">
        <f t="shared" ca="1" si="3"/>
        <v/>
      </c>
      <c r="AQ41" s="120" t="str">
        <f t="shared" ca="1" si="3"/>
        <v/>
      </c>
      <c r="AR41" s="120" t="str">
        <f t="shared" ca="1" si="3"/>
        <v/>
      </c>
      <c r="AS41" s="120" t="str">
        <f t="shared" ca="1" si="3"/>
        <v/>
      </c>
      <c r="AT41" s="120" t="str">
        <f t="shared" ca="1" si="3"/>
        <v/>
      </c>
      <c r="AU41" s="120" t="str">
        <f t="shared" ca="1" si="3"/>
        <v/>
      </c>
      <c r="AV41" s="120" t="str">
        <f t="shared" ca="1" si="3"/>
        <v/>
      </c>
      <c r="AW41" s="120" t="str">
        <f t="shared" ca="1" si="3"/>
        <v/>
      </c>
      <c r="AX41" s="90"/>
      <c r="AY41" s="90"/>
      <c r="AZ41" s="87"/>
    </row>
    <row r="42" spans="14:52" ht="12.75" customHeight="1" x14ac:dyDescent="0.2">
      <c r="N42" s="85"/>
      <c r="O42" s="90"/>
      <c r="P42" s="90"/>
      <c r="Q42" s="111" t="str">
        <f>INDEX(g_lang_val,MATCH("tb_2_1_5",g_lang_key,0))</f>
        <v>Renter</v>
      </c>
      <c r="R42" s="116"/>
      <c r="S42" s="113">
        <f t="shared" ca="1" si="1"/>
        <v>0</v>
      </c>
      <c r="T42" s="114">
        <f ca="1">IF(T37="","",T162+T167+T172+T177+T182+T187+T192+T197+T202+T207+T212+T217+T222+T227+T232+T237+T242+T247+T252+T257)</f>
        <v>0</v>
      </c>
      <c r="U42" s="114">
        <f t="shared" ref="U42:AW42" ca="1" si="4">IF(U37="","",U162+U167+U172+U177+U182+U187+U192+U197+U202+U207+U212+U217+U222+U227+U232+U237+U242+U247+U252+U257)</f>
        <v>0</v>
      </c>
      <c r="V42" s="114">
        <f t="shared" ca="1" si="4"/>
        <v>0</v>
      </c>
      <c r="W42" s="114">
        <f t="shared" ca="1" si="4"/>
        <v>0</v>
      </c>
      <c r="X42" s="114" t="str">
        <f t="shared" ca="1" si="4"/>
        <v/>
      </c>
      <c r="Y42" s="114" t="str">
        <f t="shared" ca="1" si="4"/>
        <v/>
      </c>
      <c r="Z42" s="114" t="str">
        <f t="shared" ca="1" si="4"/>
        <v/>
      </c>
      <c r="AA42" s="114" t="str">
        <f t="shared" ca="1" si="4"/>
        <v/>
      </c>
      <c r="AB42" s="114" t="str">
        <f t="shared" ca="1" si="4"/>
        <v/>
      </c>
      <c r="AC42" s="114" t="str">
        <f t="shared" ca="1" si="4"/>
        <v/>
      </c>
      <c r="AD42" s="114" t="str">
        <f t="shared" ca="1" si="4"/>
        <v/>
      </c>
      <c r="AE42" s="114" t="str">
        <f t="shared" ca="1" si="4"/>
        <v/>
      </c>
      <c r="AF42" s="114" t="str">
        <f t="shared" ca="1" si="4"/>
        <v/>
      </c>
      <c r="AG42" s="114" t="str">
        <f t="shared" ca="1" si="4"/>
        <v/>
      </c>
      <c r="AH42" s="114" t="str">
        <f t="shared" ca="1" si="4"/>
        <v/>
      </c>
      <c r="AI42" s="114" t="str">
        <f t="shared" ca="1" si="4"/>
        <v/>
      </c>
      <c r="AJ42" s="114" t="str">
        <f t="shared" ca="1" si="4"/>
        <v/>
      </c>
      <c r="AK42" s="114" t="str">
        <f t="shared" ca="1" si="4"/>
        <v/>
      </c>
      <c r="AL42" s="114" t="str">
        <f t="shared" ca="1" si="4"/>
        <v/>
      </c>
      <c r="AM42" s="114" t="str">
        <f t="shared" ca="1" si="4"/>
        <v/>
      </c>
      <c r="AN42" s="114" t="str">
        <f t="shared" ca="1" si="4"/>
        <v/>
      </c>
      <c r="AO42" s="114" t="str">
        <f t="shared" ca="1" si="4"/>
        <v/>
      </c>
      <c r="AP42" s="114" t="str">
        <f t="shared" ca="1" si="4"/>
        <v/>
      </c>
      <c r="AQ42" s="114" t="str">
        <f t="shared" ca="1" si="4"/>
        <v/>
      </c>
      <c r="AR42" s="114" t="str">
        <f t="shared" ca="1" si="4"/>
        <v/>
      </c>
      <c r="AS42" s="114" t="str">
        <f t="shared" ca="1" si="4"/>
        <v/>
      </c>
      <c r="AT42" s="114" t="str">
        <f t="shared" ca="1" si="4"/>
        <v/>
      </c>
      <c r="AU42" s="114" t="str">
        <f t="shared" ca="1" si="4"/>
        <v/>
      </c>
      <c r="AV42" s="114" t="str">
        <f t="shared" ca="1" si="4"/>
        <v/>
      </c>
      <c r="AW42" s="114" t="str">
        <f t="shared" ca="1" si="4"/>
        <v/>
      </c>
      <c r="AX42" s="90"/>
      <c r="AY42" s="90"/>
      <c r="AZ42" s="200"/>
    </row>
    <row r="43" spans="14:52" ht="12.75" customHeight="1" x14ac:dyDescent="0.2">
      <c r="N43" s="85"/>
      <c r="O43" s="90"/>
      <c r="P43" s="90"/>
      <c r="Q43" s="117" t="str">
        <f>INDEX(g_lang_val,MATCH("tb_2_1_6",g_lang_key,0))</f>
        <v>Total, inkl. renter</v>
      </c>
      <c r="R43" s="118"/>
      <c r="S43" s="119">
        <f t="shared" ca="1" si="1"/>
        <v>0</v>
      </c>
      <c r="T43" s="120">
        <f ca="1">IF(T37="","",SUM(T41:T42))</f>
        <v>0</v>
      </c>
      <c r="U43" s="120">
        <f t="shared" ref="U43:AC43" ca="1" si="5">IF(U37="","",SUM(U41:U42))</f>
        <v>0</v>
      </c>
      <c r="V43" s="120">
        <f t="shared" ca="1" si="5"/>
        <v>0</v>
      </c>
      <c r="W43" s="120">
        <f t="shared" ca="1" si="5"/>
        <v>0</v>
      </c>
      <c r="X43" s="120" t="str">
        <f t="shared" ca="1" si="5"/>
        <v/>
      </c>
      <c r="Y43" s="120" t="str">
        <f t="shared" ca="1" si="5"/>
        <v/>
      </c>
      <c r="Z43" s="120" t="str">
        <f t="shared" ca="1" si="5"/>
        <v/>
      </c>
      <c r="AA43" s="120" t="str">
        <f t="shared" ca="1" si="5"/>
        <v/>
      </c>
      <c r="AB43" s="120" t="str">
        <f t="shared" ca="1" si="5"/>
        <v/>
      </c>
      <c r="AC43" s="120" t="str">
        <f t="shared" ca="1" si="5"/>
        <v/>
      </c>
      <c r="AD43" s="120" t="str">
        <f t="shared" ref="AD43:AW43" ca="1" si="6">IF(AD37="","",SUM(AD41:AD42))</f>
        <v/>
      </c>
      <c r="AE43" s="120" t="str">
        <f t="shared" ca="1" si="6"/>
        <v/>
      </c>
      <c r="AF43" s="120" t="str">
        <f t="shared" ca="1" si="6"/>
        <v/>
      </c>
      <c r="AG43" s="120" t="str">
        <f t="shared" ca="1" si="6"/>
        <v/>
      </c>
      <c r="AH43" s="120" t="str">
        <f t="shared" ca="1" si="6"/>
        <v/>
      </c>
      <c r="AI43" s="120" t="str">
        <f t="shared" ca="1" si="6"/>
        <v/>
      </c>
      <c r="AJ43" s="120" t="str">
        <f t="shared" ca="1" si="6"/>
        <v/>
      </c>
      <c r="AK43" s="120" t="str">
        <f t="shared" ca="1" si="6"/>
        <v/>
      </c>
      <c r="AL43" s="120" t="str">
        <f t="shared" ca="1" si="6"/>
        <v/>
      </c>
      <c r="AM43" s="120" t="str">
        <f t="shared" ca="1" si="6"/>
        <v/>
      </c>
      <c r="AN43" s="120" t="str">
        <f t="shared" ca="1" si="6"/>
        <v/>
      </c>
      <c r="AO43" s="120" t="str">
        <f t="shared" ca="1" si="6"/>
        <v/>
      </c>
      <c r="AP43" s="120" t="str">
        <f t="shared" ca="1" si="6"/>
        <v/>
      </c>
      <c r="AQ43" s="120" t="str">
        <f t="shared" ca="1" si="6"/>
        <v/>
      </c>
      <c r="AR43" s="120" t="str">
        <f t="shared" ca="1" si="6"/>
        <v/>
      </c>
      <c r="AS43" s="120" t="str">
        <f t="shared" ca="1" si="6"/>
        <v/>
      </c>
      <c r="AT43" s="120" t="str">
        <f t="shared" ca="1" si="6"/>
        <v/>
      </c>
      <c r="AU43" s="120" t="str">
        <f t="shared" ca="1" si="6"/>
        <v/>
      </c>
      <c r="AV43" s="120" t="str">
        <f t="shared" ca="1" si="6"/>
        <v/>
      </c>
      <c r="AW43" s="120" t="str">
        <f t="shared" ca="1" si="6"/>
        <v/>
      </c>
      <c r="AX43" s="90"/>
      <c r="AY43" s="90"/>
      <c r="AZ43" s="87"/>
    </row>
    <row r="44" spans="14:52" ht="12.75" customHeight="1" x14ac:dyDescent="0.2">
      <c r="N44" s="85"/>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87"/>
    </row>
    <row r="45" spans="14:52" ht="12" customHeight="1" x14ac:dyDescent="0.2">
      <c r="N45" s="8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87"/>
    </row>
    <row r="46" spans="14:52" ht="25.5" customHeight="1" x14ac:dyDescent="0.2">
      <c r="N46" s="85"/>
      <c r="O46" s="90"/>
      <c r="P46" s="90"/>
      <c r="Q46" s="107" t="str">
        <f>INDEX(g_lang_val,MATCH("tb_1_1",g_lang_key,0)) &amp; " 3"</f>
        <v>Tabel 3</v>
      </c>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90"/>
      <c r="AZ46" s="87"/>
    </row>
    <row r="47" spans="14:52" ht="25.5" customHeight="1" thickBot="1" x14ac:dyDescent="0.25">
      <c r="N47" s="85"/>
      <c r="O47" s="90"/>
      <c r="P47" s="90"/>
      <c r="Q47" s="108" t="str">
        <f>INDEX(g_lang_val,MATCH("tb_2_4_5",g_lang_key,0))</f>
        <v>Samlet driftsøkonomi</v>
      </c>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110"/>
      <c r="AZ47" s="87"/>
    </row>
    <row r="48" spans="14:52" ht="12.75" customHeight="1" thickTop="1" thickBot="1" x14ac:dyDescent="0.25">
      <c r="N48" s="85"/>
      <c r="O48" s="90"/>
      <c r="P48" s="90"/>
      <c r="Q48" s="93" t="str">
        <f ca="1">INDEX(g_lang_val,MATCH("tb_1_1_1_1",g_lang_key,0)) &amp;g_reporting_year&amp;INDEX(g_lang_val,MATCH("tb_1_1_1_2",g_lang_key,0))</f>
        <v>Mio. kr. 2026-pl</v>
      </c>
      <c r="R48" s="109"/>
      <c r="S48" s="94" t="str">
        <f>INDEX(g_lang_val,MATCH("le_2_2",g_lang_key,0))</f>
        <v xml:space="preserve">Total </v>
      </c>
      <c r="T48" s="110">
        <f ca="1">Leverancer!AU114</f>
        <v>2026</v>
      </c>
      <c r="U48" s="110">
        <f ca="1">Leverancer!AV114</f>
        <v>2027</v>
      </c>
      <c r="V48" s="110">
        <f ca="1">Leverancer!AW114</f>
        <v>2028</v>
      </c>
      <c r="W48" s="110">
        <f ca="1">Leverancer!AX114</f>
        <v>2029</v>
      </c>
      <c r="X48" s="110" t="str">
        <f ca="1">Leverancer!AY114</f>
        <v/>
      </c>
      <c r="Y48" s="110" t="str">
        <f ca="1">Leverancer!AZ114</f>
        <v/>
      </c>
      <c r="Z48" s="110" t="str">
        <f ca="1">Leverancer!BA114</f>
        <v/>
      </c>
      <c r="AA48" s="110" t="str">
        <f ca="1">Leverancer!BB114</f>
        <v/>
      </c>
      <c r="AB48" s="110" t="str">
        <f ca="1">Leverancer!BC114</f>
        <v/>
      </c>
      <c r="AC48" s="110" t="str">
        <f ca="1">Leverancer!BD114</f>
        <v/>
      </c>
      <c r="AD48" s="110" t="str">
        <f ca="1">Leverancer!BE114</f>
        <v/>
      </c>
      <c r="AE48" s="110" t="str">
        <f ca="1">Leverancer!BF114</f>
        <v/>
      </c>
      <c r="AF48" s="110" t="str">
        <f ca="1">Leverancer!BG114</f>
        <v/>
      </c>
      <c r="AG48" s="110" t="str">
        <f ca="1">Leverancer!BH114</f>
        <v/>
      </c>
      <c r="AH48" s="110" t="str">
        <f ca="1">Leverancer!BI114</f>
        <v/>
      </c>
      <c r="AI48" s="110" t="str">
        <f ca="1">Leverancer!BJ114</f>
        <v/>
      </c>
      <c r="AJ48" s="110" t="str">
        <f ca="1">Leverancer!BK114</f>
        <v/>
      </c>
      <c r="AK48" s="110" t="str">
        <f ca="1">Leverancer!BL114</f>
        <v/>
      </c>
      <c r="AL48" s="110" t="str">
        <f ca="1">Leverancer!BM114</f>
        <v/>
      </c>
      <c r="AM48" s="110" t="str">
        <f ca="1">Leverancer!BN114</f>
        <v/>
      </c>
      <c r="AN48" s="110" t="str">
        <f ca="1">Leverancer!BO114</f>
        <v/>
      </c>
      <c r="AO48" s="110" t="str">
        <f ca="1">Leverancer!BP114</f>
        <v/>
      </c>
      <c r="AP48" s="110" t="str">
        <f ca="1">Leverancer!BQ114</f>
        <v/>
      </c>
      <c r="AQ48" s="110" t="str">
        <f ca="1">Leverancer!BR114</f>
        <v/>
      </c>
      <c r="AR48" s="110" t="str">
        <f ca="1">Leverancer!BS114</f>
        <v/>
      </c>
      <c r="AS48" s="110" t="str">
        <f ca="1">Leverancer!BT114</f>
        <v/>
      </c>
      <c r="AT48" s="110" t="str">
        <f ca="1">Leverancer!BU114</f>
        <v/>
      </c>
      <c r="AU48" s="110" t="str">
        <f ca="1">Leverancer!BV114</f>
        <v/>
      </c>
      <c r="AV48" s="110" t="str">
        <f ca="1">Leverancer!BW114</f>
        <v/>
      </c>
      <c r="AW48" s="110" t="str">
        <f ca="1">Leverancer!BX114</f>
        <v/>
      </c>
      <c r="AX48" s="110"/>
      <c r="AY48" s="110"/>
      <c r="AZ48" s="87"/>
    </row>
    <row r="49" spans="2:52" ht="12.75" customHeight="1" thickTop="1" thickBot="1" x14ac:dyDescent="0.25">
      <c r="N49" s="85"/>
      <c r="O49" s="90"/>
      <c r="P49" s="90"/>
      <c r="Q49" s="111" t="str">
        <f>INDEX(g_lang_val,MATCH("le_2_8",g_lang_key,0))</f>
        <v>Driftsudgifter</v>
      </c>
      <c r="R49" s="116"/>
      <c r="S49" s="198">
        <f t="shared" ref="S49" ca="1" si="7">SUM(T49:BG49)</f>
        <v>0</v>
      </c>
      <c r="T49" s="114">
        <f ca="1">IF(T$48="","",Leverancer!AU144/1000)</f>
        <v>0</v>
      </c>
      <c r="U49" s="114">
        <f ca="1">IF(U$48="","",Leverancer!AV144/1000)</f>
        <v>0</v>
      </c>
      <c r="V49" s="114">
        <f ca="1">IF(V$48="","",Leverancer!AW144/1000)</f>
        <v>0</v>
      </c>
      <c r="W49" s="114">
        <f ca="1">IF(W$48="","",Leverancer!AX144/1000)</f>
        <v>0</v>
      </c>
      <c r="X49" s="114" t="str">
        <f ca="1">IF(X$48="","",Leverancer!AY144/1000)</f>
        <v/>
      </c>
      <c r="Y49" s="114" t="str">
        <f ca="1">IF(Y$48="","",Leverancer!AZ144/1000)</f>
        <v/>
      </c>
      <c r="Z49" s="114" t="str">
        <f ca="1">IF(Z$48="","",Leverancer!BA144/1000)</f>
        <v/>
      </c>
      <c r="AA49" s="114" t="str">
        <f ca="1">IF(AA$48="","",Leverancer!BB144/1000)</f>
        <v/>
      </c>
      <c r="AB49" s="114" t="str">
        <f ca="1">IF(AB$48="","",Leverancer!BC144/1000)</f>
        <v/>
      </c>
      <c r="AC49" s="114" t="str">
        <f ca="1">IF(AC$48="","",Leverancer!BD144/1000)</f>
        <v/>
      </c>
      <c r="AD49" s="114" t="str">
        <f ca="1">IF(AD$48="","",Leverancer!BE144/1000)</f>
        <v/>
      </c>
      <c r="AE49" s="114" t="str">
        <f ca="1">IF(AE$48="","",Leverancer!BF144/1000)</f>
        <v/>
      </c>
      <c r="AF49" s="114" t="str">
        <f ca="1">IF(AF$48="","",Leverancer!BG144/1000)</f>
        <v/>
      </c>
      <c r="AG49" s="114" t="str">
        <f ca="1">IF(AG$48="","",Leverancer!BH144/1000)</f>
        <v/>
      </c>
      <c r="AH49" s="114" t="str">
        <f ca="1">IF(AH$48="","",Leverancer!BI144/1000)</f>
        <v/>
      </c>
      <c r="AI49" s="114" t="str">
        <f ca="1">IF(AI$48="","",Leverancer!BJ144/1000)</f>
        <v/>
      </c>
      <c r="AJ49" s="114" t="str">
        <f ca="1">IF(AJ$48="","",Leverancer!BK144/1000)</f>
        <v/>
      </c>
      <c r="AK49" s="114" t="str">
        <f ca="1">IF(AK$48="","",Leverancer!BL144/1000)</f>
        <v/>
      </c>
      <c r="AL49" s="114" t="str">
        <f ca="1">IF(AL$48="","",Leverancer!BM144/1000)</f>
        <v/>
      </c>
      <c r="AM49" s="114" t="str">
        <f ca="1">IF(AM$48="","",Leverancer!BN144/1000)</f>
        <v/>
      </c>
      <c r="AN49" s="114" t="str">
        <f ca="1">IF(AN$48="","",Leverancer!BO144/1000)</f>
        <v/>
      </c>
      <c r="AO49" s="114" t="str">
        <f ca="1">IF(AO$48="","",Leverancer!BP144/1000)</f>
        <v/>
      </c>
      <c r="AP49" s="114" t="str">
        <f ca="1">IF(AP$48="","",Leverancer!BQ144/1000)</f>
        <v/>
      </c>
      <c r="AQ49" s="114" t="str">
        <f ca="1">IF(AQ$48="","",Leverancer!BR144/1000)</f>
        <v/>
      </c>
      <c r="AR49" s="114" t="str">
        <f ca="1">IF(AR$48="","",Leverancer!BS144/1000)</f>
        <v/>
      </c>
      <c r="AS49" s="114" t="str">
        <f ca="1">IF(AS$48="","",Leverancer!BT144/1000)</f>
        <v/>
      </c>
      <c r="AT49" s="114" t="str">
        <f ca="1">IF(AT$48="","",Leverancer!BU144/1000)</f>
        <v/>
      </c>
      <c r="AU49" s="114" t="str">
        <f ca="1">IF(AU$48="","",Leverancer!BV144/1000)</f>
        <v/>
      </c>
      <c r="AV49" s="114" t="str">
        <f ca="1">IF(AV$48="","",Leverancer!BW144/1000)</f>
        <v/>
      </c>
      <c r="AW49" s="114" t="str">
        <f ca="1">IF(AW$48="","",Leverancer!BX144/1000)</f>
        <v/>
      </c>
      <c r="AX49" s="110"/>
      <c r="AY49" s="110"/>
      <c r="AZ49" s="87"/>
    </row>
    <row r="50" spans="2:52" ht="12.75" customHeight="1" thickTop="1" thickBot="1" x14ac:dyDescent="0.25">
      <c r="N50" s="85"/>
      <c r="O50" s="90"/>
      <c r="P50" s="90"/>
      <c r="Q50" s="111" t="str">
        <f>INDEX(g_lang_val,MATCH("le_2_9",g_lang_key,0))</f>
        <v>Driftseffekter</v>
      </c>
      <c r="R50" s="116"/>
      <c r="S50" s="198">
        <f t="shared" ref="S50" ca="1" si="8">SUM(T50:BG50)</f>
        <v>0</v>
      </c>
      <c r="T50" s="114">
        <f ca="1">IF(T48="","",Leverancer!AU156/1000)</f>
        <v>0</v>
      </c>
      <c r="U50" s="114">
        <f ca="1">IF(U48="","",Leverancer!AV156/1000)</f>
        <v>0</v>
      </c>
      <c r="V50" s="114">
        <f ca="1">IF(V48="","",Leverancer!AW156/1000)</f>
        <v>0</v>
      </c>
      <c r="W50" s="114">
        <f ca="1">IF(W48="","",Leverancer!AX156/1000)</f>
        <v>0</v>
      </c>
      <c r="X50" s="114" t="str">
        <f ca="1">IF(X48="","",Leverancer!AY156/1000)</f>
        <v/>
      </c>
      <c r="Y50" s="114" t="str">
        <f ca="1">IF(Y48="","",Leverancer!AZ156/1000)</f>
        <v/>
      </c>
      <c r="Z50" s="114" t="str">
        <f ca="1">IF(Z48="","",Leverancer!BA156/1000)</f>
        <v/>
      </c>
      <c r="AA50" s="114" t="str">
        <f ca="1">IF(AA48="","",Leverancer!BB156/1000)</f>
        <v/>
      </c>
      <c r="AB50" s="114" t="str">
        <f ca="1">IF(AB48="","",Leverancer!BC156/1000)</f>
        <v/>
      </c>
      <c r="AC50" s="114" t="str">
        <f ca="1">IF(AC48="","",Leverancer!BD156/1000)</f>
        <v/>
      </c>
      <c r="AD50" s="114" t="str">
        <f ca="1">IF(AD48="","",Leverancer!BE156/1000)</f>
        <v/>
      </c>
      <c r="AE50" s="114" t="str">
        <f ca="1">IF(AE48="","",Leverancer!BF156/1000)</f>
        <v/>
      </c>
      <c r="AF50" s="114" t="str">
        <f ca="1">IF(AF48="","",Leverancer!BG156/1000)</f>
        <v/>
      </c>
      <c r="AG50" s="114" t="str">
        <f ca="1">IF(AG48="","",Leverancer!BH156/1000)</f>
        <v/>
      </c>
      <c r="AH50" s="114" t="str">
        <f ca="1">IF(AH48="","",Leverancer!BI156/1000)</f>
        <v/>
      </c>
      <c r="AI50" s="114" t="str">
        <f ca="1">IF(AI48="","",Leverancer!BJ156/1000)</f>
        <v/>
      </c>
      <c r="AJ50" s="114" t="str">
        <f ca="1">IF(AJ48="","",Leverancer!BK156/1000)</f>
        <v/>
      </c>
      <c r="AK50" s="114" t="str">
        <f ca="1">IF(AK48="","",Leverancer!BL156/1000)</f>
        <v/>
      </c>
      <c r="AL50" s="114" t="str">
        <f ca="1">IF(AL48="","",Leverancer!BM156/1000)</f>
        <v/>
      </c>
      <c r="AM50" s="114" t="str">
        <f ca="1">IF(AM48="","",Leverancer!BN156/1000)</f>
        <v/>
      </c>
      <c r="AN50" s="114" t="str">
        <f ca="1">IF(AN48="","",Leverancer!BO156/1000)</f>
        <v/>
      </c>
      <c r="AO50" s="114" t="str">
        <f ca="1">IF(AO48="","",Leverancer!BP156/1000)</f>
        <v/>
      </c>
      <c r="AP50" s="114" t="str">
        <f ca="1">IF(AP48="","",Leverancer!BQ156/1000)</f>
        <v/>
      </c>
      <c r="AQ50" s="114" t="str">
        <f ca="1">IF(AQ48="","",Leverancer!BR156/1000)</f>
        <v/>
      </c>
      <c r="AR50" s="114" t="str">
        <f ca="1">IF(AR48="","",Leverancer!BS156/1000)</f>
        <v/>
      </c>
      <c r="AS50" s="114" t="str">
        <f ca="1">IF(AS48="","",Leverancer!BT156/1000)</f>
        <v/>
      </c>
      <c r="AT50" s="114" t="str">
        <f ca="1">IF(AT48="","",Leverancer!BU156/1000)</f>
        <v/>
      </c>
      <c r="AU50" s="114" t="str">
        <f ca="1">IF(AU48="","",Leverancer!BV156/1000)</f>
        <v/>
      </c>
      <c r="AV50" s="114" t="str">
        <f ca="1">IF(AV48="","",Leverancer!BW156/1000)</f>
        <v/>
      </c>
      <c r="AW50" s="114" t="str">
        <f ca="1">IF(AW48="","",Leverancer!BX156/1000)</f>
        <v/>
      </c>
      <c r="AX50" s="110"/>
      <c r="AY50" s="110"/>
      <c r="AZ50" s="87"/>
    </row>
    <row r="51" spans="2:52" ht="12.75" customHeight="1" thickTop="1" thickBot="1" x14ac:dyDescent="0.25">
      <c r="N51" s="85"/>
      <c r="O51" s="90"/>
      <c r="P51" s="90"/>
      <c r="Q51" s="102"/>
      <c r="R51" s="102"/>
      <c r="S51" s="102"/>
      <c r="T51" s="102"/>
      <c r="U51" s="102"/>
      <c r="V51" s="102"/>
      <c r="W51" s="102"/>
      <c r="X51" s="102"/>
      <c r="Y51" s="102"/>
      <c r="Z51" s="102"/>
      <c r="AA51" s="102"/>
      <c r="AB51" s="102"/>
      <c r="AC51" s="102"/>
      <c r="AD51" s="102"/>
      <c r="AE51" s="102"/>
      <c r="AF51" s="102"/>
      <c r="AG51" s="102"/>
      <c r="AH51" s="102"/>
      <c r="AI51" s="102"/>
      <c r="AJ51" s="102"/>
      <c r="AK51" s="102"/>
      <c r="AL51" s="110"/>
      <c r="AM51" s="110"/>
      <c r="AN51" s="110"/>
      <c r="AO51" s="110"/>
      <c r="AP51" s="110"/>
      <c r="AQ51" s="110"/>
      <c r="AR51" s="110"/>
      <c r="AS51" s="110"/>
      <c r="AT51" s="110"/>
      <c r="AU51" s="110"/>
      <c r="AV51" s="110"/>
      <c r="AW51" s="110"/>
      <c r="AX51" s="110"/>
      <c r="AY51" s="110"/>
      <c r="AZ51" s="87"/>
    </row>
    <row r="52" spans="2:52" ht="25.5" customHeight="1" thickTop="1" thickBot="1" x14ac:dyDescent="0.25">
      <c r="B52" s="84" t="s">
        <v>557</v>
      </c>
      <c r="D52" s="84" t="s">
        <v>382</v>
      </c>
      <c r="E52" s="84">
        <v>2025</v>
      </c>
      <c r="F52" s="84">
        <v>2026</v>
      </c>
      <c r="G52" s="84">
        <v>2027</v>
      </c>
      <c r="H52" s="84">
        <v>2028</v>
      </c>
      <c r="N52" s="104"/>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05"/>
      <c r="AY52" s="105"/>
      <c r="AZ52" s="87"/>
    </row>
    <row r="53" spans="2:52" ht="32.25" customHeight="1" thickTop="1" x14ac:dyDescent="0.2">
      <c r="B53" s="84" t="s">
        <v>127</v>
      </c>
      <c r="D53" s="84">
        <v>0</v>
      </c>
      <c r="E53" s="84">
        <v>0</v>
      </c>
      <c r="F53" s="84">
        <v>0</v>
      </c>
      <c r="G53" s="84">
        <v>0</v>
      </c>
      <c r="H53" s="84">
        <v>0</v>
      </c>
      <c r="N53" s="181"/>
      <c r="O53" s="182" t="str">
        <f>INDEX(g_lang_val,MATCH("tb_2_2",g_lang_key,0))</f>
        <v>Den samlede projektøkonomi</v>
      </c>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3"/>
    </row>
    <row r="54" spans="2:52" ht="12.75" customHeight="1" x14ac:dyDescent="0.2">
      <c r="B54" s="84" t="s">
        <v>124</v>
      </c>
      <c r="D54" s="84">
        <v>0</v>
      </c>
      <c r="E54" s="84">
        <v>0</v>
      </c>
      <c r="F54" s="84">
        <v>0</v>
      </c>
      <c r="G54" s="84">
        <v>0</v>
      </c>
      <c r="H54" s="84">
        <v>0</v>
      </c>
      <c r="N54" s="85"/>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7"/>
    </row>
    <row r="55" spans="2:52" ht="22.9" customHeight="1" x14ac:dyDescent="0.2">
      <c r="B55" s="84" t="s">
        <v>396</v>
      </c>
      <c r="D55" s="84">
        <v>0</v>
      </c>
      <c r="E55" s="84">
        <v>0</v>
      </c>
      <c r="F55" s="84">
        <v>0</v>
      </c>
      <c r="G55" s="84">
        <v>0</v>
      </c>
      <c r="H55" s="84">
        <v>0</v>
      </c>
      <c r="N55" s="85"/>
      <c r="O55" s="88"/>
      <c r="P55" s="88"/>
      <c r="Q55" s="107" t="str">
        <f>INDEX(g_lang_val,MATCH("tb_1_1",g_lang_key,0)) &amp; " 4"</f>
        <v>Tabel 4</v>
      </c>
      <c r="R55" s="88"/>
      <c r="S55" s="88"/>
      <c r="T55" s="88"/>
      <c r="U55" s="88"/>
      <c r="V55" s="88"/>
      <c r="W55" s="88"/>
      <c r="X55" s="88"/>
      <c r="Y55" s="88"/>
      <c r="Z55" s="88"/>
      <c r="AA55" s="88"/>
      <c r="AB55" s="88"/>
      <c r="AC55" s="88"/>
      <c r="AD55" s="88"/>
      <c r="AE55" s="88"/>
      <c r="AF55" s="88"/>
      <c r="AG55" s="88"/>
      <c r="AH55" s="88"/>
      <c r="AI55" s="88"/>
      <c r="AJ55" s="88"/>
      <c r="AK55" s="88"/>
      <c r="AL55" s="88" t="s">
        <v>117</v>
      </c>
      <c r="AM55" s="88"/>
      <c r="AN55" s="88"/>
      <c r="AO55" s="88"/>
      <c r="AP55" s="88"/>
      <c r="AQ55" s="88"/>
      <c r="AR55" s="88"/>
      <c r="AS55" s="88"/>
      <c r="AT55" s="88"/>
      <c r="AU55" s="88"/>
      <c r="AV55" s="88"/>
      <c r="AW55" s="88"/>
      <c r="AX55" s="88"/>
      <c r="AY55" s="88"/>
      <c r="AZ55" s="87"/>
    </row>
    <row r="56" spans="2:52" ht="31.15" customHeight="1" x14ac:dyDescent="0.2">
      <c r="B56" s="84" t="s">
        <v>128</v>
      </c>
      <c r="D56" s="84">
        <v>0</v>
      </c>
      <c r="E56" s="84">
        <v>0</v>
      </c>
      <c r="F56" s="84">
        <v>0</v>
      </c>
      <c r="G56" s="84">
        <v>0</v>
      </c>
      <c r="H56" s="84">
        <v>0</v>
      </c>
      <c r="N56" s="85"/>
      <c r="O56" s="90"/>
      <c r="P56" s="90"/>
      <c r="Q56" s="108" t="str">
        <f>INDEX(g_lang_val,MATCH("tb_2_2_1",g_lang_key,0))</f>
        <v>Fase- og leveranceopdelt budget og forbrug, udgiftsbaseret</v>
      </c>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87"/>
    </row>
    <row r="57" spans="2:52" ht="12.75" customHeight="1" thickBot="1" x14ac:dyDescent="0.25">
      <c r="B57" s="84" t="s">
        <v>397</v>
      </c>
      <c r="D57" s="84">
        <v>0</v>
      </c>
      <c r="E57" s="84">
        <v>0</v>
      </c>
      <c r="F57" s="84">
        <v>0</v>
      </c>
      <c r="G57" s="84">
        <v>0</v>
      </c>
      <c r="H57" s="84">
        <v>0</v>
      </c>
      <c r="N57" s="85"/>
      <c r="O57" s="90"/>
      <c r="P57" s="90"/>
      <c r="Q57" s="93" t="str">
        <f ca="1">INDEX(g_lang_val,MATCH("tb_1_1_1_1",g_lang_key,0)) &amp;g_reporting_year&amp;INDEX(g_lang_val,MATCH("tb_1_1_1_2",g_lang_key,0))</f>
        <v>Mio. kr. 2026-pl</v>
      </c>
      <c r="R57" s="121" t="s">
        <v>130</v>
      </c>
      <c r="S57" s="94" t="str">
        <f>INDEX(g_lang_val,MATCH("le_2_2",g_lang_key,0))</f>
        <v xml:space="preserve">Total </v>
      </c>
      <c r="T57" s="110">
        <f ca="1">Leverancer!AU25</f>
        <v>2026</v>
      </c>
      <c r="U57" s="110">
        <f ca="1">Leverancer!AV25</f>
        <v>2027</v>
      </c>
      <c r="V57" s="110">
        <f ca="1">Leverancer!AW25</f>
        <v>2028</v>
      </c>
      <c r="W57" s="110">
        <f ca="1">Leverancer!AX25</f>
        <v>2029</v>
      </c>
      <c r="X57" s="110" t="str">
        <f ca="1">Leverancer!AY25</f>
        <v/>
      </c>
      <c r="Y57" s="110" t="str">
        <f ca="1">Leverancer!AZ25</f>
        <v/>
      </c>
      <c r="Z57" s="110" t="str">
        <f ca="1">Leverancer!BA25</f>
        <v/>
      </c>
      <c r="AA57" s="110" t="str">
        <f ca="1">Leverancer!BB25</f>
        <v/>
      </c>
      <c r="AB57" s="110" t="str">
        <f ca="1">Leverancer!BC25</f>
        <v/>
      </c>
      <c r="AC57" s="110" t="str">
        <f ca="1">Leverancer!BD25</f>
        <v/>
      </c>
      <c r="AD57" s="110" t="str">
        <f ca="1">Leverancer!BE25</f>
        <v/>
      </c>
      <c r="AE57" s="110" t="str">
        <f ca="1">Leverancer!BF25</f>
        <v/>
      </c>
      <c r="AF57" s="110" t="str">
        <f ca="1">Leverancer!BG25</f>
        <v/>
      </c>
      <c r="AG57" s="110" t="str">
        <f ca="1">Leverancer!BH25</f>
        <v/>
      </c>
      <c r="AH57" s="110" t="str">
        <f ca="1">Leverancer!BI25</f>
        <v/>
      </c>
      <c r="AI57" s="110" t="str">
        <f ca="1">Leverancer!BJ25</f>
        <v/>
      </c>
      <c r="AJ57" s="110" t="str">
        <f ca="1">Leverancer!BK25</f>
        <v/>
      </c>
      <c r="AK57" s="110" t="str">
        <f ca="1">Leverancer!BL25</f>
        <v/>
      </c>
      <c r="AL57" s="110" t="str">
        <f ca="1">Leverancer!BM25</f>
        <v/>
      </c>
      <c r="AM57" s="110" t="str">
        <f ca="1">Leverancer!BN25</f>
        <v/>
      </c>
      <c r="AN57" s="110" t="str">
        <f ca="1">Leverancer!BO25</f>
        <v/>
      </c>
      <c r="AO57" s="110" t="str">
        <f ca="1">Leverancer!BP25</f>
        <v/>
      </c>
      <c r="AP57" s="110" t="str">
        <f ca="1">Leverancer!BQ25</f>
        <v/>
      </c>
      <c r="AQ57" s="110" t="str">
        <f ca="1">Leverancer!BR25</f>
        <v/>
      </c>
      <c r="AR57" s="110" t="str">
        <f ca="1">Leverancer!BS25</f>
        <v/>
      </c>
      <c r="AS57" s="110" t="str">
        <f ca="1">Leverancer!BT25</f>
        <v/>
      </c>
      <c r="AT57" s="110" t="str">
        <f ca="1">Leverancer!BU25</f>
        <v/>
      </c>
      <c r="AU57" s="110" t="str">
        <f ca="1">Leverancer!BV25</f>
        <v/>
      </c>
      <c r="AV57" s="110" t="str">
        <f ca="1">Leverancer!BW25</f>
        <v/>
      </c>
      <c r="AW57" s="110" t="str">
        <f ca="1">Leverancer!BX25</f>
        <v/>
      </c>
      <c r="AX57" s="90"/>
      <c r="AY57" s="90"/>
      <c r="AZ57" s="87"/>
    </row>
    <row r="58" spans="2:52" ht="12.75" customHeight="1" thickTop="1" x14ac:dyDescent="0.2">
      <c r="N58" s="85"/>
      <c r="O58" s="90"/>
      <c r="P58" s="90"/>
      <c r="Q58" s="117" t="str">
        <f>INDEX(g_lang_val,MATCH("so_2_1_2",g_lang_key,0))</f>
        <v>Analysefase</v>
      </c>
      <c r="R58" s="122">
        <f ca="1">IF(S$121&lt;&gt;0,S58/S$121,0)</f>
        <v>0</v>
      </c>
      <c r="S58" s="119">
        <f ca="1">SUM(T58:BG58)</f>
        <v>0</v>
      </c>
      <c r="T58" s="120">
        <f ca="1">IF(T$57="","",SUM(T59:T68))</f>
        <v>0</v>
      </c>
      <c r="U58" s="120">
        <f ca="1">IF(U$57="","",SUM(U59:U68))</f>
        <v>0</v>
      </c>
      <c r="V58" s="120">
        <f t="shared" ref="V58:AW58" ca="1" si="9">IF(V$57="","",SUM(V59:V68))</f>
        <v>0</v>
      </c>
      <c r="W58" s="120">
        <f t="shared" ca="1" si="9"/>
        <v>0</v>
      </c>
      <c r="X58" s="120" t="str">
        <f t="shared" ca="1" si="9"/>
        <v/>
      </c>
      <c r="Y58" s="120" t="str">
        <f t="shared" ca="1" si="9"/>
        <v/>
      </c>
      <c r="Z58" s="120" t="str">
        <f t="shared" ca="1" si="9"/>
        <v/>
      </c>
      <c r="AA58" s="120" t="str">
        <f t="shared" ca="1" si="9"/>
        <v/>
      </c>
      <c r="AB58" s="120" t="str">
        <f t="shared" ca="1" si="9"/>
        <v/>
      </c>
      <c r="AC58" s="120" t="str">
        <f t="shared" ca="1" si="9"/>
        <v/>
      </c>
      <c r="AD58" s="120" t="str">
        <f t="shared" ca="1" si="9"/>
        <v/>
      </c>
      <c r="AE58" s="120" t="str">
        <f t="shared" ca="1" si="9"/>
        <v/>
      </c>
      <c r="AF58" s="120" t="str">
        <f t="shared" ca="1" si="9"/>
        <v/>
      </c>
      <c r="AG58" s="120" t="str">
        <f t="shared" ca="1" si="9"/>
        <v/>
      </c>
      <c r="AH58" s="120" t="str">
        <f t="shared" ca="1" si="9"/>
        <v/>
      </c>
      <c r="AI58" s="120" t="str">
        <f t="shared" ca="1" si="9"/>
        <v/>
      </c>
      <c r="AJ58" s="120" t="str">
        <f t="shared" ca="1" si="9"/>
        <v/>
      </c>
      <c r="AK58" s="120" t="str">
        <f t="shared" ca="1" si="9"/>
        <v/>
      </c>
      <c r="AL58" s="120" t="str">
        <f t="shared" ca="1" si="9"/>
        <v/>
      </c>
      <c r="AM58" s="120" t="str">
        <f t="shared" ca="1" si="9"/>
        <v/>
      </c>
      <c r="AN58" s="120" t="str">
        <f t="shared" ca="1" si="9"/>
        <v/>
      </c>
      <c r="AO58" s="120" t="str">
        <f t="shared" ca="1" si="9"/>
        <v/>
      </c>
      <c r="AP58" s="120" t="str">
        <f t="shared" ca="1" si="9"/>
        <v/>
      </c>
      <c r="AQ58" s="120" t="str">
        <f t="shared" ca="1" si="9"/>
        <v/>
      </c>
      <c r="AR58" s="120" t="str">
        <f t="shared" ca="1" si="9"/>
        <v/>
      </c>
      <c r="AS58" s="120" t="str">
        <f t="shared" ca="1" si="9"/>
        <v/>
      </c>
      <c r="AT58" s="120" t="str">
        <f t="shared" ca="1" si="9"/>
        <v/>
      </c>
      <c r="AU58" s="120" t="str">
        <f t="shared" ca="1" si="9"/>
        <v/>
      </c>
      <c r="AV58" s="120" t="str">
        <f t="shared" ca="1" si="9"/>
        <v/>
      </c>
      <c r="AW58" s="120" t="str">
        <f t="shared" ca="1" si="9"/>
        <v/>
      </c>
      <c r="AX58" s="90"/>
      <c r="AY58" s="90"/>
      <c r="AZ58" s="87"/>
    </row>
    <row r="59" spans="2:52" ht="12.75" customHeight="1" x14ac:dyDescent="0.2">
      <c r="N59" s="85"/>
      <c r="O59" s="90"/>
      <c r="P59" s="90"/>
      <c r="Q59" s="116" t="str">
        <f>INDEX(Leverancer!$AO$1:$AO$1061,ROW()-ROW(Leverancer!$AU$25)-6)&amp;": "&amp;INDEX(Leverancer!$AP$1:$AP$1061,ROW()-ROW(Leverancer!$AU$25)-6)</f>
        <v xml:space="preserve">L1: </v>
      </c>
      <c r="R59" s="114"/>
      <c r="S59" s="119">
        <f t="shared" ref="S59:S70" ca="1" si="10">SUM(T59:BG59)</f>
        <v>0</v>
      </c>
      <c r="T59" s="114">
        <f ca="1">IF(T$57="","",INDEX(Leverancer!AU:AU,ROW()-ROW(Leverancer!$AU$25)-6)*Leverancer!AU$96/1000)</f>
        <v>0</v>
      </c>
      <c r="U59" s="114">
        <f ca="1">IF(U$57="","",INDEX(Leverancer!AV:AV,ROW()-ROW(Leverancer!$AU$25)-6)*Leverancer!AV$96/1000)</f>
        <v>0</v>
      </c>
      <c r="V59" s="114">
        <f ca="1">IF(V$57="","",INDEX(Leverancer!AW:AW,ROW()-ROW(Leverancer!$AU$25)-6)*Leverancer!AW$96/1000)</f>
        <v>0</v>
      </c>
      <c r="W59" s="114">
        <f ca="1">IF(W$57="","",INDEX(Leverancer!AX:AX,ROW()-ROW(Leverancer!$AU$25)-6)*Leverancer!AX$96/1000)</f>
        <v>0</v>
      </c>
      <c r="X59" s="114" t="str">
        <f ca="1">IF(X$57="","",INDEX(Leverancer!AY:AY,ROW()-ROW(Leverancer!$AU$25)-6)*Leverancer!AY$96/1000)</f>
        <v/>
      </c>
      <c r="Y59" s="114" t="str">
        <f ca="1">IF(Y$57="","",INDEX(Leverancer!AZ:AZ,ROW()-ROW(Leverancer!$AU$25)-6)*Leverancer!AZ$96/1000)</f>
        <v/>
      </c>
      <c r="Z59" s="114" t="str">
        <f ca="1">IF(Z$57="","",INDEX(Leverancer!BA:BA,ROW()-ROW(Leverancer!$AU$25)-6)*Leverancer!BA$96/1000)</f>
        <v/>
      </c>
      <c r="AA59" s="114" t="str">
        <f ca="1">IF(AA$57="","",INDEX(Leverancer!BB:BB,ROW()-ROW(Leverancer!$AU$25)-6)*Leverancer!BB$96/1000)</f>
        <v/>
      </c>
      <c r="AB59" s="114" t="str">
        <f ca="1">IF(AB$57="","",INDEX(Leverancer!BC:BC,ROW()-ROW(Leverancer!$AU$25)-6)*Leverancer!BC$96/1000)</f>
        <v/>
      </c>
      <c r="AC59" s="114" t="str">
        <f ca="1">IF(AC$57="","",INDEX(Leverancer!BD:BD,ROW()-ROW(Leverancer!$AU$25)-6)*Leverancer!BD$96/1000)</f>
        <v/>
      </c>
      <c r="AD59" s="114" t="str">
        <f ca="1">IF(AD$57="","",INDEX(Leverancer!BE:BE,ROW()-ROW(Leverancer!$AU$25)-6)*Leverancer!BE$96/1000)</f>
        <v/>
      </c>
      <c r="AE59" s="114" t="str">
        <f ca="1">IF(AE$57="","",INDEX(Leverancer!BF:BF,ROW()-ROW(Leverancer!$AU$25)-6)*Leverancer!BF$96/1000)</f>
        <v/>
      </c>
      <c r="AF59" s="114" t="str">
        <f ca="1">IF(AF$57="","",INDEX(Leverancer!BG:BG,ROW()-ROW(Leverancer!$AU$25)-6)*Leverancer!BG$96/1000)</f>
        <v/>
      </c>
      <c r="AG59" s="114" t="str">
        <f ca="1">IF(AG$57="","",INDEX(Leverancer!BH:BH,ROW()-ROW(Leverancer!$AU$25)-6)*Leverancer!BH$96/1000)</f>
        <v/>
      </c>
      <c r="AH59" s="114" t="str">
        <f ca="1">IF(AH$57="","",INDEX(Leverancer!BI:BI,ROW()-ROW(Leverancer!$AU$25)-6)*Leverancer!BI$96/1000)</f>
        <v/>
      </c>
      <c r="AI59" s="114" t="str">
        <f ca="1">IF(AI$57="","",INDEX(Leverancer!BJ:BJ,ROW()-ROW(Leverancer!$AU$25)-6)*Leverancer!BJ$96/1000)</f>
        <v/>
      </c>
      <c r="AJ59" s="114" t="str">
        <f ca="1">IF(AJ$57="","",INDEX(Leverancer!BK:BK,ROW()-ROW(Leverancer!$AU$25)-6)*Leverancer!BK$96/1000)</f>
        <v/>
      </c>
      <c r="AK59" s="114" t="str">
        <f ca="1">IF(AK$57="","",INDEX(Leverancer!BL:BL,ROW()-ROW(Leverancer!$AU$25)-6)*Leverancer!BL$96/1000)</f>
        <v/>
      </c>
      <c r="AL59" s="114" t="str">
        <f ca="1">IF(AL$57="","",INDEX(Leverancer!BM:BM,ROW()-ROW(Leverancer!$AU$25)-6)*Leverancer!BM$96/1000)</f>
        <v/>
      </c>
      <c r="AM59" s="114" t="str">
        <f ca="1">IF(AM$57="","",INDEX(Leverancer!BN:BN,ROW()-ROW(Leverancer!$AU$25)-6)*Leverancer!BN$96/1000)</f>
        <v/>
      </c>
      <c r="AN59" s="114" t="str">
        <f ca="1">IF(AN$57="","",INDEX(Leverancer!BO:BO,ROW()-ROW(Leverancer!$AU$25)-6)*Leverancer!BO$96/1000)</f>
        <v/>
      </c>
      <c r="AO59" s="114" t="str">
        <f ca="1">IF(AO$57="","",INDEX(Leverancer!BP:BP,ROW()-ROW(Leverancer!$AU$25)-6)*Leverancer!BP$96/1000)</f>
        <v/>
      </c>
      <c r="AP59" s="114" t="str">
        <f ca="1">IF(AP$57="","",INDEX(Leverancer!BQ:BQ,ROW()-ROW(Leverancer!$AU$25)-6)*Leverancer!BQ$96/1000)</f>
        <v/>
      </c>
      <c r="AQ59" s="114" t="str">
        <f ca="1">IF(AQ$57="","",INDEX(Leverancer!BR:BR,ROW()-ROW(Leverancer!$AU$25)-6)*Leverancer!BR$96/1000)</f>
        <v/>
      </c>
      <c r="AR59" s="114" t="str">
        <f ca="1">IF(AR$57="","",INDEX(Leverancer!BS:BS,ROW()-ROW(Leverancer!$AU$25)-6)*Leverancer!BS$96/1000)</f>
        <v/>
      </c>
      <c r="AS59" s="114" t="str">
        <f ca="1">IF(AS$57="","",INDEX(Leverancer!BT:BT,ROW()-ROW(Leverancer!$AU$25)-6)*Leverancer!BT$96/1000)</f>
        <v/>
      </c>
      <c r="AT59" s="114" t="str">
        <f ca="1">IF(AT$57="","",INDEX(Leverancer!BU:BU,ROW()-ROW(Leverancer!$AU$25)-6)*Leverancer!BU$96/1000)</f>
        <v/>
      </c>
      <c r="AU59" s="114" t="str">
        <f ca="1">IF(AU$57="","",INDEX(Leverancer!BV:BV,ROW()-ROW(Leverancer!$AU$25)-6)*Leverancer!BV$96/1000)</f>
        <v/>
      </c>
      <c r="AV59" s="114" t="str">
        <f ca="1">IF(AV$57="","",INDEX(Leverancer!BW:BW,ROW()-ROW(Leverancer!$AU$25)-6)*Leverancer!BW$96/1000)</f>
        <v/>
      </c>
      <c r="AW59" s="114" t="str">
        <f ca="1">IF(AW$57="","",INDEX(Leverancer!BX:BX,ROW()-ROW(Leverancer!$AU$25)-6)*Leverancer!BX$96/1000)</f>
        <v/>
      </c>
      <c r="AX59" s="114"/>
      <c r="AY59" s="114"/>
      <c r="AZ59" s="87"/>
    </row>
    <row r="60" spans="2:52" ht="12.75" customHeight="1" x14ac:dyDescent="0.2">
      <c r="N60" s="85"/>
      <c r="O60" s="90"/>
      <c r="P60" s="90"/>
      <c r="Q60" s="116" t="str">
        <f>INDEX(Leverancer!$AO$1:$AO$1061,ROW()-ROW(Leverancer!$AU$25)-6)&amp;": "&amp;INDEX(Leverancer!$AP$1:$AP$1061,ROW()-ROW(Leverancer!$AU$25)-6)</f>
        <v xml:space="preserve">L2: </v>
      </c>
      <c r="R60" s="114"/>
      <c r="S60" s="119">
        <f t="shared" ca="1" si="10"/>
        <v>0</v>
      </c>
      <c r="T60" s="114">
        <f ca="1">IF(T$57="","",INDEX(Leverancer!AU:AU,ROW()-ROW(Leverancer!$AU$25)-6)*Leverancer!AU$96/1000)</f>
        <v>0</v>
      </c>
      <c r="U60" s="114">
        <f ca="1">IF(U$57="","",INDEX(Leverancer!AV:AV,ROW()-ROW(Leverancer!$AU$25)-6)*Leverancer!AV$96/1000)</f>
        <v>0</v>
      </c>
      <c r="V60" s="114">
        <f ca="1">IF(V$57="","",INDEX(Leverancer!AW:AW,ROW()-ROW(Leverancer!$AU$25)-6)*Leverancer!AW$96/1000)</f>
        <v>0</v>
      </c>
      <c r="W60" s="114">
        <f ca="1">IF(W$57="","",INDEX(Leverancer!AX:AX,ROW()-ROW(Leverancer!$AU$25)-6)*Leverancer!AX$96/1000)</f>
        <v>0</v>
      </c>
      <c r="X60" s="114" t="str">
        <f ca="1">IF(X$57="","",INDEX(Leverancer!AY:AY,ROW()-ROW(Leverancer!$AU$25)-6)*Leverancer!AY$96/1000)</f>
        <v/>
      </c>
      <c r="Y60" s="114" t="str">
        <f ca="1">IF(Y$57="","",INDEX(Leverancer!AZ:AZ,ROW()-ROW(Leverancer!$AU$25)-6)*Leverancer!AZ$96/1000)</f>
        <v/>
      </c>
      <c r="Z60" s="114" t="str">
        <f ca="1">IF(Z$57="","",INDEX(Leverancer!BA:BA,ROW()-ROW(Leverancer!$AU$25)-6)*Leverancer!BA$96/1000)</f>
        <v/>
      </c>
      <c r="AA60" s="114" t="str">
        <f ca="1">IF(AA$57="","",INDEX(Leverancer!BB:BB,ROW()-ROW(Leverancer!$AU$25)-6)*Leverancer!BB$96/1000)</f>
        <v/>
      </c>
      <c r="AB60" s="114" t="str">
        <f ca="1">IF(AB$57="","",INDEX(Leverancer!BC:BC,ROW()-ROW(Leverancer!$AU$25)-6)*Leverancer!BC$96/1000)</f>
        <v/>
      </c>
      <c r="AC60" s="114" t="str">
        <f ca="1">IF(AC$57="","",INDEX(Leverancer!BD:BD,ROW()-ROW(Leverancer!$AU$25)-6)*Leverancer!BD$96/1000)</f>
        <v/>
      </c>
      <c r="AD60" s="114" t="str">
        <f ca="1">IF(AD$57="","",INDEX(Leverancer!BE:BE,ROW()-ROW(Leverancer!$AU$25)-6)*Leverancer!BE$96/1000)</f>
        <v/>
      </c>
      <c r="AE60" s="114" t="str">
        <f ca="1">IF(AE$57="","",INDEX(Leverancer!BF:BF,ROW()-ROW(Leverancer!$AU$25)-6)*Leverancer!BF$96/1000)</f>
        <v/>
      </c>
      <c r="AF60" s="114" t="str">
        <f ca="1">IF(AF$57="","",INDEX(Leverancer!BG:BG,ROW()-ROW(Leverancer!$AU$25)-6)*Leverancer!BG$96/1000)</f>
        <v/>
      </c>
      <c r="AG60" s="114" t="str">
        <f ca="1">IF(AG$57="","",INDEX(Leverancer!BH:BH,ROW()-ROW(Leverancer!$AU$25)-6)*Leverancer!BH$96/1000)</f>
        <v/>
      </c>
      <c r="AH60" s="114" t="str">
        <f ca="1">IF(AH$57="","",INDEX(Leverancer!BI:BI,ROW()-ROW(Leverancer!$AU$25)-6)*Leverancer!BI$96/1000)</f>
        <v/>
      </c>
      <c r="AI60" s="114" t="str">
        <f ca="1">IF(AI$57="","",INDEX(Leverancer!BJ:BJ,ROW()-ROW(Leverancer!$AU$25)-6)*Leverancer!BJ$96/1000)</f>
        <v/>
      </c>
      <c r="AJ60" s="114" t="str">
        <f ca="1">IF(AJ$57="","",INDEX(Leverancer!BK:BK,ROW()-ROW(Leverancer!$AU$25)-6)*Leverancer!BK$96/1000)</f>
        <v/>
      </c>
      <c r="AK60" s="114" t="str">
        <f ca="1">IF(AK$57="","",INDEX(Leverancer!BL:BL,ROW()-ROW(Leverancer!$AU$25)-6)*Leverancer!BL$96/1000)</f>
        <v/>
      </c>
      <c r="AL60" s="114" t="str">
        <f ca="1">IF(AL$57="","",INDEX(Leverancer!BM:BM,ROW()-ROW(Leverancer!$AU$25)-6)*Leverancer!BM$96/1000)</f>
        <v/>
      </c>
      <c r="AM60" s="114" t="str">
        <f ca="1">IF(AM$57="","",INDEX(Leverancer!BN:BN,ROW()-ROW(Leverancer!$AU$25)-6)*Leverancer!BN$96/1000)</f>
        <v/>
      </c>
      <c r="AN60" s="114" t="str">
        <f ca="1">IF(AN$57="","",INDEX(Leverancer!BO:BO,ROW()-ROW(Leverancer!$AU$25)-6)*Leverancer!BO$96/1000)</f>
        <v/>
      </c>
      <c r="AO60" s="114" t="str">
        <f ca="1">IF(AO$57="","",INDEX(Leverancer!BP:BP,ROW()-ROW(Leverancer!$AU$25)-6)*Leverancer!BP$96/1000)</f>
        <v/>
      </c>
      <c r="AP60" s="114" t="str">
        <f ca="1">IF(AP$57="","",INDEX(Leverancer!BQ:BQ,ROW()-ROW(Leverancer!$AU$25)-6)*Leverancer!BQ$96/1000)</f>
        <v/>
      </c>
      <c r="AQ60" s="114" t="str">
        <f ca="1">IF(AQ$57="","",INDEX(Leverancer!BR:BR,ROW()-ROW(Leverancer!$AU$25)-6)*Leverancer!BR$96/1000)</f>
        <v/>
      </c>
      <c r="AR60" s="114" t="str">
        <f ca="1">IF(AR$57="","",INDEX(Leverancer!BS:BS,ROW()-ROW(Leverancer!$AU$25)-6)*Leverancer!BS$96/1000)</f>
        <v/>
      </c>
      <c r="AS60" s="114" t="str">
        <f ca="1">IF(AS$57="","",INDEX(Leverancer!BT:BT,ROW()-ROW(Leverancer!$AU$25)-6)*Leverancer!BT$96/1000)</f>
        <v/>
      </c>
      <c r="AT60" s="114" t="str">
        <f ca="1">IF(AT$57="","",INDEX(Leverancer!BU:BU,ROW()-ROW(Leverancer!$AU$25)-6)*Leverancer!BU$96/1000)</f>
        <v/>
      </c>
      <c r="AU60" s="114" t="str">
        <f ca="1">IF(AU$57="","",INDEX(Leverancer!BV:BV,ROW()-ROW(Leverancer!$AU$25)-6)*Leverancer!BV$96/1000)</f>
        <v/>
      </c>
      <c r="AV60" s="114" t="str">
        <f ca="1">IF(AV$57="","",INDEX(Leverancer!BW:BW,ROW()-ROW(Leverancer!$AU$25)-6)*Leverancer!BW$96/1000)</f>
        <v/>
      </c>
      <c r="AW60" s="114" t="str">
        <f ca="1">IF(AW$57="","",INDEX(Leverancer!BX:BX,ROW()-ROW(Leverancer!$AU$25)-6)*Leverancer!BX$96/1000)</f>
        <v/>
      </c>
      <c r="AX60" s="114"/>
      <c r="AY60" s="114"/>
      <c r="AZ60" s="87"/>
    </row>
    <row r="61" spans="2:52" ht="12.75" customHeight="1" x14ac:dyDescent="0.2">
      <c r="N61" s="85"/>
      <c r="O61" s="90"/>
      <c r="P61" s="90"/>
      <c r="Q61" s="116" t="str">
        <f>INDEX(Leverancer!$AO$1:$AO$1061,ROW()-ROW(Leverancer!$AU$25)-6)&amp;": "&amp;INDEX(Leverancer!$AP$1:$AP$1061,ROW()-ROW(Leverancer!$AU$25)-6)</f>
        <v xml:space="preserve">L3: </v>
      </c>
      <c r="R61" s="114"/>
      <c r="S61" s="119">
        <f t="shared" ca="1" si="10"/>
        <v>0</v>
      </c>
      <c r="T61" s="114">
        <f ca="1">IF(T$57="","",INDEX(Leverancer!AU:AU,ROW()-ROW(Leverancer!$AU$25)-6)*Leverancer!AU$96/1000)</f>
        <v>0</v>
      </c>
      <c r="U61" s="114">
        <f ca="1">IF(U$57="","",INDEX(Leverancer!AV:AV,ROW()-ROW(Leverancer!$AU$25)-6)*Leverancer!AV$96/1000)</f>
        <v>0</v>
      </c>
      <c r="V61" s="114">
        <f ca="1">IF(V$57="","",INDEX(Leverancer!AW:AW,ROW()-ROW(Leverancer!$AU$25)-6)*Leverancer!AW$96/1000)</f>
        <v>0</v>
      </c>
      <c r="W61" s="114">
        <f ca="1">IF(W$57="","",INDEX(Leverancer!AX:AX,ROW()-ROW(Leverancer!$AU$25)-6)*Leverancer!AX$96/1000)</f>
        <v>0</v>
      </c>
      <c r="X61" s="114" t="str">
        <f ca="1">IF(X$57="","",INDEX(Leverancer!AY:AY,ROW()-ROW(Leverancer!$AU$25)-6)*Leverancer!AY$96/1000)</f>
        <v/>
      </c>
      <c r="Y61" s="114" t="str">
        <f ca="1">IF(Y$57="","",INDEX(Leverancer!AZ:AZ,ROW()-ROW(Leverancer!$AU$25)-6)*Leverancer!AZ$96/1000)</f>
        <v/>
      </c>
      <c r="Z61" s="114" t="str">
        <f ca="1">IF(Z$57="","",INDEX(Leverancer!BA:BA,ROW()-ROW(Leverancer!$AU$25)-6)*Leverancer!BA$96/1000)</f>
        <v/>
      </c>
      <c r="AA61" s="114" t="str">
        <f ca="1">IF(AA$57="","",INDEX(Leverancer!BB:BB,ROW()-ROW(Leverancer!$AU$25)-6)*Leverancer!BB$96/1000)</f>
        <v/>
      </c>
      <c r="AB61" s="114" t="str">
        <f ca="1">IF(AB$57="","",INDEX(Leverancer!BC:BC,ROW()-ROW(Leverancer!$AU$25)-6)*Leverancer!BC$96/1000)</f>
        <v/>
      </c>
      <c r="AC61" s="114" t="str">
        <f ca="1">IF(AC$57="","",INDEX(Leverancer!BD:BD,ROW()-ROW(Leverancer!$AU$25)-6)*Leverancer!BD$96/1000)</f>
        <v/>
      </c>
      <c r="AD61" s="114" t="str">
        <f ca="1">IF(AD$57="","",INDEX(Leverancer!BE:BE,ROW()-ROW(Leverancer!$AU$25)-6)*Leverancer!BE$96/1000)</f>
        <v/>
      </c>
      <c r="AE61" s="114" t="str">
        <f ca="1">IF(AE$57="","",INDEX(Leverancer!BF:BF,ROW()-ROW(Leverancer!$AU$25)-6)*Leverancer!BF$96/1000)</f>
        <v/>
      </c>
      <c r="AF61" s="114" t="str">
        <f ca="1">IF(AF$57="","",INDEX(Leverancer!BG:BG,ROW()-ROW(Leverancer!$AU$25)-6)*Leverancer!BG$96/1000)</f>
        <v/>
      </c>
      <c r="AG61" s="114" t="str">
        <f ca="1">IF(AG$57="","",INDEX(Leverancer!BH:BH,ROW()-ROW(Leverancer!$AU$25)-6)*Leverancer!BH$96/1000)</f>
        <v/>
      </c>
      <c r="AH61" s="114" t="str">
        <f ca="1">IF(AH$57="","",INDEX(Leverancer!BI:BI,ROW()-ROW(Leverancer!$AU$25)-6)*Leverancer!BI$96/1000)</f>
        <v/>
      </c>
      <c r="AI61" s="114" t="str">
        <f ca="1">IF(AI$57="","",INDEX(Leverancer!BJ:BJ,ROW()-ROW(Leverancer!$AU$25)-6)*Leverancer!BJ$96/1000)</f>
        <v/>
      </c>
      <c r="AJ61" s="114" t="str">
        <f ca="1">IF(AJ$57="","",INDEX(Leverancer!BK:BK,ROW()-ROW(Leverancer!$AU$25)-6)*Leverancer!BK$96/1000)</f>
        <v/>
      </c>
      <c r="AK61" s="114" t="str">
        <f ca="1">IF(AK$57="","",INDEX(Leverancer!BL:BL,ROW()-ROW(Leverancer!$AU$25)-6)*Leverancer!BL$96/1000)</f>
        <v/>
      </c>
      <c r="AL61" s="114" t="str">
        <f ca="1">IF(AL$57="","",INDEX(Leverancer!BM:BM,ROW()-ROW(Leverancer!$AU$25)-6)*Leverancer!BM$96/1000)</f>
        <v/>
      </c>
      <c r="AM61" s="114" t="str">
        <f ca="1">IF(AM$57="","",INDEX(Leverancer!BN:BN,ROW()-ROW(Leverancer!$AU$25)-6)*Leverancer!BN$96/1000)</f>
        <v/>
      </c>
      <c r="AN61" s="114" t="str">
        <f ca="1">IF(AN$57="","",INDEX(Leverancer!BO:BO,ROW()-ROW(Leverancer!$AU$25)-6)*Leverancer!BO$96/1000)</f>
        <v/>
      </c>
      <c r="AO61" s="114" t="str">
        <f ca="1">IF(AO$57="","",INDEX(Leverancer!BP:BP,ROW()-ROW(Leverancer!$AU$25)-6)*Leverancer!BP$96/1000)</f>
        <v/>
      </c>
      <c r="AP61" s="114" t="str">
        <f ca="1">IF(AP$57="","",INDEX(Leverancer!BQ:BQ,ROW()-ROW(Leverancer!$AU$25)-6)*Leverancer!BQ$96/1000)</f>
        <v/>
      </c>
      <c r="AQ61" s="114" t="str">
        <f ca="1">IF(AQ$57="","",INDEX(Leverancer!BR:BR,ROW()-ROW(Leverancer!$AU$25)-6)*Leverancer!BR$96/1000)</f>
        <v/>
      </c>
      <c r="AR61" s="114" t="str">
        <f ca="1">IF(AR$57="","",INDEX(Leverancer!BS:BS,ROW()-ROW(Leverancer!$AU$25)-6)*Leverancer!BS$96/1000)</f>
        <v/>
      </c>
      <c r="AS61" s="114" t="str">
        <f ca="1">IF(AS$57="","",INDEX(Leverancer!BT:BT,ROW()-ROW(Leverancer!$AU$25)-6)*Leverancer!BT$96/1000)</f>
        <v/>
      </c>
      <c r="AT61" s="114" t="str">
        <f ca="1">IF(AT$57="","",INDEX(Leverancer!BU:BU,ROW()-ROW(Leverancer!$AU$25)-6)*Leverancer!BU$96/1000)</f>
        <v/>
      </c>
      <c r="AU61" s="114" t="str">
        <f ca="1">IF(AU$57="","",INDEX(Leverancer!BV:BV,ROW()-ROW(Leverancer!$AU$25)-6)*Leverancer!BV$96/1000)</f>
        <v/>
      </c>
      <c r="AV61" s="114" t="str">
        <f ca="1">IF(AV$57="","",INDEX(Leverancer!BW:BW,ROW()-ROW(Leverancer!$AU$25)-6)*Leverancer!BW$96/1000)</f>
        <v/>
      </c>
      <c r="AW61" s="114" t="str">
        <f ca="1">IF(AW$57="","",INDEX(Leverancer!BX:BX,ROW()-ROW(Leverancer!$AU$25)-6)*Leverancer!BX$96/1000)</f>
        <v/>
      </c>
      <c r="AX61" s="114"/>
      <c r="AY61" s="114"/>
      <c r="AZ61" s="87"/>
    </row>
    <row r="62" spans="2:52" ht="12.75" customHeight="1" x14ac:dyDescent="0.2">
      <c r="N62" s="85"/>
      <c r="O62" s="90"/>
      <c r="P62" s="90"/>
      <c r="Q62" s="116" t="str">
        <f>INDEX(Leverancer!$AO$1:$AO$1061,ROW()-ROW(Leverancer!$AU$25)-6)&amp;": "&amp;INDEX(Leverancer!$AP$1:$AP$1061,ROW()-ROW(Leverancer!$AU$25)-6)</f>
        <v xml:space="preserve">L4: </v>
      </c>
      <c r="R62" s="114"/>
      <c r="S62" s="119">
        <f t="shared" ca="1" si="10"/>
        <v>0</v>
      </c>
      <c r="T62" s="114">
        <f ca="1">IF(T$57="","",INDEX(Leverancer!AU:AU,ROW()-ROW(Leverancer!$AU$25)-6)*Leverancer!AU$96/1000)</f>
        <v>0</v>
      </c>
      <c r="U62" s="114">
        <f ca="1">IF(U$57="","",INDEX(Leverancer!AV:AV,ROW()-ROW(Leverancer!$AU$25)-6)*Leverancer!AV$96/1000)</f>
        <v>0</v>
      </c>
      <c r="V62" s="114">
        <f ca="1">IF(V$57="","",INDEX(Leverancer!AW:AW,ROW()-ROW(Leverancer!$AU$25)-6)*Leverancer!AW$96/1000)</f>
        <v>0</v>
      </c>
      <c r="W62" s="114">
        <f ca="1">IF(W$57="","",INDEX(Leverancer!AX:AX,ROW()-ROW(Leverancer!$AU$25)-6)*Leverancer!AX$96/1000)</f>
        <v>0</v>
      </c>
      <c r="X62" s="114" t="str">
        <f ca="1">IF(X$57="","",INDEX(Leverancer!AY:AY,ROW()-ROW(Leverancer!$AU$25)-6)*Leverancer!AY$96/1000)</f>
        <v/>
      </c>
      <c r="Y62" s="114" t="str">
        <f ca="1">IF(Y$57="","",INDEX(Leverancer!AZ:AZ,ROW()-ROW(Leverancer!$AU$25)-6)*Leverancer!AZ$96/1000)</f>
        <v/>
      </c>
      <c r="Z62" s="114" t="str">
        <f ca="1">IF(Z$57="","",INDEX(Leverancer!BA:BA,ROW()-ROW(Leverancer!$AU$25)-6)*Leverancer!BA$96/1000)</f>
        <v/>
      </c>
      <c r="AA62" s="114" t="str">
        <f ca="1">IF(AA$57="","",INDEX(Leverancer!BB:BB,ROW()-ROW(Leverancer!$AU$25)-6)*Leverancer!BB$96/1000)</f>
        <v/>
      </c>
      <c r="AB62" s="114" t="str">
        <f ca="1">IF(AB$57="","",INDEX(Leverancer!BC:BC,ROW()-ROW(Leverancer!$AU$25)-6)*Leverancer!BC$96/1000)</f>
        <v/>
      </c>
      <c r="AC62" s="114" t="str">
        <f ca="1">IF(AC$57="","",INDEX(Leverancer!BD:BD,ROW()-ROW(Leverancer!$AU$25)-6)*Leverancer!BD$96/1000)</f>
        <v/>
      </c>
      <c r="AD62" s="114" t="str">
        <f ca="1">IF(AD$57="","",INDEX(Leverancer!BE:BE,ROW()-ROW(Leverancer!$AU$25)-6)*Leverancer!BE$96/1000)</f>
        <v/>
      </c>
      <c r="AE62" s="114" t="str">
        <f ca="1">IF(AE$57="","",INDEX(Leverancer!BF:BF,ROW()-ROW(Leverancer!$AU$25)-6)*Leverancer!BF$96/1000)</f>
        <v/>
      </c>
      <c r="AF62" s="114" t="str">
        <f ca="1">IF(AF$57="","",INDEX(Leverancer!BG:BG,ROW()-ROW(Leverancer!$AU$25)-6)*Leverancer!BG$96/1000)</f>
        <v/>
      </c>
      <c r="AG62" s="114" t="str">
        <f ca="1">IF(AG$57="","",INDEX(Leverancer!BH:BH,ROW()-ROW(Leverancer!$AU$25)-6)*Leverancer!BH$96/1000)</f>
        <v/>
      </c>
      <c r="AH62" s="114" t="str">
        <f ca="1">IF(AH$57="","",INDEX(Leverancer!BI:BI,ROW()-ROW(Leverancer!$AU$25)-6)*Leverancer!BI$96/1000)</f>
        <v/>
      </c>
      <c r="AI62" s="114" t="str">
        <f ca="1">IF(AI$57="","",INDEX(Leverancer!BJ:BJ,ROW()-ROW(Leverancer!$AU$25)-6)*Leverancer!BJ$96/1000)</f>
        <v/>
      </c>
      <c r="AJ62" s="114" t="str">
        <f ca="1">IF(AJ$57="","",INDEX(Leverancer!BK:BK,ROW()-ROW(Leverancer!$AU$25)-6)*Leverancer!BK$96/1000)</f>
        <v/>
      </c>
      <c r="AK62" s="114" t="str">
        <f ca="1">IF(AK$57="","",INDEX(Leverancer!BL:BL,ROW()-ROW(Leverancer!$AU$25)-6)*Leverancer!BL$96/1000)</f>
        <v/>
      </c>
      <c r="AL62" s="114" t="str">
        <f ca="1">IF(AL$57="","",INDEX(Leverancer!BM:BM,ROW()-ROW(Leverancer!$AU$25)-6)*Leverancer!BM$96/1000)</f>
        <v/>
      </c>
      <c r="AM62" s="114" t="str">
        <f ca="1">IF(AM$57="","",INDEX(Leverancer!BN:BN,ROW()-ROW(Leverancer!$AU$25)-6)*Leverancer!BN$96/1000)</f>
        <v/>
      </c>
      <c r="AN62" s="114" t="str">
        <f ca="1">IF(AN$57="","",INDEX(Leverancer!BO:BO,ROW()-ROW(Leverancer!$AU$25)-6)*Leverancer!BO$96/1000)</f>
        <v/>
      </c>
      <c r="AO62" s="114" t="str">
        <f ca="1">IF(AO$57="","",INDEX(Leverancer!BP:BP,ROW()-ROW(Leverancer!$AU$25)-6)*Leverancer!BP$96/1000)</f>
        <v/>
      </c>
      <c r="AP62" s="114" t="str">
        <f ca="1">IF(AP$57="","",INDEX(Leverancer!BQ:BQ,ROW()-ROW(Leverancer!$AU$25)-6)*Leverancer!BQ$96/1000)</f>
        <v/>
      </c>
      <c r="AQ62" s="114" t="str">
        <f ca="1">IF(AQ$57="","",INDEX(Leverancer!BR:BR,ROW()-ROW(Leverancer!$AU$25)-6)*Leverancer!BR$96/1000)</f>
        <v/>
      </c>
      <c r="AR62" s="114" t="str">
        <f ca="1">IF(AR$57="","",INDEX(Leverancer!BS:BS,ROW()-ROW(Leverancer!$AU$25)-6)*Leverancer!BS$96/1000)</f>
        <v/>
      </c>
      <c r="AS62" s="114" t="str">
        <f ca="1">IF(AS$57="","",INDEX(Leverancer!BT:BT,ROW()-ROW(Leverancer!$AU$25)-6)*Leverancer!BT$96/1000)</f>
        <v/>
      </c>
      <c r="AT62" s="114" t="str">
        <f ca="1">IF(AT$57="","",INDEX(Leverancer!BU:BU,ROW()-ROW(Leverancer!$AU$25)-6)*Leverancer!BU$96/1000)</f>
        <v/>
      </c>
      <c r="AU62" s="114" t="str">
        <f ca="1">IF(AU$57="","",INDEX(Leverancer!BV:BV,ROW()-ROW(Leverancer!$AU$25)-6)*Leverancer!BV$96/1000)</f>
        <v/>
      </c>
      <c r="AV62" s="114" t="str">
        <f ca="1">IF(AV$57="","",INDEX(Leverancer!BW:BW,ROW()-ROW(Leverancer!$AU$25)-6)*Leverancer!BW$96/1000)</f>
        <v/>
      </c>
      <c r="AW62" s="114" t="str">
        <f ca="1">IF(AW$57="","",INDEX(Leverancer!BX:BX,ROW()-ROW(Leverancer!$AU$25)-6)*Leverancer!BX$96/1000)</f>
        <v/>
      </c>
      <c r="AX62" s="114"/>
      <c r="AY62" s="114"/>
      <c r="AZ62" s="87"/>
    </row>
    <row r="63" spans="2:52" ht="12.75" customHeight="1" x14ac:dyDescent="0.2">
      <c r="N63" s="85"/>
      <c r="O63" s="90"/>
      <c r="P63" s="90"/>
      <c r="Q63" s="116" t="str">
        <f>INDEX(Leverancer!$AO$1:$AO$1061,ROW()-ROW(Leverancer!$AU$25)-6)&amp;": "&amp;INDEX(Leverancer!$AP$1:$AP$1061,ROW()-ROW(Leverancer!$AU$25)-6)</f>
        <v xml:space="preserve">L5: </v>
      </c>
      <c r="R63" s="114"/>
      <c r="S63" s="119">
        <f t="shared" ca="1" si="10"/>
        <v>0</v>
      </c>
      <c r="T63" s="114">
        <f ca="1">IF(T$57="","",INDEX(Leverancer!AU:AU,ROW()-ROW(Leverancer!$AU$25)-6)*Leverancer!AU$96/1000)</f>
        <v>0</v>
      </c>
      <c r="U63" s="114">
        <f ca="1">IF(U$57="","",INDEX(Leverancer!AV:AV,ROW()-ROW(Leverancer!$AU$25)-6)*Leverancer!AV$96/1000)</f>
        <v>0</v>
      </c>
      <c r="V63" s="114">
        <f ca="1">IF(V$57="","",INDEX(Leverancer!AW:AW,ROW()-ROW(Leverancer!$AU$25)-6)*Leverancer!AW$96/1000)</f>
        <v>0</v>
      </c>
      <c r="W63" s="114">
        <f ca="1">IF(W$57="","",INDEX(Leverancer!AX:AX,ROW()-ROW(Leverancer!$AU$25)-6)*Leverancer!AX$96/1000)</f>
        <v>0</v>
      </c>
      <c r="X63" s="114" t="str">
        <f ca="1">IF(X$57="","",INDEX(Leverancer!AY:AY,ROW()-ROW(Leverancer!$AU$25)-6)*Leverancer!AY$96/1000)</f>
        <v/>
      </c>
      <c r="Y63" s="114" t="str">
        <f ca="1">IF(Y$57="","",INDEX(Leverancer!AZ:AZ,ROW()-ROW(Leverancer!$AU$25)-6)*Leverancer!AZ$96/1000)</f>
        <v/>
      </c>
      <c r="Z63" s="114" t="str">
        <f ca="1">IF(Z$57="","",INDEX(Leverancer!BA:BA,ROW()-ROW(Leverancer!$AU$25)-6)*Leverancer!BA$96/1000)</f>
        <v/>
      </c>
      <c r="AA63" s="114" t="str">
        <f ca="1">IF(AA$57="","",INDEX(Leverancer!BB:BB,ROW()-ROW(Leverancer!$AU$25)-6)*Leverancer!BB$96/1000)</f>
        <v/>
      </c>
      <c r="AB63" s="114" t="str">
        <f ca="1">IF(AB$57="","",INDEX(Leverancer!BC:BC,ROW()-ROW(Leverancer!$AU$25)-6)*Leverancer!BC$96/1000)</f>
        <v/>
      </c>
      <c r="AC63" s="114" t="str">
        <f ca="1">IF(AC$57="","",INDEX(Leverancer!BD:BD,ROW()-ROW(Leverancer!$AU$25)-6)*Leverancer!BD$96/1000)</f>
        <v/>
      </c>
      <c r="AD63" s="114" t="str">
        <f ca="1">IF(AD$57="","",INDEX(Leverancer!BE:BE,ROW()-ROW(Leverancer!$AU$25)-6)*Leverancer!BE$96/1000)</f>
        <v/>
      </c>
      <c r="AE63" s="114" t="str">
        <f ca="1">IF(AE$57="","",INDEX(Leverancer!BF:BF,ROW()-ROW(Leverancer!$AU$25)-6)*Leverancer!BF$96/1000)</f>
        <v/>
      </c>
      <c r="AF63" s="114" t="str">
        <f ca="1">IF(AF$57="","",INDEX(Leverancer!BG:BG,ROW()-ROW(Leverancer!$AU$25)-6)*Leverancer!BG$96/1000)</f>
        <v/>
      </c>
      <c r="AG63" s="114" t="str">
        <f ca="1">IF(AG$57="","",INDEX(Leverancer!BH:BH,ROW()-ROW(Leverancer!$AU$25)-6)*Leverancer!BH$96/1000)</f>
        <v/>
      </c>
      <c r="AH63" s="114" t="str">
        <f ca="1">IF(AH$57="","",INDEX(Leverancer!BI:BI,ROW()-ROW(Leverancer!$AU$25)-6)*Leverancer!BI$96/1000)</f>
        <v/>
      </c>
      <c r="AI63" s="114" t="str">
        <f ca="1">IF(AI$57="","",INDEX(Leverancer!BJ:BJ,ROW()-ROW(Leverancer!$AU$25)-6)*Leverancer!BJ$96/1000)</f>
        <v/>
      </c>
      <c r="AJ63" s="114" t="str">
        <f ca="1">IF(AJ$57="","",INDEX(Leverancer!BK:BK,ROW()-ROW(Leverancer!$AU$25)-6)*Leverancer!BK$96/1000)</f>
        <v/>
      </c>
      <c r="AK63" s="114" t="str">
        <f ca="1">IF(AK$57="","",INDEX(Leverancer!BL:BL,ROW()-ROW(Leverancer!$AU$25)-6)*Leverancer!BL$96/1000)</f>
        <v/>
      </c>
      <c r="AL63" s="114" t="str">
        <f ca="1">IF(AL$57="","",INDEX(Leverancer!BM:BM,ROW()-ROW(Leverancer!$AU$25)-6)*Leverancer!BM$96/1000)</f>
        <v/>
      </c>
      <c r="AM63" s="114" t="str">
        <f ca="1">IF(AM$57="","",INDEX(Leverancer!BN:BN,ROW()-ROW(Leverancer!$AU$25)-6)*Leverancer!BN$96/1000)</f>
        <v/>
      </c>
      <c r="AN63" s="114" t="str">
        <f ca="1">IF(AN$57="","",INDEX(Leverancer!BO:BO,ROW()-ROW(Leverancer!$AU$25)-6)*Leverancer!BO$96/1000)</f>
        <v/>
      </c>
      <c r="AO63" s="114" t="str">
        <f ca="1">IF(AO$57="","",INDEX(Leverancer!BP:BP,ROW()-ROW(Leverancer!$AU$25)-6)*Leverancer!BP$96/1000)</f>
        <v/>
      </c>
      <c r="AP63" s="114" t="str">
        <f ca="1">IF(AP$57="","",INDEX(Leverancer!BQ:BQ,ROW()-ROW(Leverancer!$AU$25)-6)*Leverancer!BQ$96/1000)</f>
        <v/>
      </c>
      <c r="AQ63" s="114" t="str">
        <f ca="1">IF(AQ$57="","",INDEX(Leverancer!BR:BR,ROW()-ROW(Leverancer!$AU$25)-6)*Leverancer!BR$96/1000)</f>
        <v/>
      </c>
      <c r="AR63" s="114" t="str">
        <f ca="1">IF(AR$57="","",INDEX(Leverancer!BS:BS,ROW()-ROW(Leverancer!$AU$25)-6)*Leverancer!BS$96/1000)</f>
        <v/>
      </c>
      <c r="AS63" s="114" t="str">
        <f ca="1">IF(AS$57="","",INDEX(Leverancer!BT:BT,ROW()-ROW(Leverancer!$AU$25)-6)*Leverancer!BT$96/1000)</f>
        <v/>
      </c>
      <c r="AT63" s="114" t="str">
        <f ca="1">IF(AT$57="","",INDEX(Leverancer!BU:BU,ROW()-ROW(Leverancer!$AU$25)-6)*Leverancer!BU$96/1000)</f>
        <v/>
      </c>
      <c r="AU63" s="114" t="str">
        <f ca="1">IF(AU$57="","",INDEX(Leverancer!BV:BV,ROW()-ROW(Leverancer!$AU$25)-6)*Leverancer!BV$96/1000)</f>
        <v/>
      </c>
      <c r="AV63" s="114" t="str">
        <f ca="1">IF(AV$57="","",INDEX(Leverancer!BW:BW,ROW()-ROW(Leverancer!$AU$25)-6)*Leverancer!BW$96/1000)</f>
        <v/>
      </c>
      <c r="AW63" s="114" t="str">
        <f ca="1">IF(AW$57="","",INDEX(Leverancer!BX:BX,ROW()-ROW(Leverancer!$AU$25)-6)*Leverancer!BX$96/1000)</f>
        <v/>
      </c>
      <c r="AX63" s="114"/>
      <c r="AY63" s="114"/>
      <c r="AZ63" s="87"/>
    </row>
    <row r="64" spans="2:52" ht="12.75" customHeight="1" x14ac:dyDescent="0.2">
      <c r="N64" s="85"/>
      <c r="O64" s="90"/>
      <c r="P64" s="90"/>
      <c r="Q64" s="116" t="str">
        <f>INDEX(Leverancer!$AO$1:$AO$1061,ROW()-ROW(Leverancer!$AU$25)-6)&amp;": "&amp;INDEX(Leverancer!$AP$1:$AP$1061,ROW()-ROW(Leverancer!$AU$25)-6)</f>
        <v xml:space="preserve">L6: </v>
      </c>
      <c r="R64" s="114"/>
      <c r="S64" s="119">
        <f t="shared" ca="1" si="10"/>
        <v>0</v>
      </c>
      <c r="T64" s="114">
        <f ca="1">IF(T$57="","",INDEX(Leverancer!AU:AU,ROW()-ROW(Leverancer!$AU$25)-6)*Leverancer!AU$96/1000)</f>
        <v>0</v>
      </c>
      <c r="U64" s="114">
        <f ca="1">IF(U$57="","",INDEX(Leverancer!AV:AV,ROW()-ROW(Leverancer!$AU$25)-6)*Leverancer!AV$96/1000)</f>
        <v>0</v>
      </c>
      <c r="V64" s="114">
        <f ca="1">IF(V$57="","",INDEX(Leverancer!AW:AW,ROW()-ROW(Leverancer!$AU$25)-6)*Leverancer!AW$96/1000)</f>
        <v>0</v>
      </c>
      <c r="W64" s="114">
        <f ca="1">IF(W$57="","",INDEX(Leverancer!AX:AX,ROW()-ROW(Leverancer!$AU$25)-6)*Leverancer!AX$96/1000)</f>
        <v>0</v>
      </c>
      <c r="X64" s="114" t="str">
        <f ca="1">IF(X$57="","",INDEX(Leverancer!AY:AY,ROW()-ROW(Leverancer!$AU$25)-6)*Leverancer!AY$96/1000)</f>
        <v/>
      </c>
      <c r="Y64" s="114" t="str">
        <f ca="1">IF(Y$57="","",INDEX(Leverancer!AZ:AZ,ROW()-ROW(Leverancer!$AU$25)-6)*Leverancer!AZ$96/1000)</f>
        <v/>
      </c>
      <c r="Z64" s="114" t="str">
        <f ca="1">IF(Z$57="","",INDEX(Leverancer!BA:BA,ROW()-ROW(Leverancer!$AU$25)-6)*Leverancer!BA$96/1000)</f>
        <v/>
      </c>
      <c r="AA64" s="114" t="str">
        <f ca="1">IF(AA$57="","",INDEX(Leverancer!BB:BB,ROW()-ROW(Leverancer!$AU$25)-6)*Leverancer!BB$96/1000)</f>
        <v/>
      </c>
      <c r="AB64" s="114" t="str">
        <f ca="1">IF(AB$57="","",INDEX(Leverancer!BC:BC,ROW()-ROW(Leverancer!$AU$25)-6)*Leverancer!BC$96/1000)</f>
        <v/>
      </c>
      <c r="AC64" s="114" t="str">
        <f ca="1">IF(AC$57="","",INDEX(Leverancer!BD:BD,ROW()-ROW(Leverancer!$AU$25)-6)*Leverancer!BD$96/1000)</f>
        <v/>
      </c>
      <c r="AD64" s="114" t="str">
        <f ca="1">IF(AD$57="","",INDEX(Leverancer!BE:BE,ROW()-ROW(Leverancer!$AU$25)-6)*Leverancer!BE$96/1000)</f>
        <v/>
      </c>
      <c r="AE64" s="114" t="str">
        <f ca="1">IF(AE$57="","",INDEX(Leverancer!BF:BF,ROW()-ROW(Leverancer!$AU$25)-6)*Leverancer!BF$96/1000)</f>
        <v/>
      </c>
      <c r="AF64" s="114" t="str">
        <f ca="1">IF(AF$57="","",INDEX(Leverancer!BG:BG,ROW()-ROW(Leverancer!$AU$25)-6)*Leverancer!BG$96/1000)</f>
        <v/>
      </c>
      <c r="AG64" s="114" t="str">
        <f ca="1">IF(AG$57="","",INDEX(Leverancer!BH:BH,ROW()-ROW(Leverancer!$AU$25)-6)*Leverancer!BH$96/1000)</f>
        <v/>
      </c>
      <c r="AH64" s="114" t="str">
        <f ca="1">IF(AH$57="","",INDEX(Leverancer!BI:BI,ROW()-ROW(Leverancer!$AU$25)-6)*Leverancer!BI$96/1000)</f>
        <v/>
      </c>
      <c r="AI64" s="114" t="str">
        <f ca="1">IF(AI$57="","",INDEX(Leverancer!BJ:BJ,ROW()-ROW(Leverancer!$AU$25)-6)*Leverancer!BJ$96/1000)</f>
        <v/>
      </c>
      <c r="AJ64" s="114" t="str">
        <f ca="1">IF(AJ$57="","",INDEX(Leverancer!BK:BK,ROW()-ROW(Leverancer!$AU$25)-6)*Leverancer!BK$96/1000)</f>
        <v/>
      </c>
      <c r="AK64" s="114" t="str">
        <f ca="1">IF(AK$57="","",INDEX(Leverancer!BL:BL,ROW()-ROW(Leverancer!$AU$25)-6)*Leverancer!BL$96/1000)</f>
        <v/>
      </c>
      <c r="AL64" s="114" t="str">
        <f ca="1">IF(AL$57="","",INDEX(Leverancer!BM:BM,ROW()-ROW(Leverancer!$AU$25)-6)*Leverancer!BM$96/1000)</f>
        <v/>
      </c>
      <c r="AM64" s="114" t="str">
        <f ca="1">IF(AM$57="","",INDEX(Leverancer!BN:BN,ROW()-ROW(Leverancer!$AU$25)-6)*Leverancer!BN$96/1000)</f>
        <v/>
      </c>
      <c r="AN64" s="114" t="str">
        <f ca="1">IF(AN$57="","",INDEX(Leverancer!BO:BO,ROW()-ROW(Leverancer!$AU$25)-6)*Leverancer!BO$96/1000)</f>
        <v/>
      </c>
      <c r="AO64" s="114" t="str">
        <f ca="1">IF(AO$57="","",INDEX(Leverancer!BP:BP,ROW()-ROW(Leverancer!$AU$25)-6)*Leverancer!BP$96/1000)</f>
        <v/>
      </c>
      <c r="AP64" s="114" t="str">
        <f ca="1">IF(AP$57="","",INDEX(Leverancer!BQ:BQ,ROW()-ROW(Leverancer!$AU$25)-6)*Leverancer!BQ$96/1000)</f>
        <v/>
      </c>
      <c r="AQ64" s="114" t="str">
        <f ca="1">IF(AQ$57="","",INDEX(Leverancer!BR:BR,ROW()-ROW(Leverancer!$AU$25)-6)*Leverancer!BR$96/1000)</f>
        <v/>
      </c>
      <c r="AR64" s="114" t="str">
        <f ca="1">IF(AR$57="","",INDEX(Leverancer!BS:BS,ROW()-ROW(Leverancer!$AU$25)-6)*Leverancer!BS$96/1000)</f>
        <v/>
      </c>
      <c r="AS64" s="114" t="str">
        <f ca="1">IF(AS$57="","",INDEX(Leverancer!BT:BT,ROW()-ROW(Leverancer!$AU$25)-6)*Leverancer!BT$96/1000)</f>
        <v/>
      </c>
      <c r="AT64" s="114" t="str">
        <f ca="1">IF(AT$57="","",INDEX(Leverancer!BU:BU,ROW()-ROW(Leverancer!$AU$25)-6)*Leverancer!BU$96/1000)</f>
        <v/>
      </c>
      <c r="AU64" s="114" t="str">
        <f ca="1">IF(AU$57="","",INDEX(Leverancer!BV:BV,ROW()-ROW(Leverancer!$AU$25)-6)*Leverancer!BV$96/1000)</f>
        <v/>
      </c>
      <c r="AV64" s="114" t="str">
        <f ca="1">IF(AV$57="","",INDEX(Leverancer!BW:BW,ROW()-ROW(Leverancer!$AU$25)-6)*Leverancer!BW$96/1000)</f>
        <v/>
      </c>
      <c r="AW64" s="114" t="str">
        <f ca="1">IF(AW$57="","",INDEX(Leverancer!BX:BX,ROW()-ROW(Leverancer!$AU$25)-6)*Leverancer!BX$96/1000)</f>
        <v/>
      </c>
      <c r="AX64" s="90"/>
      <c r="AY64" s="90"/>
      <c r="AZ64" s="87"/>
    </row>
    <row r="65" spans="14:52" ht="12.75" customHeight="1" x14ac:dyDescent="0.2">
      <c r="N65" s="85"/>
      <c r="O65" s="90"/>
      <c r="P65" s="90"/>
      <c r="Q65" s="116" t="str">
        <f>INDEX(Leverancer!$AO$1:$AO$1061,ROW()-ROW(Leverancer!$AU$25)-6)&amp;": "&amp;INDEX(Leverancer!$AP$1:$AP$1061,ROW()-ROW(Leverancer!$AU$25)-6)</f>
        <v xml:space="preserve">L7: </v>
      </c>
      <c r="R65" s="114"/>
      <c r="S65" s="119">
        <f t="shared" ca="1" si="10"/>
        <v>0</v>
      </c>
      <c r="T65" s="114">
        <f ca="1">IF(T$57="","",INDEX(Leverancer!AU:AU,ROW()-ROW(Leverancer!$AU$25)-6)*Leverancer!AU$96/1000)</f>
        <v>0</v>
      </c>
      <c r="U65" s="114">
        <f ca="1">IF(U$57="","",INDEX(Leverancer!AV:AV,ROW()-ROW(Leverancer!$AU$25)-6)*Leverancer!AV$96/1000)</f>
        <v>0</v>
      </c>
      <c r="V65" s="114">
        <f ca="1">IF(V$57="","",INDEX(Leverancer!AW:AW,ROW()-ROW(Leverancer!$AU$25)-6)*Leverancer!AW$96/1000)</f>
        <v>0</v>
      </c>
      <c r="W65" s="114">
        <f ca="1">IF(W$57="","",INDEX(Leverancer!AX:AX,ROW()-ROW(Leverancer!$AU$25)-6)*Leverancer!AX$96/1000)</f>
        <v>0</v>
      </c>
      <c r="X65" s="114" t="str">
        <f ca="1">IF(X$57="","",INDEX(Leverancer!AY:AY,ROW()-ROW(Leverancer!$AU$25)-6)*Leverancer!AY$96/1000)</f>
        <v/>
      </c>
      <c r="Y65" s="114" t="str">
        <f ca="1">IF(Y$57="","",INDEX(Leverancer!AZ:AZ,ROW()-ROW(Leverancer!$AU$25)-6)*Leverancer!AZ$96/1000)</f>
        <v/>
      </c>
      <c r="Z65" s="114" t="str">
        <f ca="1">IF(Z$57="","",INDEX(Leverancer!BA:BA,ROW()-ROW(Leverancer!$AU$25)-6)*Leverancer!BA$96/1000)</f>
        <v/>
      </c>
      <c r="AA65" s="114" t="str">
        <f ca="1">IF(AA$57="","",INDEX(Leverancer!BB:BB,ROW()-ROW(Leverancer!$AU$25)-6)*Leverancer!BB$96/1000)</f>
        <v/>
      </c>
      <c r="AB65" s="114" t="str">
        <f ca="1">IF(AB$57="","",INDEX(Leverancer!BC:BC,ROW()-ROW(Leverancer!$AU$25)-6)*Leverancer!BC$96/1000)</f>
        <v/>
      </c>
      <c r="AC65" s="114" t="str">
        <f ca="1">IF(AC$57="","",INDEX(Leverancer!BD:BD,ROW()-ROW(Leverancer!$AU$25)-6)*Leverancer!BD$96/1000)</f>
        <v/>
      </c>
      <c r="AD65" s="114" t="str">
        <f ca="1">IF(AD$57="","",INDEX(Leverancer!BE:BE,ROW()-ROW(Leverancer!$AU$25)-6)*Leverancer!BE$96/1000)</f>
        <v/>
      </c>
      <c r="AE65" s="114" t="str">
        <f ca="1">IF(AE$57="","",INDEX(Leverancer!BF:BF,ROW()-ROW(Leverancer!$AU$25)-6)*Leverancer!BF$96/1000)</f>
        <v/>
      </c>
      <c r="AF65" s="114" t="str">
        <f ca="1">IF(AF$57="","",INDEX(Leverancer!BG:BG,ROW()-ROW(Leverancer!$AU$25)-6)*Leverancer!BG$96/1000)</f>
        <v/>
      </c>
      <c r="AG65" s="114" t="str">
        <f ca="1">IF(AG$57="","",INDEX(Leverancer!BH:BH,ROW()-ROW(Leverancer!$AU$25)-6)*Leverancer!BH$96/1000)</f>
        <v/>
      </c>
      <c r="AH65" s="114" t="str">
        <f ca="1">IF(AH$57="","",INDEX(Leverancer!BI:BI,ROW()-ROW(Leverancer!$AU$25)-6)*Leverancer!BI$96/1000)</f>
        <v/>
      </c>
      <c r="AI65" s="114" t="str">
        <f ca="1">IF(AI$57="","",INDEX(Leverancer!BJ:BJ,ROW()-ROW(Leverancer!$AU$25)-6)*Leverancer!BJ$96/1000)</f>
        <v/>
      </c>
      <c r="AJ65" s="114" t="str">
        <f ca="1">IF(AJ$57="","",INDEX(Leverancer!BK:BK,ROW()-ROW(Leverancer!$AU$25)-6)*Leverancer!BK$96/1000)</f>
        <v/>
      </c>
      <c r="AK65" s="114" t="str">
        <f ca="1">IF(AK$57="","",INDEX(Leverancer!BL:BL,ROW()-ROW(Leverancer!$AU$25)-6)*Leverancer!BL$96/1000)</f>
        <v/>
      </c>
      <c r="AL65" s="114" t="str">
        <f ca="1">IF(AL$57="","",INDEX(Leverancer!BM:BM,ROW()-ROW(Leverancer!$AU$25)-6)*Leverancer!BM$96/1000)</f>
        <v/>
      </c>
      <c r="AM65" s="114" t="str">
        <f ca="1">IF(AM$57="","",INDEX(Leverancer!BN:BN,ROW()-ROW(Leverancer!$AU$25)-6)*Leverancer!BN$96/1000)</f>
        <v/>
      </c>
      <c r="AN65" s="114" t="str">
        <f ca="1">IF(AN$57="","",INDEX(Leverancer!BO:BO,ROW()-ROW(Leverancer!$AU$25)-6)*Leverancer!BO$96/1000)</f>
        <v/>
      </c>
      <c r="AO65" s="114" t="str">
        <f ca="1">IF(AO$57="","",INDEX(Leverancer!BP:BP,ROW()-ROW(Leverancer!$AU$25)-6)*Leverancer!BP$96/1000)</f>
        <v/>
      </c>
      <c r="AP65" s="114" t="str">
        <f ca="1">IF(AP$57="","",INDEX(Leverancer!BQ:BQ,ROW()-ROW(Leverancer!$AU$25)-6)*Leverancer!BQ$96/1000)</f>
        <v/>
      </c>
      <c r="AQ65" s="114" t="str">
        <f ca="1">IF(AQ$57="","",INDEX(Leverancer!BR:BR,ROW()-ROW(Leverancer!$AU$25)-6)*Leverancer!BR$96/1000)</f>
        <v/>
      </c>
      <c r="AR65" s="114" t="str">
        <f ca="1">IF(AR$57="","",INDEX(Leverancer!BS:BS,ROW()-ROW(Leverancer!$AU$25)-6)*Leverancer!BS$96/1000)</f>
        <v/>
      </c>
      <c r="AS65" s="114" t="str">
        <f ca="1">IF(AS$57="","",INDEX(Leverancer!BT:BT,ROW()-ROW(Leverancer!$AU$25)-6)*Leverancer!BT$96/1000)</f>
        <v/>
      </c>
      <c r="AT65" s="114" t="str">
        <f ca="1">IF(AT$57="","",INDEX(Leverancer!BU:BU,ROW()-ROW(Leverancer!$AU$25)-6)*Leverancer!BU$96/1000)</f>
        <v/>
      </c>
      <c r="AU65" s="114" t="str">
        <f ca="1">IF(AU$57="","",INDEX(Leverancer!BV:BV,ROW()-ROW(Leverancer!$AU$25)-6)*Leverancer!BV$96/1000)</f>
        <v/>
      </c>
      <c r="AV65" s="114" t="str">
        <f ca="1">IF(AV$57="","",INDEX(Leverancer!BW:BW,ROW()-ROW(Leverancer!$AU$25)-6)*Leverancer!BW$96/1000)</f>
        <v/>
      </c>
      <c r="AW65" s="114" t="str">
        <f ca="1">IF(AW$57="","",INDEX(Leverancer!BX:BX,ROW()-ROW(Leverancer!$AU$25)-6)*Leverancer!BX$96/1000)</f>
        <v/>
      </c>
      <c r="AX65" s="90"/>
      <c r="AY65" s="90"/>
      <c r="AZ65" s="87"/>
    </row>
    <row r="66" spans="14:52" ht="12.75" customHeight="1" x14ac:dyDescent="0.2">
      <c r="N66" s="85"/>
      <c r="O66" s="90"/>
      <c r="P66" s="90"/>
      <c r="Q66" s="116" t="str">
        <f>INDEX(Leverancer!$AO$1:$AO$1061,ROW()-ROW(Leverancer!$AU$25)-6)&amp;": "&amp;INDEX(Leverancer!$AP$1:$AP$1061,ROW()-ROW(Leverancer!$AU$25)-6)</f>
        <v xml:space="preserve">L8: </v>
      </c>
      <c r="R66" s="114"/>
      <c r="S66" s="119">
        <f t="shared" ca="1" si="10"/>
        <v>0</v>
      </c>
      <c r="T66" s="114">
        <f ca="1">IF(T$57="","",INDEX(Leverancer!AU:AU,ROW()-ROW(Leverancer!$AU$25)-6)*Leverancer!AU$96/1000)</f>
        <v>0</v>
      </c>
      <c r="U66" s="114">
        <f ca="1">IF(U$57="","",INDEX(Leverancer!AV:AV,ROW()-ROW(Leverancer!$AU$25)-6)*Leverancer!AV$96/1000)</f>
        <v>0</v>
      </c>
      <c r="V66" s="114">
        <f ca="1">IF(V$57="","",INDEX(Leverancer!AW:AW,ROW()-ROW(Leverancer!$AU$25)-6)*Leverancer!AW$96/1000)</f>
        <v>0</v>
      </c>
      <c r="W66" s="114">
        <f ca="1">IF(W$57="","",INDEX(Leverancer!AX:AX,ROW()-ROW(Leverancer!$AU$25)-6)*Leverancer!AX$96/1000)</f>
        <v>0</v>
      </c>
      <c r="X66" s="114" t="str">
        <f ca="1">IF(X$57="","",INDEX(Leverancer!AY:AY,ROW()-ROW(Leverancer!$AU$25)-6)*Leverancer!AY$96/1000)</f>
        <v/>
      </c>
      <c r="Y66" s="114" t="str">
        <f ca="1">IF(Y$57="","",INDEX(Leverancer!AZ:AZ,ROW()-ROW(Leverancer!$AU$25)-6)*Leverancer!AZ$96/1000)</f>
        <v/>
      </c>
      <c r="Z66" s="114" t="str">
        <f ca="1">IF(Z$57="","",INDEX(Leverancer!BA:BA,ROW()-ROW(Leverancer!$AU$25)-6)*Leverancer!BA$96/1000)</f>
        <v/>
      </c>
      <c r="AA66" s="114" t="str">
        <f ca="1">IF(AA$57="","",INDEX(Leverancer!BB:BB,ROW()-ROW(Leverancer!$AU$25)-6)*Leverancer!BB$96/1000)</f>
        <v/>
      </c>
      <c r="AB66" s="114" t="str">
        <f ca="1">IF(AB$57="","",INDEX(Leverancer!BC:BC,ROW()-ROW(Leverancer!$AU$25)-6)*Leverancer!BC$96/1000)</f>
        <v/>
      </c>
      <c r="AC66" s="114" t="str">
        <f ca="1">IF(AC$57="","",INDEX(Leverancer!BD:BD,ROW()-ROW(Leverancer!$AU$25)-6)*Leverancer!BD$96/1000)</f>
        <v/>
      </c>
      <c r="AD66" s="114" t="str">
        <f ca="1">IF(AD$57="","",INDEX(Leverancer!BE:BE,ROW()-ROW(Leverancer!$AU$25)-6)*Leverancer!BE$96/1000)</f>
        <v/>
      </c>
      <c r="AE66" s="114" t="str">
        <f ca="1">IF(AE$57="","",INDEX(Leverancer!BF:BF,ROW()-ROW(Leverancer!$AU$25)-6)*Leverancer!BF$96/1000)</f>
        <v/>
      </c>
      <c r="AF66" s="114" t="str">
        <f ca="1">IF(AF$57="","",INDEX(Leverancer!BG:BG,ROW()-ROW(Leverancer!$AU$25)-6)*Leverancer!BG$96/1000)</f>
        <v/>
      </c>
      <c r="AG66" s="114" t="str">
        <f ca="1">IF(AG$57="","",INDEX(Leverancer!BH:BH,ROW()-ROW(Leverancer!$AU$25)-6)*Leverancer!BH$96/1000)</f>
        <v/>
      </c>
      <c r="AH66" s="114" t="str">
        <f ca="1">IF(AH$57="","",INDEX(Leverancer!BI:BI,ROW()-ROW(Leverancer!$AU$25)-6)*Leverancer!BI$96/1000)</f>
        <v/>
      </c>
      <c r="AI66" s="114" t="str">
        <f ca="1">IF(AI$57="","",INDEX(Leverancer!BJ:BJ,ROW()-ROW(Leverancer!$AU$25)-6)*Leverancer!BJ$96/1000)</f>
        <v/>
      </c>
      <c r="AJ66" s="114" t="str">
        <f ca="1">IF(AJ$57="","",INDEX(Leverancer!BK:BK,ROW()-ROW(Leverancer!$AU$25)-6)*Leverancer!BK$96/1000)</f>
        <v/>
      </c>
      <c r="AK66" s="114" t="str">
        <f ca="1">IF(AK$57="","",INDEX(Leverancer!BL:BL,ROW()-ROW(Leverancer!$AU$25)-6)*Leverancer!BL$96/1000)</f>
        <v/>
      </c>
      <c r="AL66" s="114" t="str">
        <f ca="1">IF(AL$57="","",INDEX(Leverancer!BM:BM,ROW()-ROW(Leverancer!$AU$25)-6)*Leverancer!BM$96/1000)</f>
        <v/>
      </c>
      <c r="AM66" s="114" t="str">
        <f ca="1">IF(AM$57="","",INDEX(Leverancer!BN:BN,ROW()-ROW(Leverancer!$AU$25)-6)*Leverancer!BN$96/1000)</f>
        <v/>
      </c>
      <c r="AN66" s="114" t="str">
        <f ca="1">IF(AN$57="","",INDEX(Leverancer!BO:BO,ROW()-ROW(Leverancer!$AU$25)-6)*Leverancer!BO$96/1000)</f>
        <v/>
      </c>
      <c r="AO66" s="114" t="str">
        <f ca="1">IF(AO$57="","",INDEX(Leverancer!BP:BP,ROW()-ROW(Leverancer!$AU$25)-6)*Leverancer!BP$96/1000)</f>
        <v/>
      </c>
      <c r="AP66" s="114" t="str">
        <f ca="1">IF(AP$57="","",INDEX(Leverancer!BQ:BQ,ROW()-ROW(Leverancer!$AU$25)-6)*Leverancer!BQ$96/1000)</f>
        <v/>
      </c>
      <c r="AQ66" s="114" t="str">
        <f ca="1">IF(AQ$57="","",INDEX(Leverancer!BR:BR,ROW()-ROW(Leverancer!$AU$25)-6)*Leverancer!BR$96/1000)</f>
        <v/>
      </c>
      <c r="AR66" s="114" t="str">
        <f ca="1">IF(AR$57="","",INDEX(Leverancer!BS:BS,ROW()-ROW(Leverancer!$AU$25)-6)*Leverancer!BS$96/1000)</f>
        <v/>
      </c>
      <c r="AS66" s="114" t="str">
        <f ca="1">IF(AS$57="","",INDEX(Leverancer!BT:BT,ROW()-ROW(Leverancer!$AU$25)-6)*Leverancer!BT$96/1000)</f>
        <v/>
      </c>
      <c r="AT66" s="114" t="str">
        <f ca="1">IF(AT$57="","",INDEX(Leverancer!BU:BU,ROW()-ROW(Leverancer!$AU$25)-6)*Leverancer!BU$96/1000)</f>
        <v/>
      </c>
      <c r="AU66" s="114" t="str">
        <f ca="1">IF(AU$57="","",INDEX(Leverancer!BV:BV,ROW()-ROW(Leverancer!$AU$25)-6)*Leverancer!BV$96/1000)</f>
        <v/>
      </c>
      <c r="AV66" s="114" t="str">
        <f ca="1">IF(AV$57="","",INDEX(Leverancer!BW:BW,ROW()-ROW(Leverancer!$AU$25)-6)*Leverancer!BW$96/1000)</f>
        <v/>
      </c>
      <c r="AW66" s="114" t="str">
        <f ca="1">IF(AW$57="","",INDEX(Leverancer!BX:BX,ROW()-ROW(Leverancer!$AU$25)-6)*Leverancer!BX$96/1000)</f>
        <v/>
      </c>
      <c r="AX66" s="90"/>
      <c r="AY66" s="90"/>
      <c r="AZ66" s="87"/>
    </row>
    <row r="67" spans="14:52" ht="12.75" customHeight="1" x14ac:dyDescent="0.2">
      <c r="N67" s="85"/>
      <c r="O67" s="90"/>
      <c r="P67" s="90"/>
      <c r="Q67" s="116" t="str">
        <f>INDEX(Leverancer!$AO$1:$AO$1061,ROW()-ROW(Leverancer!$AU$25)-6)&amp;": "&amp;INDEX(Leverancer!$AP$1:$AP$1061,ROW()-ROW(Leverancer!$AU$25)-6)</f>
        <v xml:space="preserve">L9: </v>
      </c>
      <c r="R67" s="114"/>
      <c r="S67" s="119">
        <f t="shared" ca="1" si="10"/>
        <v>0</v>
      </c>
      <c r="T67" s="114">
        <f ca="1">IF(T$57="","",INDEX(Leverancer!AU:AU,ROW()-ROW(Leverancer!$AU$25)-6)*Leverancer!AU$96/1000)</f>
        <v>0</v>
      </c>
      <c r="U67" s="114">
        <f ca="1">IF(U$57="","",INDEX(Leverancer!AV:AV,ROW()-ROW(Leverancer!$AU$25)-6)*Leverancer!AV$96/1000)</f>
        <v>0</v>
      </c>
      <c r="V67" s="114">
        <f ca="1">IF(V$57="","",INDEX(Leverancer!AW:AW,ROW()-ROW(Leverancer!$AU$25)-6)*Leverancer!AW$96/1000)</f>
        <v>0</v>
      </c>
      <c r="W67" s="114">
        <f ca="1">IF(W$57="","",INDEX(Leverancer!AX:AX,ROW()-ROW(Leverancer!$AU$25)-6)*Leverancer!AX$96/1000)</f>
        <v>0</v>
      </c>
      <c r="X67" s="114" t="str">
        <f ca="1">IF(X$57="","",INDEX(Leverancer!AY:AY,ROW()-ROW(Leverancer!$AU$25)-6)*Leverancer!AY$96/1000)</f>
        <v/>
      </c>
      <c r="Y67" s="114" t="str">
        <f ca="1">IF(Y$57="","",INDEX(Leverancer!AZ:AZ,ROW()-ROW(Leverancer!$AU$25)-6)*Leverancer!AZ$96/1000)</f>
        <v/>
      </c>
      <c r="Z67" s="114" t="str">
        <f ca="1">IF(Z$57="","",INDEX(Leverancer!BA:BA,ROW()-ROW(Leverancer!$AU$25)-6)*Leverancer!BA$96/1000)</f>
        <v/>
      </c>
      <c r="AA67" s="114" t="str">
        <f ca="1">IF(AA$57="","",INDEX(Leverancer!BB:BB,ROW()-ROW(Leverancer!$AU$25)-6)*Leverancer!BB$96/1000)</f>
        <v/>
      </c>
      <c r="AB67" s="114" t="str">
        <f ca="1">IF(AB$57="","",INDEX(Leverancer!BC:BC,ROW()-ROW(Leverancer!$AU$25)-6)*Leverancer!BC$96/1000)</f>
        <v/>
      </c>
      <c r="AC67" s="114" t="str">
        <f ca="1">IF(AC$57="","",INDEX(Leverancer!BD:BD,ROW()-ROW(Leverancer!$AU$25)-6)*Leverancer!BD$96/1000)</f>
        <v/>
      </c>
      <c r="AD67" s="114" t="str">
        <f ca="1">IF(AD$57="","",INDEX(Leverancer!BE:BE,ROW()-ROW(Leverancer!$AU$25)-6)*Leverancer!BE$96/1000)</f>
        <v/>
      </c>
      <c r="AE67" s="114" t="str">
        <f ca="1">IF(AE$57="","",INDEX(Leverancer!BF:BF,ROW()-ROW(Leverancer!$AU$25)-6)*Leverancer!BF$96/1000)</f>
        <v/>
      </c>
      <c r="AF67" s="114" t="str">
        <f ca="1">IF(AF$57="","",INDEX(Leverancer!BG:BG,ROW()-ROW(Leverancer!$AU$25)-6)*Leverancer!BG$96/1000)</f>
        <v/>
      </c>
      <c r="AG67" s="114" t="str">
        <f ca="1">IF(AG$57="","",INDEX(Leverancer!BH:BH,ROW()-ROW(Leverancer!$AU$25)-6)*Leverancer!BH$96/1000)</f>
        <v/>
      </c>
      <c r="AH67" s="114" t="str">
        <f ca="1">IF(AH$57="","",INDEX(Leverancer!BI:BI,ROW()-ROW(Leverancer!$AU$25)-6)*Leverancer!BI$96/1000)</f>
        <v/>
      </c>
      <c r="AI67" s="114" t="str">
        <f ca="1">IF(AI$57="","",INDEX(Leverancer!BJ:BJ,ROW()-ROW(Leverancer!$AU$25)-6)*Leverancer!BJ$96/1000)</f>
        <v/>
      </c>
      <c r="AJ67" s="114" t="str">
        <f ca="1">IF(AJ$57="","",INDEX(Leverancer!BK:BK,ROW()-ROW(Leverancer!$AU$25)-6)*Leverancer!BK$96/1000)</f>
        <v/>
      </c>
      <c r="AK67" s="114" t="str">
        <f ca="1">IF(AK$57="","",INDEX(Leverancer!BL:BL,ROW()-ROW(Leverancer!$AU$25)-6)*Leverancer!BL$96/1000)</f>
        <v/>
      </c>
      <c r="AL67" s="114" t="str">
        <f ca="1">IF(AL$57="","",INDEX(Leverancer!BM:BM,ROW()-ROW(Leverancer!$AU$25)-6)*Leverancer!BM$96/1000)</f>
        <v/>
      </c>
      <c r="AM67" s="114" t="str">
        <f ca="1">IF(AM$57="","",INDEX(Leverancer!BN:BN,ROW()-ROW(Leverancer!$AU$25)-6)*Leverancer!BN$96/1000)</f>
        <v/>
      </c>
      <c r="AN67" s="114" t="str">
        <f ca="1">IF(AN$57="","",INDEX(Leverancer!BO:BO,ROW()-ROW(Leverancer!$AU$25)-6)*Leverancer!BO$96/1000)</f>
        <v/>
      </c>
      <c r="AO67" s="114" t="str">
        <f ca="1">IF(AO$57="","",INDEX(Leverancer!BP:BP,ROW()-ROW(Leverancer!$AU$25)-6)*Leverancer!BP$96/1000)</f>
        <v/>
      </c>
      <c r="AP67" s="114" t="str">
        <f ca="1">IF(AP$57="","",INDEX(Leverancer!BQ:BQ,ROW()-ROW(Leverancer!$AU$25)-6)*Leverancer!BQ$96/1000)</f>
        <v/>
      </c>
      <c r="AQ67" s="114" t="str">
        <f ca="1">IF(AQ$57="","",INDEX(Leverancer!BR:BR,ROW()-ROW(Leverancer!$AU$25)-6)*Leverancer!BR$96/1000)</f>
        <v/>
      </c>
      <c r="AR67" s="114" t="str">
        <f ca="1">IF(AR$57="","",INDEX(Leverancer!BS:BS,ROW()-ROW(Leverancer!$AU$25)-6)*Leverancer!BS$96/1000)</f>
        <v/>
      </c>
      <c r="AS67" s="114" t="str">
        <f ca="1">IF(AS$57="","",INDEX(Leverancer!BT:BT,ROW()-ROW(Leverancer!$AU$25)-6)*Leverancer!BT$96/1000)</f>
        <v/>
      </c>
      <c r="AT67" s="114" t="str">
        <f ca="1">IF(AT$57="","",INDEX(Leverancer!BU:BU,ROW()-ROW(Leverancer!$AU$25)-6)*Leverancer!BU$96/1000)</f>
        <v/>
      </c>
      <c r="AU67" s="114" t="str">
        <f ca="1">IF(AU$57="","",INDEX(Leverancer!BV:BV,ROW()-ROW(Leverancer!$AU$25)-6)*Leverancer!BV$96/1000)</f>
        <v/>
      </c>
      <c r="AV67" s="114" t="str">
        <f ca="1">IF(AV$57="","",INDEX(Leverancer!BW:BW,ROW()-ROW(Leverancer!$AU$25)-6)*Leverancer!BW$96/1000)</f>
        <v/>
      </c>
      <c r="AW67" s="114" t="str">
        <f ca="1">IF(AW$57="","",INDEX(Leverancer!BX:BX,ROW()-ROW(Leverancer!$AU$25)-6)*Leverancer!BX$96/1000)</f>
        <v/>
      </c>
      <c r="AX67" s="90"/>
      <c r="AY67" s="90"/>
      <c r="AZ67" s="87"/>
    </row>
    <row r="68" spans="14:52" ht="12.75" customHeight="1" x14ac:dyDescent="0.2">
      <c r="N68" s="85"/>
      <c r="O68" s="90"/>
      <c r="P68" s="90"/>
      <c r="Q68" s="116" t="str">
        <f>INDEX(Leverancer!$AO$1:$AO$1061,ROW()-ROW(Leverancer!$AU$25)-6)&amp;": "&amp;INDEX(Leverancer!$AP$1:$AP$1061,ROW()-ROW(Leverancer!$AU$25)-6)</f>
        <v xml:space="preserve">L10: </v>
      </c>
      <c r="R68" s="114"/>
      <c r="S68" s="119">
        <f t="shared" ca="1" si="10"/>
        <v>0</v>
      </c>
      <c r="T68" s="114">
        <f ca="1">IF(T$57="","",INDEX(Leverancer!AU:AU,ROW()-ROW(Leverancer!$AU$25)-6)*Leverancer!AU$96/1000)</f>
        <v>0</v>
      </c>
      <c r="U68" s="114">
        <f ca="1">IF(U$57="","",INDEX(Leverancer!AV:AV,ROW()-ROW(Leverancer!$AU$25)-6)*Leverancer!AV$96/1000)</f>
        <v>0</v>
      </c>
      <c r="V68" s="114">
        <f ca="1">IF(V$57="","",INDEX(Leverancer!AW:AW,ROW()-ROW(Leverancer!$AU$25)-6)*Leverancer!AW$96/1000)</f>
        <v>0</v>
      </c>
      <c r="W68" s="114">
        <f ca="1">IF(W$57="","",INDEX(Leverancer!AX:AX,ROW()-ROW(Leverancer!$AU$25)-6)*Leverancer!AX$96/1000)</f>
        <v>0</v>
      </c>
      <c r="X68" s="114" t="str">
        <f ca="1">IF(X$57="","",INDEX(Leverancer!AY:AY,ROW()-ROW(Leverancer!$AU$25)-6)*Leverancer!AY$96/1000)</f>
        <v/>
      </c>
      <c r="Y68" s="114" t="str">
        <f ca="1">IF(Y$57="","",INDEX(Leverancer!AZ:AZ,ROW()-ROW(Leverancer!$AU$25)-6)*Leverancer!AZ$96/1000)</f>
        <v/>
      </c>
      <c r="Z68" s="114" t="str">
        <f ca="1">IF(Z$57="","",INDEX(Leverancer!BA:BA,ROW()-ROW(Leverancer!$AU$25)-6)*Leverancer!BA$96/1000)</f>
        <v/>
      </c>
      <c r="AA68" s="114" t="str">
        <f ca="1">IF(AA$57="","",INDEX(Leverancer!BB:BB,ROW()-ROW(Leverancer!$AU$25)-6)*Leverancer!BB$96/1000)</f>
        <v/>
      </c>
      <c r="AB68" s="114" t="str">
        <f ca="1">IF(AB$57="","",INDEX(Leverancer!BC:BC,ROW()-ROW(Leverancer!$AU$25)-6)*Leverancer!BC$96/1000)</f>
        <v/>
      </c>
      <c r="AC68" s="114" t="str">
        <f ca="1">IF(AC$57="","",INDEX(Leverancer!BD:BD,ROW()-ROW(Leverancer!$AU$25)-6)*Leverancer!BD$96/1000)</f>
        <v/>
      </c>
      <c r="AD68" s="114" t="str">
        <f ca="1">IF(AD$57="","",INDEX(Leverancer!BE:BE,ROW()-ROW(Leverancer!$AU$25)-6)*Leverancer!BE$96/1000)</f>
        <v/>
      </c>
      <c r="AE68" s="114" t="str">
        <f ca="1">IF(AE$57="","",INDEX(Leverancer!BF:BF,ROW()-ROW(Leverancer!$AU$25)-6)*Leverancer!BF$96/1000)</f>
        <v/>
      </c>
      <c r="AF68" s="114" t="str">
        <f ca="1">IF(AF$57="","",INDEX(Leverancer!BG:BG,ROW()-ROW(Leverancer!$AU$25)-6)*Leverancer!BG$96/1000)</f>
        <v/>
      </c>
      <c r="AG68" s="114" t="str">
        <f ca="1">IF(AG$57="","",INDEX(Leverancer!BH:BH,ROW()-ROW(Leverancer!$AU$25)-6)*Leverancer!BH$96/1000)</f>
        <v/>
      </c>
      <c r="AH68" s="114" t="str">
        <f ca="1">IF(AH$57="","",INDEX(Leverancer!BI:BI,ROW()-ROW(Leverancer!$AU$25)-6)*Leverancer!BI$96/1000)</f>
        <v/>
      </c>
      <c r="AI68" s="114" t="str">
        <f ca="1">IF(AI$57="","",INDEX(Leverancer!BJ:BJ,ROW()-ROW(Leverancer!$AU$25)-6)*Leverancer!BJ$96/1000)</f>
        <v/>
      </c>
      <c r="AJ68" s="114" t="str">
        <f ca="1">IF(AJ$57="","",INDEX(Leverancer!BK:BK,ROW()-ROW(Leverancer!$AU$25)-6)*Leverancer!BK$96/1000)</f>
        <v/>
      </c>
      <c r="AK68" s="114" t="str">
        <f ca="1">IF(AK$57="","",INDEX(Leverancer!BL:BL,ROW()-ROW(Leverancer!$AU$25)-6)*Leverancer!BL$96/1000)</f>
        <v/>
      </c>
      <c r="AL68" s="114" t="str">
        <f ca="1">IF(AL$57="","",INDEX(Leverancer!BM:BM,ROW()-ROW(Leverancer!$AU$25)-6)*Leverancer!BM$96/1000)</f>
        <v/>
      </c>
      <c r="AM68" s="114" t="str">
        <f ca="1">IF(AM$57="","",INDEX(Leverancer!BN:BN,ROW()-ROW(Leverancer!$AU$25)-6)*Leverancer!BN$96/1000)</f>
        <v/>
      </c>
      <c r="AN68" s="114" t="str">
        <f ca="1">IF(AN$57="","",INDEX(Leverancer!BO:BO,ROW()-ROW(Leverancer!$AU$25)-6)*Leverancer!BO$96/1000)</f>
        <v/>
      </c>
      <c r="AO68" s="114" t="str">
        <f ca="1">IF(AO$57="","",INDEX(Leverancer!BP:BP,ROW()-ROW(Leverancer!$AU$25)-6)*Leverancer!BP$96/1000)</f>
        <v/>
      </c>
      <c r="AP68" s="114" t="str">
        <f ca="1">IF(AP$57="","",INDEX(Leverancer!BQ:BQ,ROW()-ROW(Leverancer!$AU$25)-6)*Leverancer!BQ$96/1000)</f>
        <v/>
      </c>
      <c r="AQ68" s="114" t="str">
        <f ca="1">IF(AQ$57="","",INDEX(Leverancer!BR:BR,ROW()-ROW(Leverancer!$AU$25)-6)*Leverancer!BR$96/1000)</f>
        <v/>
      </c>
      <c r="AR68" s="114" t="str">
        <f ca="1">IF(AR$57="","",INDEX(Leverancer!BS:BS,ROW()-ROW(Leverancer!$AU$25)-6)*Leverancer!BS$96/1000)</f>
        <v/>
      </c>
      <c r="AS68" s="114" t="str">
        <f ca="1">IF(AS$57="","",INDEX(Leverancer!BT:BT,ROW()-ROW(Leverancer!$AU$25)-6)*Leverancer!BT$96/1000)</f>
        <v/>
      </c>
      <c r="AT68" s="114" t="str">
        <f ca="1">IF(AT$57="","",INDEX(Leverancer!BU:BU,ROW()-ROW(Leverancer!$AU$25)-6)*Leverancer!BU$96/1000)</f>
        <v/>
      </c>
      <c r="AU68" s="114" t="str">
        <f ca="1">IF(AU$57="","",INDEX(Leverancer!BV:BV,ROW()-ROW(Leverancer!$AU$25)-6)*Leverancer!BV$96/1000)</f>
        <v/>
      </c>
      <c r="AV68" s="114" t="str">
        <f ca="1">IF(AV$57="","",INDEX(Leverancer!BW:BW,ROW()-ROW(Leverancer!$AU$25)-6)*Leverancer!BW$96/1000)</f>
        <v/>
      </c>
      <c r="AW68" s="114" t="str">
        <f ca="1">IF(AW$57="","",INDEX(Leverancer!BX:BX,ROW()-ROW(Leverancer!$AU$25)-6)*Leverancer!BX$96/1000)</f>
        <v/>
      </c>
      <c r="AX68" s="90"/>
      <c r="AY68" s="90"/>
      <c r="AZ68" s="87"/>
    </row>
    <row r="69" spans="14:52" ht="12.75" customHeight="1" x14ac:dyDescent="0.2">
      <c r="N69" s="85"/>
      <c r="O69" s="90"/>
      <c r="P69" s="90"/>
      <c r="Q69" s="117" t="str">
        <f>INDEX(g_lang_val,MATCH("so_2_1_3",g_lang_key,0))</f>
        <v>Gennemførelsesfase</v>
      </c>
      <c r="R69" s="122">
        <f ca="1">IF(S$121&lt;&gt;0,S69/S$121,0)</f>
        <v>0</v>
      </c>
      <c r="S69" s="119">
        <f ca="1">SUM(T69:BG69)</f>
        <v>0</v>
      </c>
      <c r="T69" s="120">
        <f ca="1">IF(T$57="","",SUM(T70:T119))</f>
        <v>0</v>
      </c>
      <c r="U69" s="120">
        <f ca="1">IF(U$57="","",SUM(U70:U119))</f>
        <v>0</v>
      </c>
      <c r="V69" s="120">
        <f t="shared" ref="V69:AW69" ca="1" si="11">IF(V$57="","",SUM(V70:V119))</f>
        <v>0</v>
      </c>
      <c r="W69" s="120">
        <f t="shared" ca="1" si="11"/>
        <v>0</v>
      </c>
      <c r="X69" s="120" t="str">
        <f t="shared" ca="1" si="11"/>
        <v/>
      </c>
      <c r="Y69" s="120" t="str">
        <f t="shared" ca="1" si="11"/>
        <v/>
      </c>
      <c r="Z69" s="120" t="str">
        <f t="shared" ca="1" si="11"/>
        <v/>
      </c>
      <c r="AA69" s="120" t="str">
        <f t="shared" ca="1" si="11"/>
        <v/>
      </c>
      <c r="AB69" s="120" t="str">
        <f t="shared" ca="1" si="11"/>
        <v/>
      </c>
      <c r="AC69" s="120" t="str">
        <f t="shared" ca="1" si="11"/>
        <v/>
      </c>
      <c r="AD69" s="120" t="str">
        <f t="shared" ca="1" si="11"/>
        <v/>
      </c>
      <c r="AE69" s="120" t="str">
        <f t="shared" ca="1" si="11"/>
        <v/>
      </c>
      <c r="AF69" s="120" t="str">
        <f t="shared" ca="1" si="11"/>
        <v/>
      </c>
      <c r="AG69" s="120" t="str">
        <f t="shared" ca="1" si="11"/>
        <v/>
      </c>
      <c r="AH69" s="120" t="str">
        <f t="shared" ca="1" si="11"/>
        <v/>
      </c>
      <c r="AI69" s="120" t="str">
        <f t="shared" ca="1" si="11"/>
        <v/>
      </c>
      <c r="AJ69" s="120" t="str">
        <f t="shared" ca="1" si="11"/>
        <v/>
      </c>
      <c r="AK69" s="120" t="str">
        <f t="shared" ca="1" si="11"/>
        <v/>
      </c>
      <c r="AL69" s="120" t="str">
        <f t="shared" ca="1" si="11"/>
        <v/>
      </c>
      <c r="AM69" s="120" t="str">
        <f t="shared" ca="1" si="11"/>
        <v/>
      </c>
      <c r="AN69" s="120" t="str">
        <f t="shared" ca="1" si="11"/>
        <v/>
      </c>
      <c r="AO69" s="120" t="str">
        <f t="shared" ca="1" si="11"/>
        <v/>
      </c>
      <c r="AP69" s="120" t="str">
        <f t="shared" ca="1" si="11"/>
        <v/>
      </c>
      <c r="AQ69" s="120" t="str">
        <f t="shared" ca="1" si="11"/>
        <v/>
      </c>
      <c r="AR69" s="120" t="str">
        <f t="shared" ca="1" si="11"/>
        <v/>
      </c>
      <c r="AS69" s="120" t="str">
        <f t="shared" ca="1" si="11"/>
        <v/>
      </c>
      <c r="AT69" s="120" t="str">
        <f t="shared" ca="1" si="11"/>
        <v/>
      </c>
      <c r="AU69" s="120" t="str">
        <f t="shared" ca="1" si="11"/>
        <v/>
      </c>
      <c r="AV69" s="120" t="str">
        <f t="shared" ca="1" si="11"/>
        <v/>
      </c>
      <c r="AW69" s="120" t="str">
        <f t="shared" ca="1" si="11"/>
        <v/>
      </c>
      <c r="AX69" s="90"/>
      <c r="AY69" s="90"/>
      <c r="AZ69" s="87"/>
    </row>
    <row r="70" spans="14:52" ht="12.75" customHeight="1" x14ac:dyDescent="0.2">
      <c r="N70" s="85"/>
      <c r="O70" s="90"/>
      <c r="P70" s="90"/>
      <c r="Q70" s="116" t="str">
        <f>INDEX(Leverancer!$AO$1:$AO$1061,ROW()-ROW(Leverancer!$AU$25)-6)&amp;": "&amp;INDEX(Leverancer!$AP$1:$AP$1061,ROW()-ROW(Leverancer!$AU$25)-6)</f>
        <v xml:space="preserve">L11: </v>
      </c>
      <c r="R70" s="114"/>
      <c r="S70" s="119">
        <f t="shared" ca="1" si="10"/>
        <v>0</v>
      </c>
      <c r="T70" s="114">
        <f ca="1">IF(T$57="","",INDEX(Leverancer!AU:AU,ROW()-ROW(Leverancer!$AU$25)-6)*Leverancer!AU$96/1000)</f>
        <v>0</v>
      </c>
      <c r="U70" s="114">
        <f ca="1">IF(U$57="","",INDEX(Leverancer!AV:AV,ROW()-ROW(Leverancer!$AU$25)-6)*Leverancer!AV$96/1000)</f>
        <v>0</v>
      </c>
      <c r="V70" s="114">
        <f ca="1">IF(V$57="","",INDEX(Leverancer!AW:AW,ROW()-ROW(Leverancer!$AU$25)-6)*Leverancer!AW$96/1000)</f>
        <v>0</v>
      </c>
      <c r="W70" s="114">
        <f ca="1">IF(W$57="","",INDEX(Leverancer!AX:AX,ROW()-ROW(Leverancer!$AU$25)-6)*Leverancer!AX$96/1000)</f>
        <v>0</v>
      </c>
      <c r="X70" s="114" t="str">
        <f ca="1">IF(X$57="","",INDEX(Leverancer!AY:AY,ROW()-ROW(Leverancer!$AU$25)-6)*Leverancer!AY$96/1000)</f>
        <v/>
      </c>
      <c r="Y70" s="114" t="str">
        <f ca="1">IF(Y$57="","",INDEX(Leverancer!AZ:AZ,ROW()-ROW(Leverancer!$AU$25)-6)*Leverancer!AZ$96/1000)</f>
        <v/>
      </c>
      <c r="Z70" s="114" t="str">
        <f ca="1">IF(Z$57="","",INDEX(Leverancer!BA:BA,ROW()-ROW(Leverancer!$AU$25)-6)*Leverancer!BA$96/1000)</f>
        <v/>
      </c>
      <c r="AA70" s="114" t="str">
        <f ca="1">IF(AA$57="","",INDEX(Leverancer!BB:BB,ROW()-ROW(Leverancer!$AU$25)-6)*Leverancer!BB$96/1000)</f>
        <v/>
      </c>
      <c r="AB70" s="114" t="str">
        <f ca="1">IF(AB$57="","",INDEX(Leverancer!BC:BC,ROW()-ROW(Leverancer!$AU$25)-6)*Leverancer!BC$96/1000)</f>
        <v/>
      </c>
      <c r="AC70" s="114" t="str">
        <f ca="1">IF(AC$57="","",INDEX(Leverancer!BD:BD,ROW()-ROW(Leverancer!$AU$25)-6)*Leverancer!BD$96/1000)</f>
        <v/>
      </c>
      <c r="AD70" s="114" t="str">
        <f ca="1">IF(AD$57="","",INDEX(Leverancer!BE:BE,ROW()-ROW(Leverancer!$AU$25)-6)*Leverancer!BE$96/1000)</f>
        <v/>
      </c>
      <c r="AE70" s="114" t="str">
        <f ca="1">IF(AE$57="","",INDEX(Leverancer!BF:BF,ROW()-ROW(Leverancer!$AU$25)-6)*Leverancer!BF$96/1000)</f>
        <v/>
      </c>
      <c r="AF70" s="114" t="str">
        <f ca="1">IF(AF$57="","",INDEX(Leverancer!BG:BG,ROW()-ROW(Leverancer!$AU$25)-6)*Leverancer!BG$96/1000)</f>
        <v/>
      </c>
      <c r="AG70" s="114" t="str">
        <f ca="1">IF(AG$57="","",INDEX(Leverancer!BH:BH,ROW()-ROW(Leverancer!$AU$25)-6)*Leverancer!BH$96/1000)</f>
        <v/>
      </c>
      <c r="AH70" s="114" t="str">
        <f ca="1">IF(AH$57="","",INDEX(Leverancer!BI:BI,ROW()-ROW(Leverancer!$AU$25)-6)*Leverancer!BI$96/1000)</f>
        <v/>
      </c>
      <c r="AI70" s="114" t="str">
        <f ca="1">IF(AI$57="","",INDEX(Leverancer!BJ:BJ,ROW()-ROW(Leverancer!$AU$25)-6)*Leverancer!BJ$96/1000)</f>
        <v/>
      </c>
      <c r="AJ70" s="114" t="str">
        <f ca="1">IF(AJ$57="","",INDEX(Leverancer!BK:BK,ROW()-ROW(Leverancer!$AU$25)+1)*Leverancer!BK$96/1000)</f>
        <v/>
      </c>
      <c r="AK70" s="114" t="str">
        <f ca="1">IF(AK$57="","",INDEX(Leverancer!BL:BL,ROW()-ROW(Leverancer!$AU$25)+1)*Leverancer!BL$96/1000)</f>
        <v/>
      </c>
      <c r="AL70" s="114" t="str">
        <f ca="1">IF(AL$57="","",INDEX(Leverancer!BM:BM,ROW()-ROW(Leverancer!$AU$25)+1)*Leverancer!BM$96/1000)</f>
        <v/>
      </c>
      <c r="AM70" s="114" t="str">
        <f ca="1">IF(AM$57="","",INDEX(Leverancer!BN:BN,ROW()-ROW(Leverancer!$AU$25)+1)*Leverancer!BN$96/1000)</f>
        <v/>
      </c>
      <c r="AN70" s="114" t="str">
        <f ca="1">IF(AN$57="","",INDEX(Leverancer!BO:BO,ROW()-ROW(Leverancer!$AU$25)+1)*Leverancer!BO$96/1000)</f>
        <v/>
      </c>
      <c r="AO70" s="114" t="str">
        <f ca="1">IF(AO$57="","",INDEX(Leverancer!BP:BP,ROW()-ROW(Leverancer!$AU$25)+1)*Leverancer!BP$96/1000)</f>
        <v/>
      </c>
      <c r="AP70" s="114" t="str">
        <f ca="1">IF(AP$57="","",INDEX(Leverancer!BQ:BQ,ROW()-ROW(Leverancer!$AU$25)+1)*Leverancer!BQ$96/1000)</f>
        <v/>
      </c>
      <c r="AQ70" s="114" t="str">
        <f ca="1">IF(AQ$57="","",INDEX(Leverancer!BR:BR,ROW()-ROW(Leverancer!$AU$25)+1)*Leverancer!BR$96/1000)</f>
        <v/>
      </c>
      <c r="AR70" s="114" t="str">
        <f ca="1">IF(AR$57="","",INDEX(Leverancer!BS:BS,ROW()-ROW(Leverancer!$AU$25)+1)*Leverancer!BS$96/1000)</f>
        <v/>
      </c>
      <c r="AS70" s="114" t="str">
        <f ca="1">IF(AS$57="","",INDEX(Leverancer!BT:BT,ROW()-ROW(Leverancer!$AU$25)+1)*Leverancer!BT$96/1000)</f>
        <v/>
      </c>
      <c r="AT70" s="114" t="str">
        <f ca="1">IF(AT$57="","",INDEX(Leverancer!BU:BU,ROW()-ROW(Leverancer!$AU$25)+1)*Leverancer!BU$96/1000)</f>
        <v/>
      </c>
      <c r="AU70" s="114" t="str">
        <f ca="1">IF(AU$57="","",INDEX(Leverancer!BV:BV,ROW()-ROW(Leverancer!$AU$25)+1)*Leverancer!BV$96/1000)</f>
        <v/>
      </c>
      <c r="AV70" s="114" t="str">
        <f ca="1">IF(AV$57="","",INDEX(Leverancer!BW:BW,ROW()-ROW(Leverancer!$AU$25)+1)*Leverancer!BW$96/1000)</f>
        <v/>
      </c>
      <c r="AW70" s="114" t="str">
        <f ca="1">IF(AW$57="","",INDEX(Leverancer!BX:BX,ROW()-ROW(Leverancer!$AU$25)+1)*Leverancer!BX$96/1000)</f>
        <v/>
      </c>
      <c r="AX70" s="90"/>
      <c r="AY70" s="90"/>
      <c r="AZ70" s="87"/>
    </row>
    <row r="71" spans="14:52" ht="12.75" customHeight="1" x14ac:dyDescent="0.2">
      <c r="N71" s="85"/>
      <c r="O71" s="90"/>
      <c r="P71" s="90"/>
      <c r="Q71" s="116" t="str">
        <f>INDEX(Leverancer!$AO$1:$AO$1061,ROW()-ROW(Leverancer!$AU$25)-6)&amp;": "&amp;INDEX(Leverancer!$AP$1:$AP$1061,ROW()-ROW(Leverancer!$AU$25)-6)</f>
        <v xml:space="preserve">L12: </v>
      </c>
      <c r="R71" s="114"/>
      <c r="S71" s="119">
        <f t="shared" ref="S71:S119" ca="1" si="12">SUM(T71:BG71)</f>
        <v>0</v>
      </c>
      <c r="T71" s="114">
        <f ca="1">IF(T$57="","",INDEX(Leverancer!AU:AU,ROW()-ROW(Leverancer!$AU$25)-6)*Leverancer!AU$96/1000)</f>
        <v>0</v>
      </c>
      <c r="U71" s="114">
        <f ca="1">IF(U$57="","",INDEX(Leverancer!AV:AV,ROW()-ROW(Leverancer!$AU$25)-6)*Leverancer!AV$96/1000)</f>
        <v>0</v>
      </c>
      <c r="V71" s="114">
        <f ca="1">IF(V$57="","",INDEX(Leverancer!AW:AW,ROW()-ROW(Leverancer!$AU$25)-6)*Leverancer!AW$96/1000)</f>
        <v>0</v>
      </c>
      <c r="W71" s="114">
        <f ca="1">IF(W$57="","",INDEX(Leverancer!AX:AX,ROW()-ROW(Leverancer!$AU$25)-6)*Leverancer!AX$96/1000)</f>
        <v>0</v>
      </c>
      <c r="X71" s="114" t="str">
        <f ca="1">IF(X$57="","",INDEX(Leverancer!AY:AY,ROW()-ROW(Leverancer!$AU$25)-6)*Leverancer!AY$96/1000)</f>
        <v/>
      </c>
      <c r="Y71" s="114" t="str">
        <f ca="1">IF(Y$57="","",INDEX(Leverancer!AZ:AZ,ROW()-ROW(Leverancer!$AU$25)-6)*Leverancer!AZ$96/1000)</f>
        <v/>
      </c>
      <c r="Z71" s="114" t="str">
        <f ca="1">IF(Z$57="","",INDEX(Leverancer!BA:BA,ROW()-ROW(Leverancer!$AU$25)-6)*Leverancer!BA$96/1000)</f>
        <v/>
      </c>
      <c r="AA71" s="114" t="str">
        <f ca="1">IF(AA$57="","",INDEX(Leverancer!BB:BB,ROW()-ROW(Leverancer!$AU$25)-6)*Leverancer!BB$96/1000)</f>
        <v/>
      </c>
      <c r="AB71" s="114" t="str">
        <f ca="1">IF(AB$57="","",INDEX(Leverancer!BC:BC,ROW()-ROW(Leverancer!$AU$25)-6)*Leverancer!BC$96/1000)</f>
        <v/>
      </c>
      <c r="AC71" s="114" t="str">
        <f ca="1">IF(AC$57="","",INDEX(Leverancer!BD:BD,ROW()-ROW(Leverancer!$AU$25)-6)*Leverancer!BD$96/1000)</f>
        <v/>
      </c>
      <c r="AD71" s="114" t="str">
        <f ca="1">IF(AD$57="","",INDEX(Leverancer!BE:BE,ROW()-ROW(Leverancer!$AU$25)-6)*Leverancer!BE$96/1000)</f>
        <v/>
      </c>
      <c r="AE71" s="114" t="str">
        <f ca="1">IF(AE$57="","",INDEX(Leverancer!BF:BF,ROW()-ROW(Leverancer!$AU$25)-6)*Leverancer!BF$96/1000)</f>
        <v/>
      </c>
      <c r="AF71" s="114" t="str">
        <f ca="1">IF(AF$57="","",INDEX(Leverancer!BG:BG,ROW()-ROW(Leverancer!$AU$25)-6)*Leverancer!BG$96/1000)</f>
        <v/>
      </c>
      <c r="AG71" s="114" t="str">
        <f ca="1">IF(AG$57="","",INDEX(Leverancer!BH:BH,ROW()-ROW(Leverancer!$AU$25)-6)*Leverancer!BH$96/1000)</f>
        <v/>
      </c>
      <c r="AH71" s="114" t="str">
        <f ca="1">IF(AH$57="","",INDEX(Leverancer!BI:BI,ROW()-ROW(Leverancer!$AU$25)-6)*Leverancer!BI$96/1000)</f>
        <v/>
      </c>
      <c r="AI71" s="114" t="str">
        <f ca="1">IF(AI$57="","",INDEX(Leverancer!BJ:BJ,ROW()-ROW(Leverancer!$AU$25)-6)*Leverancer!BJ$96/1000)</f>
        <v/>
      </c>
      <c r="AJ71" s="114" t="str">
        <f ca="1">IF(AJ$57="","",INDEX(Leverancer!BK:BK,ROW()-ROW(Leverancer!$AU$25)-6)*Leverancer!BK$96/1000)</f>
        <v/>
      </c>
      <c r="AK71" s="114" t="str">
        <f ca="1">IF(AK$57="","",INDEX(Leverancer!BL:BL,ROW()-ROW(Leverancer!$AU$25)-6)*Leverancer!BL$96/1000)</f>
        <v/>
      </c>
      <c r="AL71" s="114" t="str">
        <f ca="1">IF(AL$57="","",INDEX(Leverancer!BM:BM,ROW()-ROW(Leverancer!$AU$25)-6)*Leverancer!BM$96/1000)</f>
        <v/>
      </c>
      <c r="AM71" s="114" t="str">
        <f ca="1">IF(AM$57="","",INDEX(Leverancer!BN:BN,ROW()-ROW(Leverancer!$AU$25)-6)*Leverancer!BN$96/1000)</f>
        <v/>
      </c>
      <c r="AN71" s="114" t="str">
        <f ca="1">IF(AN$57="","",INDEX(Leverancer!BO:BO,ROW()-ROW(Leverancer!$AU$25)-6)*Leverancer!BO$96/1000)</f>
        <v/>
      </c>
      <c r="AO71" s="114" t="str">
        <f ca="1">IF(AO$57="","",INDEX(Leverancer!BP:BP,ROW()-ROW(Leverancer!$AU$25)-6)*Leverancer!BP$96/1000)</f>
        <v/>
      </c>
      <c r="AP71" s="114" t="str">
        <f ca="1">IF(AP$57="","",INDEX(Leverancer!BQ:BQ,ROW()-ROW(Leverancer!$AU$25)-6)*Leverancer!BQ$96/1000)</f>
        <v/>
      </c>
      <c r="AQ71" s="114" t="str">
        <f ca="1">IF(AQ$57="","",INDEX(Leverancer!BR:BR,ROW()-ROW(Leverancer!$AU$25)-6)*Leverancer!BR$96/1000)</f>
        <v/>
      </c>
      <c r="AR71" s="114" t="str">
        <f ca="1">IF(AR$57="","",INDEX(Leverancer!BS:BS,ROW()-ROW(Leverancer!$AU$25)-6)*Leverancer!BS$96/1000)</f>
        <v/>
      </c>
      <c r="AS71" s="114" t="str">
        <f ca="1">IF(AS$57="","",INDEX(Leverancer!BT:BT,ROW()-ROW(Leverancer!$AU$25)-6)*Leverancer!BT$96/1000)</f>
        <v/>
      </c>
      <c r="AT71" s="114" t="str">
        <f ca="1">IF(AT$57="","",INDEX(Leverancer!BU:BU,ROW()-ROW(Leverancer!$AU$25)-6)*Leverancer!BU$96/1000)</f>
        <v/>
      </c>
      <c r="AU71" s="114" t="str">
        <f ca="1">IF(AU$57="","",INDEX(Leverancer!BV:BV,ROW()-ROW(Leverancer!$AU$25)-6)*Leverancer!BV$96/1000)</f>
        <v/>
      </c>
      <c r="AV71" s="114" t="str">
        <f ca="1">IF(AV$57="","",INDEX(Leverancer!BW:BW,ROW()-ROW(Leverancer!$AU$25)-6)*Leverancer!BW$96/1000)</f>
        <v/>
      </c>
      <c r="AW71" s="114" t="str">
        <f ca="1">IF(AW$57="","",INDEX(Leverancer!BX:BX,ROW()-ROW(Leverancer!$AU$25)-6)*Leverancer!BX$96/1000)</f>
        <v/>
      </c>
      <c r="AX71" s="90"/>
      <c r="AY71" s="90"/>
      <c r="AZ71" s="87"/>
    </row>
    <row r="72" spans="14:52" ht="12.75" customHeight="1" x14ac:dyDescent="0.2">
      <c r="N72" s="85"/>
      <c r="O72" s="90"/>
      <c r="P72" s="90"/>
      <c r="Q72" s="116" t="str">
        <f>INDEX(Leverancer!$AO$1:$AO$1061,ROW()-ROW(Leverancer!$AU$25)-6)&amp;": "&amp;INDEX(Leverancer!$AP$1:$AP$1061,ROW()-ROW(Leverancer!$AU$25)-6)</f>
        <v xml:space="preserve">L13: </v>
      </c>
      <c r="R72" s="114"/>
      <c r="S72" s="119">
        <f t="shared" ca="1" si="12"/>
        <v>0</v>
      </c>
      <c r="T72" s="114">
        <f ca="1">IF(T$57="","",INDEX(Leverancer!AU:AU,ROW()-ROW(Leverancer!$AU$25)-6)*Leverancer!AU$96/1000)</f>
        <v>0</v>
      </c>
      <c r="U72" s="114">
        <f ca="1">IF(U$57="","",INDEX(Leverancer!AV:AV,ROW()-ROW(Leverancer!$AU$25)-6)*Leverancer!AV$96/1000)</f>
        <v>0</v>
      </c>
      <c r="V72" s="114">
        <f ca="1">IF(V$57="","",INDEX(Leverancer!AW:AW,ROW()-ROW(Leverancer!$AU$25)-6)*Leverancer!AW$96/1000)</f>
        <v>0</v>
      </c>
      <c r="W72" s="114">
        <f ca="1">IF(W$57="","",INDEX(Leverancer!AX:AX,ROW()-ROW(Leverancer!$AU$25)-6)*Leverancer!AX$96/1000)</f>
        <v>0</v>
      </c>
      <c r="X72" s="114" t="str">
        <f ca="1">IF(X$57="","",INDEX(Leverancer!AY:AY,ROW()-ROW(Leverancer!$AU$25)-6)*Leverancer!AY$96/1000)</f>
        <v/>
      </c>
      <c r="Y72" s="114" t="str">
        <f ca="1">IF(Y$57="","",INDEX(Leverancer!AZ:AZ,ROW()-ROW(Leverancer!$AU$25)-6)*Leverancer!AZ$96/1000)</f>
        <v/>
      </c>
      <c r="Z72" s="114" t="str">
        <f ca="1">IF(Z$57="","",INDEX(Leverancer!BA:BA,ROW()-ROW(Leverancer!$AU$25)-6)*Leverancer!BA$96/1000)</f>
        <v/>
      </c>
      <c r="AA72" s="114" t="str">
        <f ca="1">IF(AA$57="","",INDEX(Leverancer!BB:BB,ROW()-ROW(Leverancer!$AU$25)-6)*Leverancer!BB$96/1000)</f>
        <v/>
      </c>
      <c r="AB72" s="114" t="str">
        <f ca="1">IF(AB$57="","",INDEX(Leverancer!BC:BC,ROW()-ROW(Leverancer!$AU$25)-6)*Leverancer!BC$96/1000)</f>
        <v/>
      </c>
      <c r="AC72" s="114" t="str">
        <f ca="1">IF(AC$57="","",INDEX(Leverancer!BD:BD,ROW()-ROW(Leverancer!$AU$25)-6)*Leverancer!BD$96/1000)</f>
        <v/>
      </c>
      <c r="AD72" s="114" t="str">
        <f ca="1">IF(AD$57="","",INDEX(Leverancer!BE:BE,ROW()-ROW(Leverancer!$AU$25)-6)*Leverancer!BE$96/1000)</f>
        <v/>
      </c>
      <c r="AE72" s="114" t="str">
        <f ca="1">IF(AE$57="","",INDEX(Leverancer!BF:BF,ROW()-ROW(Leverancer!$AU$25)-6)*Leverancer!BF$96/1000)</f>
        <v/>
      </c>
      <c r="AF72" s="114" t="str">
        <f ca="1">IF(AF$57="","",INDEX(Leverancer!BG:BG,ROW()-ROW(Leverancer!$AU$25)-6)*Leverancer!BG$96/1000)</f>
        <v/>
      </c>
      <c r="AG72" s="114" t="str">
        <f ca="1">IF(AG$57="","",INDEX(Leverancer!BH:BH,ROW()-ROW(Leverancer!$AU$25)-6)*Leverancer!BH$96/1000)</f>
        <v/>
      </c>
      <c r="AH72" s="114" t="str">
        <f ca="1">IF(AH$57="","",INDEX(Leverancer!BI:BI,ROW()-ROW(Leverancer!$AU$25)-6)*Leverancer!BI$96/1000)</f>
        <v/>
      </c>
      <c r="AI72" s="114" t="str">
        <f ca="1">IF(AI$57="","",INDEX(Leverancer!BJ:BJ,ROW()-ROW(Leverancer!$AU$25)-6)*Leverancer!BJ$96/1000)</f>
        <v/>
      </c>
      <c r="AJ72" s="114" t="str">
        <f ca="1">IF(AJ$57="","",INDEX(Leverancer!BK:BK,ROW()-ROW(Leverancer!$AU$25)-6)*Leverancer!BK$96/1000)</f>
        <v/>
      </c>
      <c r="AK72" s="114" t="str">
        <f ca="1">IF(AK$57="","",INDEX(Leverancer!BL:BL,ROW()-ROW(Leverancer!$AU$25)-6)*Leverancer!BL$96/1000)</f>
        <v/>
      </c>
      <c r="AL72" s="114" t="str">
        <f ca="1">IF(AL$57="","",INDEX(Leverancer!BM:BM,ROW()-ROW(Leverancer!$AU$25)-6)*Leverancer!BM$96/1000)</f>
        <v/>
      </c>
      <c r="AM72" s="114" t="str">
        <f ca="1">IF(AM$57="","",INDEX(Leverancer!BN:BN,ROW()-ROW(Leverancer!$AU$25)-6)*Leverancer!BN$96/1000)</f>
        <v/>
      </c>
      <c r="AN72" s="114" t="str">
        <f ca="1">IF(AN$57="","",INDEX(Leverancer!BO:BO,ROW()-ROW(Leverancer!$AU$25)-6)*Leverancer!BO$96/1000)</f>
        <v/>
      </c>
      <c r="AO72" s="114" t="str">
        <f ca="1">IF(AO$57="","",INDEX(Leverancer!BP:BP,ROW()-ROW(Leverancer!$AU$25)-6)*Leverancer!BP$96/1000)</f>
        <v/>
      </c>
      <c r="AP72" s="114" t="str">
        <f ca="1">IF(AP$57="","",INDEX(Leverancer!BQ:BQ,ROW()-ROW(Leverancer!$AU$25)-6)*Leverancer!BQ$96/1000)</f>
        <v/>
      </c>
      <c r="AQ72" s="114" t="str">
        <f ca="1">IF(AQ$57="","",INDEX(Leverancer!BR:BR,ROW()-ROW(Leverancer!$AU$25)-6)*Leverancer!BR$96/1000)</f>
        <v/>
      </c>
      <c r="AR72" s="114" t="str">
        <f ca="1">IF(AR$57="","",INDEX(Leverancer!BS:BS,ROW()-ROW(Leverancer!$AU$25)-6)*Leverancer!BS$96/1000)</f>
        <v/>
      </c>
      <c r="AS72" s="114" t="str">
        <f ca="1">IF(AS$57="","",INDEX(Leverancer!BT:BT,ROW()-ROW(Leverancer!$AU$25)-6)*Leverancer!BT$96/1000)</f>
        <v/>
      </c>
      <c r="AT72" s="114" t="str">
        <f ca="1">IF(AT$57="","",INDEX(Leverancer!BU:BU,ROW()-ROW(Leverancer!$AU$25)-6)*Leverancer!BU$96/1000)</f>
        <v/>
      </c>
      <c r="AU72" s="114" t="str">
        <f ca="1">IF(AU$57="","",INDEX(Leverancer!BV:BV,ROW()-ROW(Leverancer!$AU$25)-6)*Leverancer!BV$96/1000)</f>
        <v/>
      </c>
      <c r="AV72" s="114" t="str">
        <f ca="1">IF(AV$57="","",INDEX(Leverancer!BW:BW,ROW()-ROW(Leverancer!$AU$25)-6)*Leverancer!BW$96/1000)</f>
        <v/>
      </c>
      <c r="AW72" s="114" t="str">
        <f ca="1">IF(AW$57="","",INDEX(Leverancer!BX:BX,ROW()-ROW(Leverancer!$AU$25)-6)*Leverancer!BX$96/1000)</f>
        <v/>
      </c>
      <c r="AX72" s="90"/>
      <c r="AY72" s="90"/>
      <c r="AZ72" s="87"/>
    </row>
    <row r="73" spans="14:52" ht="12.75" customHeight="1" x14ac:dyDescent="0.2">
      <c r="N73" s="85"/>
      <c r="O73" s="90"/>
      <c r="P73" s="90"/>
      <c r="Q73" s="116" t="str">
        <f>INDEX(Leverancer!$AO$1:$AO$1061,ROW()-ROW(Leverancer!$AU$25)-6)&amp;": "&amp;INDEX(Leverancer!$AP$1:$AP$1061,ROW()-ROW(Leverancer!$AU$25)-6)</f>
        <v xml:space="preserve">L14: </v>
      </c>
      <c r="R73" s="114"/>
      <c r="S73" s="119">
        <f t="shared" ca="1" si="12"/>
        <v>0</v>
      </c>
      <c r="T73" s="114">
        <f ca="1">IF(T$57="","",INDEX(Leverancer!AU:AU,ROW()-ROW(Leverancer!$AU$25)-6)*Leverancer!AU$96/1000)</f>
        <v>0</v>
      </c>
      <c r="U73" s="114">
        <f ca="1">IF(U$57="","",INDEX(Leverancer!AV:AV,ROW()-ROW(Leverancer!$AU$25)-6)*Leverancer!AV$96/1000)</f>
        <v>0</v>
      </c>
      <c r="V73" s="114">
        <f ca="1">IF(V$57="","",INDEX(Leverancer!AW:AW,ROW()-ROW(Leverancer!$AU$25)-6)*Leverancer!AW$96/1000)</f>
        <v>0</v>
      </c>
      <c r="W73" s="114">
        <f ca="1">IF(W$57="","",INDEX(Leverancer!AX:AX,ROW()-ROW(Leverancer!$AU$25)-6)*Leverancer!AX$96/1000)</f>
        <v>0</v>
      </c>
      <c r="X73" s="114" t="str">
        <f ca="1">IF(X$57="","",INDEX(Leverancer!AY:AY,ROW()-ROW(Leverancer!$AU$25)-6)*Leverancer!AY$96/1000)</f>
        <v/>
      </c>
      <c r="Y73" s="114" t="str">
        <f ca="1">IF(Y$57="","",INDEX(Leverancer!AZ:AZ,ROW()-ROW(Leverancer!$AU$25)-6)*Leverancer!AZ$96/1000)</f>
        <v/>
      </c>
      <c r="Z73" s="114" t="str">
        <f ca="1">IF(Z$57="","",INDEX(Leverancer!BA:BA,ROW()-ROW(Leverancer!$AU$25)-6)*Leverancer!BA$96/1000)</f>
        <v/>
      </c>
      <c r="AA73" s="114" t="str">
        <f ca="1">IF(AA$57="","",INDEX(Leverancer!BB:BB,ROW()-ROW(Leverancer!$AU$25)-6)*Leverancer!BB$96/1000)</f>
        <v/>
      </c>
      <c r="AB73" s="114" t="str">
        <f ca="1">IF(AB$57="","",INDEX(Leverancer!BC:BC,ROW()-ROW(Leverancer!$AU$25)-6)*Leverancer!BC$96/1000)</f>
        <v/>
      </c>
      <c r="AC73" s="114" t="str">
        <f ca="1">IF(AC$57="","",INDEX(Leverancer!BD:BD,ROW()-ROW(Leverancer!$AU$25)-6)*Leverancer!BD$96/1000)</f>
        <v/>
      </c>
      <c r="AD73" s="114" t="str">
        <f ca="1">IF(AD$57="","",INDEX(Leverancer!BE:BE,ROW()-ROW(Leverancer!$AU$25)-6)*Leverancer!BE$96/1000)</f>
        <v/>
      </c>
      <c r="AE73" s="114" t="str">
        <f ca="1">IF(AE$57="","",INDEX(Leverancer!BF:BF,ROW()-ROW(Leverancer!$AU$25)-6)*Leverancer!BF$96/1000)</f>
        <v/>
      </c>
      <c r="AF73" s="114" t="str">
        <f ca="1">IF(AF$57="","",INDEX(Leverancer!BG:BG,ROW()-ROW(Leverancer!$AU$25)-6)*Leverancer!BG$96/1000)</f>
        <v/>
      </c>
      <c r="AG73" s="114" t="str">
        <f ca="1">IF(AG$57="","",INDEX(Leverancer!BH:BH,ROW()-ROW(Leverancer!$AU$25)-6)*Leverancer!BH$96/1000)</f>
        <v/>
      </c>
      <c r="AH73" s="114" t="str">
        <f ca="1">IF(AH$57="","",INDEX(Leverancer!BI:BI,ROW()-ROW(Leverancer!$AU$25)-6)*Leverancer!BI$96/1000)</f>
        <v/>
      </c>
      <c r="AI73" s="114" t="str">
        <f ca="1">IF(AI$57="","",INDEX(Leverancer!BJ:BJ,ROW()-ROW(Leverancer!$AU$25)-6)*Leverancer!BJ$96/1000)</f>
        <v/>
      </c>
      <c r="AJ73" s="114" t="str">
        <f ca="1">IF(AJ$57="","",INDEX(Leverancer!BK:BK,ROW()-ROW(Leverancer!$AU$25)-6)*Leverancer!BK$96/1000)</f>
        <v/>
      </c>
      <c r="AK73" s="114" t="str">
        <f ca="1">IF(AK$57="","",INDEX(Leverancer!BL:BL,ROW()-ROW(Leverancer!$AU$25)-6)*Leverancer!BL$96/1000)</f>
        <v/>
      </c>
      <c r="AL73" s="114" t="str">
        <f ca="1">IF(AL$57="","",INDEX(Leverancer!BM:BM,ROW()-ROW(Leverancer!$AU$25)-6)*Leverancer!BM$96/1000)</f>
        <v/>
      </c>
      <c r="AM73" s="114" t="str">
        <f ca="1">IF(AM$57="","",INDEX(Leverancer!BN:BN,ROW()-ROW(Leverancer!$AU$25)-6)*Leverancer!BN$96/1000)</f>
        <v/>
      </c>
      <c r="AN73" s="114" t="str">
        <f ca="1">IF(AN$57="","",INDEX(Leverancer!BO:BO,ROW()-ROW(Leverancer!$AU$25)-6)*Leverancer!BO$96/1000)</f>
        <v/>
      </c>
      <c r="AO73" s="114" t="str">
        <f ca="1">IF(AO$57="","",INDEX(Leverancer!BP:BP,ROW()-ROW(Leverancer!$AU$25)-6)*Leverancer!BP$96/1000)</f>
        <v/>
      </c>
      <c r="AP73" s="114" t="str">
        <f ca="1">IF(AP$57="","",INDEX(Leverancer!BQ:BQ,ROW()-ROW(Leverancer!$AU$25)-6)*Leverancer!BQ$96/1000)</f>
        <v/>
      </c>
      <c r="AQ73" s="114" t="str">
        <f ca="1">IF(AQ$57="","",INDEX(Leverancer!BR:BR,ROW()-ROW(Leverancer!$AU$25)-6)*Leverancer!BR$96/1000)</f>
        <v/>
      </c>
      <c r="AR73" s="114" t="str">
        <f ca="1">IF(AR$57="","",INDEX(Leverancer!BS:BS,ROW()-ROW(Leverancer!$AU$25)-6)*Leverancer!BS$96/1000)</f>
        <v/>
      </c>
      <c r="AS73" s="114" t="str">
        <f ca="1">IF(AS$57="","",INDEX(Leverancer!BT:BT,ROW()-ROW(Leverancer!$AU$25)-6)*Leverancer!BT$96/1000)</f>
        <v/>
      </c>
      <c r="AT73" s="114" t="str">
        <f ca="1">IF(AT$57="","",INDEX(Leverancer!BU:BU,ROW()-ROW(Leverancer!$AU$25)-6)*Leverancer!BU$96/1000)</f>
        <v/>
      </c>
      <c r="AU73" s="114" t="str">
        <f ca="1">IF(AU$57="","",INDEX(Leverancer!BV:BV,ROW()-ROW(Leverancer!$AU$25)-6)*Leverancer!BV$96/1000)</f>
        <v/>
      </c>
      <c r="AV73" s="114" t="str">
        <f ca="1">IF(AV$57="","",INDEX(Leverancer!BW:BW,ROW()-ROW(Leverancer!$AU$25)-6)*Leverancer!BW$96/1000)</f>
        <v/>
      </c>
      <c r="AW73" s="114" t="str">
        <f ca="1">IF(AW$57="","",INDEX(Leverancer!BX:BX,ROW()-ROW(Leverancer!$AU$25)-6)*Leverancer!BX$96/1000)</f>
        <v/>
      </c>
      <c r="AX73" s="90"/>
      <c r="AY73" s="90"/>
      <c r="AZ73" s="87"/>
    </row>
    <row r="74" spans="14:52" ht="12.75" customHeight="1" x14ac:dyDescent="0.2">
      <c r="N74" s="85"/>
      <c r="O74" s="90"/>
      <c r="P74" s="90"/>
      <c r="Q74" s="116" t="str">
        <f>INDEX(Leverancer!$AO$1:$AO$1061,ROW()-ROW(Leverancer!$AU$25)-6)&amp;": "&amp;INDEX(Leverancer!$AP$1:$AP$1061,ROW()-ROW(Leverancer!$AU$25)-6)</f>
        <v xml:space="preserve">L15: </v>
      </c>
      <c r="R74" s="114"/>
      <c r="S74" s="119">
        <f t="shared" ca="1" si="12"/>
        <v>0</v>
      </c>
      <c r="T74" s="114">
        <f ca="1">IF(T$57="","",INDEX(Leverancer!AU:AU,ROW()-ROW(Leverancer!$AU$25)-6)*Leverancer!AU$96/1000)</f>
        <v>0</v>
      </c>
      <c r="U74" s="114">
        <f ca="1">IF(U$57="","",INDEX(Leverancer!AV:AV,ROW()-ROW(Leverancer!$AU$25)-6)*Leverancer!AV$96/1000)</f>
        <v>0</v>
      </c>
      <c r="V74" s="114">
        <f ca="1">IF(V$57="","",INDEX(Leverancer!AW:AW,ROW()-ROW(Leverancer!$AU$25)-6)*Leverancer!AW$96/1000)</f>
        <v>0</v>
      </c>
      <c r="W74" s="114">
        <f ca="1">IF(W$57="","",INDEX(Leverancer!AX:AX,ROW()-ROW(Leverancer!$AU$25)-6)*Leverancer!AX$96/1000)</f>
        <v>0</v>
      </c>
      <c r="X74" s="114" t="str">
        <f ca="1">IF(X$57="","",INDEX(Leverancer!AY:AY,ROW()-ROW(Leverancer!$AU$25)-6)*Leverancer!AY$96/1000)</f>
        <v/>
      </c>
      <c r="Y74" s="114" t="str">
        <f ca="1">IF(Y$57="","",INDEX(Leverancer!AZ:AZ,ROW()-ROW(Leverancer!$AU$25)-6)*Leverancer!AZ$96/1000)</f>
        <v/>
      </c>
      <c r="Z74" s="114" t="str">
        <f ca="1">IF(Z$57="","",INDEX(Leverancer!BA:BA,ROW()-ROW(Leverancer!$AU$25)-6)*Leverancer!BA$96/1000)</f>
        <v/>
      </c>
      <c r="AA74" s="114" t="str">
        <f ca="1">IF(AA$57="","",INDEX(Leverancer!BB:BB,ROW()-ROW(Leverancer!$AU$25)-6)*Leverancer!BB$96/1000)</f>
        <v/>
      </c>
      <c r="AB74" s="114" t="str">
        <f ca="1">IF(AB$57="","",INDEX(Leverancer!BC:BC,ROW()-ROW(Leverancer!$AU$25)-6)*Leverancer!BC$96/1000)</f>
        <v/>
      </c>
      <c r="AC74" s="114" t="str">
        <f ca="1">IF(AC$57="","",INDEX(Leverancer!BD:BD,ROW()-ROW(Leverancer!$AU$25)-6)*Leverancer!BD$96/1000)</f>
        <v/>
      </c>
      <c r="AD74" s="114" t="str">
        <f ca="1">IF(AD$57="","",INDEX(Leverancer!BE:BE,ROW()-ROW(Leverancer!$AU$25)-6)*Leverancer!BE$96/1000)</f>
        <v/>
      </c>
      <c r="AE74" s="114" t="str">
        <f ca="1">IF(AE$57="","",INDEX(Leverancer!BF:BF,ROW()-ROW(Leverancer!$AU$25)-6)*Leverancer!BF$96/1000)</f>
        <v/>
      </c>
      <c r="AF74" s="114" t="str">
        <f ca="1">IF(AF$57="","",INDEX(Leverancer!BG:BG,ROW()-ROW(Leverancer!$AU$25)-6)*Leverancer!BG$96/1000)</f>
        <v/>
      </c>
      <c r="AG74" s="114" t="str">
        <f ca="1">IF(AG$57="","",INDEX(Leverancer!BH:BH,ROW()-ROW(Leverancer!$AU$25)-6)*Leverancer!BH$96/1000)</f>
        <v/>
      </c>
      <c r="AH74" s="114" t="str">
        <f ca="1">IF(AH$57="","",INDEX(Leverancer!BI:BI,ROW()-ROW(Leverancer!$AU$25)-6)*Leverancer!BI$96/1000)</f>
        <v/>
      </c>
      <c r="AI74" s="114" t="str">
        <f ca="1">IF(AI$57="","",INDEX(Leverancer!BJ:BJ,ROW()-ROW(Leverancer!$AU$25)-6)*Leverancer!BJ$96/1000)</f>
        <v/>
      </c>
      <c r="AJ74" s="114" t="str">
        <f ca="1">IF(AJ$57="","",INDEX(Leverancer!BK:BK,ROW()-ROW(Leverancer!$AU$25)-6)*Leverancer!BK$96/1000)</f>
        <v/>
      </c>
      <c r="AK74" s="114" t="str">
        <f ca="1">IF(AK$57="","",INDEX(Leverancer!BL:BL,ROW()-ROW(Leverancer!$AU$25)-6)*Leverancer!BL$96/1000)</f>
        <v/>
      </c>
      <c r="AL74" s="114" t="str">
        <f ca="1">IF(AL$57="","",INDEX(Leverancer!BM:BM,ROW()-ROW(Leverancer!$AU$25)-6)*Leverancer!BM$96/1000)</f>
        <v/>
      </c>
      <c r="AM74" s="114" t="str">
        <f ca="1">IF(AM$57="","",INDEX(Leverancer!BN:BN,ROW()-ROW(Leverancer!$AU$25)-6)*Leverancer!BN$96/1000)</f>
        <v/>
      </c>
      <c r="AN74" s="114" t="str">
        <f ca="1">IF(AN$57="","",INDEX(Leverancer!BO:BO,ROW()-ROW(Leverancer!$AU$25)-6)*Leverancer!BO$96/1000)</f>
        <v/>
      </c>
      <c r="AO74" s="114" t="str">
        <f ca="1">IF(AO$57="","",INDEX(Leverancer!BP:BP,ROW()-ROW(Leverancer!$AU$25)-6)*Leverancer!BP$96/1000)</f>
        <v/>
      </c>
      <c r="AP74" s="114" t="str">
        <f ca="1">IF(AP$57="","",INDEX(Leverancer!BQ:BQ,ROW()-ROW(Leverancer!$AU$25)-6)*Leverancer!BQ$96/1000)</f>
        <v/>
      </c>
      <c r="AQ74" s="114" t="str">
        <f ca="1">IF(AQ$57="","",INDEX(Leverancer!BR:BR,ROW()-ROW(Leverancer!$AU$25)-6)*Leverancer!BR$96/1000)</f>
        <v/>
      </c>
      <c r="AR74" s="114" t="str">
        <f ca="1">IF(AR$57="","",INDEX(Leverancer!BS:BS,ROW()-ROW(Leverancer!$AU$25)-6)*Leverancer!BS$96/1000)</f>
        <v/>
      </c>
      <c r="AS74" s="114" t="str">
        <f ca="1">IF(AS$57="","",INDEX(Leverancer!BT:BT,ROW()-ROW(Leverancer!$AU$25)-6)*Leverancer!BT$96/1000)</f>
        <v/>
      </c>
      <c r="AT74" s="114" t="str">
        <f ca="1">IF(AT$57="","",INDEX(Leverancer!BU:BU,ROW()-ROW(Leverancer!$AU$25)-6)*Leverancer!BU$96/1000)</f>
        <v/>
      </c>
      <c r="AU74" s="114" t="str">
        <f ca="1">IF(AU$57="","",INDEX(Leverancer!BV:BV,ROW()-ROW(Leverancer!$AU$25)-6)*Leverancer!BV$96/1000)</f>
        <v/>
      </c>
      <c r="AV74" s="114" t="str">
        <f ca="1">IF(AV$57="","",INDEX(Leverancer!BW:BW,ROW()-ROW(Leverancer!$AU$25)-6)*Leverancer!BW$96/1000)</f>
        <v/>
      </c>
      <c r="AW74" s="114" t="str">
        <f ca="1">IF(AW$57="","",INDEX(Leverancer!BX:BX,ROW()-ROW(Leverancer!$AU$25)-6)*Leverancer!BX$96/1000)</f>
        <v/>
      </c>
      <c r="AX74" s="90"/>
      <c r="AY74" s="90"/>
      <c r="AZ74" s="87"/>
    </row>
    <row r="75" spans="14:52" ht="12.75" customHeight="1" x14ac:dyDescent="0.2">
      <c r="N75" s="85"/>
      <c r="O75" s="90"/>
      <c r="P75" s="90"/>
      <c r="Q75" s="116" t="str">
        <f>INDEX(Leverancer!$AO$1:$AO$1061,ROW()-ROW(Leverancer!$AU$25)-6)&amp;": "&amp;INDEX(Leverancer!$AP$1:$AP$1061,ROW()-ROW(Leverancer!$AU$25)-6)</f>
        <v xml:space="preserve">L16: </v>
      </c>
      <c r="R75" s="114"/>
      <c r="S75" s="119">
        <f t="shared" ca="1" si="12"/>
        <v>0</v>
      </c>
      <c r="T75" s="114">
        <f ca="1">IF(T$57="","",INDEX(Leverancer!AU:AU,ROW()-ROW(Leverancer!$AU$25)-6)*Leverancer!AU$96/1000)</f>
        <v>0</v>
      </c>
      <c r="U75" s="114">
        <f ca="1">IF(U$57="","",INDEX(Leverancer!AV:AV,ROW()-ROW(Leverancer!$AU$25)-6)*Leverancer!AV$96/1000)</f>
        <v>0</v>
      </c>
      <c r="V75" s="114">
        <f ca="1">IF(V$57="","",INDEX(Leverancer!AW:AW,ROW()-ROW(Leverancer!$AU$25)-6)*Leverancer!AW$96/1000)</f>
        <v>0</v>
      </c>
      <c r="W75" s="114">
        <f ca="1">IF(W$57="","",INDEX(Leverancer!AX:AX,ROW()-ROW(Leverancer!$AU$25)-6)*Leverancer!AX$96/1000)</f>
        <v>0</v>
      </c>
      <c r="X75" s="114" t="str">
        <f ca="1">IF(X$57="","",INDEX(Leverancer!AY:AY,ROW()-ROW(Leverancer!$AU$25)-6)*Leverancer!AY$96/1000)</f>
        <v/>
      </c>
      <c r="Y75" s="114" t="str">
        <f ca="1">IF(Y$57="","",INDEX(Leverancer!AZ:AZ,ROW()-ROW(Leverancer!$AU$25)-6)*Leverancer!AZ$96/1000)</f>
        <v/>
      </c>
      <c r="Z75" s="114" t="str">
        <f ca="1">IF(Z$57="","",INDEX(Leverancer!BA:BA,ROW()-ROW(Leverancer!$AU$25)-6)*Leverancer!BA$96/1000)</f>
        <v/>
      </c>
      <c r="AA75" s="114" t="str">
        <f ca="1">IF(AA$57="","",INDEX(Leverancer!BB:BB,ROW()-ROW(Leverancer!$AU$25)-6)*Leverancer!BB$96/1000)</f>
        <v/>
      </c>
      <c r="AB75" s="114" t="str">
        <f ca="1">IF(AB$57="","",INDEX(Leverancer!BC:BC,ROW()-ROW(Leverancer!$AU$25)-6)*Leverancer!BC$96/1000)</f>
        <v/>
      </c>
      <c r="AC75" s="114" t="str">
        <f ca="1">IF(AC$57="","",INDEX(Leverancer!BD:BD,ROW()-ROW(Leverancer!$AU$25)-6)*Leverancer!BD$96/1000)</f>
        <v/>
      </c>
      <c r="AD75" s="114" t="str">
        <f ca="1">IF(AD$57="","",INDEX(Leverancer!BE:BE,ROW()-ROW(Leverancer!$AU$25)-6)*Leverancer!BE$96/1000)</f>
        <v/>
      </c>
      <c r="AE75" s="114" t="str">
        <f ca="1">IF(AE$57="","",INDEX(Leverancer!BF:BF,ROW()-ROW(Leverancer!$AU$25)-6)*Leverancer!BF$96/1000)</f>
        <v/>
      </c>
      <c r="AF75" s="114" t="str">
        <f ca="1">IF(AF$57="","",INDEX(Leverancer!BG:BG,ROW()-ROW(Leverancer!$AU$25)-6)*Leverancer!BG$96/1000)</f>
        <v/>
      </c>
      <c r="AG75" s="114" t="str">
        <f ca="1">IF(AG$57="","",INDEX(Leverancer!BH:BH,ROW()-ROW(Leverancer!$AU$25)-6)*Leverancer!BH$96/1000)</f>
        <v/>
      </c>
      <c r="AH75" s="114" t="str">
        <f ca="1">IF(AH$57="","",INDEX(Leverancer!BI:BI,ROW()-ROW(Leverancer!$AU$25)-6)*Leverancer!BI$96/1000)</f>
        <v/>
      </c>
      <c r="AI75" s="114" t="str">
        <f ca="1">IF(AI$57="","",INDEX(Leverancer!BJ:BJ,ROW()-ROW(Leverancer!$AU$25)-6)*Leverancer!BJ$96/1000)</f>
        <v/>
      </c>
      <c r="AJ75" s="114" t="str">
        <f ca="1">IF(AJ$57="","",INDEX(Leverancer!BK:BK,ROW()-ROW(Leverancer!$AU$25)-6)*Leverancer!BK$96/1000)</f>
        <v/>
      </c>
      <c r="AK75" s="114" t="str">
        <f ca="1">IF(AK$57="","",INDEX(Leverancer!BL:BL,ROW()-ROW(Leverancer!$AU$25)-6)*Leverancer!BL$96/1000)</f>
        <v/>
      </c>
      <c r="AL75" s="114" t="str">
        <f ca="1">IF(AL$57="","",INDEX(Leverancer!BM:BM,ROW()-ROW(Leverancer!$AU$25)-6)*Leverancer!BM$96/1000)</f>
        <v/>
      </c>
      <c r="AM75" s="114" t="str">
        <f ca="1">IF(AM$57="","",INDEX(Leverancer!BN:BN,ROW()-ROW(Leverancer!$AU$25)-6)*Leverancer!BN$96/1000)</f>
        <v/>
      </c>
      <c r="AN75" s="114" t="str">
        <f ca="1">IF(AN$57="","",INDEX(Leverancer!BO:BO,ROW()-ROW(Leverancer!$AU$25)-6)*Leverancer!BO$96/1000)</f>
        <v/>
      </c>
      <c r="AO75" s="114" t="str">
        <f ca="1">IF(AO$57="","",INDEX(Leverancer!BP:BP,ROW()-ROW(Leverancer!$AU$25)-6)*Leverancer!BP$96/1000)</f>
        <v/>
      </c>
      <c r="AP75" s="114" t="str">
        <f ca="1">IF(AP$57="","",INDEX(Leverancer!BQ:BQ,ROW()-ROW(Leverancer!$AU$25)-6)*Leverancer!BQ$96/1000)</f>
        <v/>
      </c>
      <c r="AQ75" s="114" t="str">
        <f ca="1">IF(AQ$57="","",INDEX(Leverancer!BR:BR,ROW()-ROW(Leverancer!$AU$25)-6)*Leverancer!BR$96/1000)</f>
        <v/>
      </c>
      <c r="AR75" s="114" t="str">
        <f ca="1">IF(AR$57="","",INDEX(Leverancer!BS:BS,ROW()-ROW(Leverancer!$AU$25)-6)*Leverancer!BS$96/1000)</f>
        <v/>
      </c>
      <c r="AS75" s="114" t="str">
        <f ca="1">IF(AS$57="","",INDEX(Leverancer!BT:BT,ROW()-ROW(Leverancer!$AU$25)-6)*Leverancer!BT$96/1000)</f>
        <v/>
      </c>
      <c r="AT75" s="114" t="str">
        <f ca="1">IF(AT$57="","",INDEX(Leverancer!BU:BU,ROW()-ROW(Leverancer!$AU$25)-6)*Leverancer!BU$96/1000)</f>
        <v/>
      </c>
      <c r="AU75" s="114" t="str">
        <f ca="1">IF(AU$57="","",INDEX(Leverancer!BV:BV,ROW()-ROW(Leverancer!$AU$25)-6)*Leverancer!BV$96/1000)</f>
        <v/>
      </c>
      <c r="AV75" s="114" t="str">
        <f ca="1">IF(AV$57="","",INDEX(Leverancer!BW:BW,ROW()-ROW(Leverancer!$AU$25)-6)*Leverancer!BW$96/1000)</f>
        <v/>
      </c>
      <c r="AW75" s="114" t="str">
        <f ca="1">IF(AW$57="","",INDEX(Leverancer!BX:BX,ROW()-ROW(Leverancer!$AU$25)-6)*Leverancer!BX$96/1000)</f>
        <v/>
      </c>
      <c r="AX75" s="90"/>
      <c r="AY75" s="90"/>
      <c r="AZ75" s="87"/>
    </row>
    <row r="76" spans="14:52" ht="12.75" customHeight="1" x14ac:dyDescent="0.2">
      <c r="N76" s="85"/>
      <c r="O76" s="90"/>
      <c r="P76" s="90"/>
      <c r="Q76" s="116" t="str">
        <f>INDEX(Leverancer!$AO$1:$AO$1061,ROW()-ROW(Leverancer!$AU$25)-6)&amp;": "&amp;INDEX(Leverancer!$AP$1:$AP$1061,ROW()-ROW(Leverancer!$AU$25)-6)</f>
        <v xml:space="preserve">L17: </v>
      </c>
      <c r="R76" s="114"/>
      <c r="S76" s="119">
        <f t="shared" ca="1" si="12"/>
        <v>0</v>
      </c>
      <c r="T76" s="114">
        <f ca="1">IF(T$57="","",INDEX(Leverancer!AU:AU,ROW()-ROW(Leverancer!$AU$25)-6)*Leverancer!AU$96/1000)</f>
        <v>0</v>
      </c>
      <c r="U76" s="114">
        <f ca="1">IF(U$57="","",INDEX(Leverancer!AV:AV,ROW()-ROW(Leverancer!$AU$25)-6)*Leverancer!AV$96/1000)</f>
        <v>0</v>
      </c>
      <c r="V76" s="114">
        <f ca="1">IF(V$57="","",INDEX(Leverancer!AW:AW,ROW()-ROW(Leverancer!$AU$25)-6)*Leverancer!AW$96/1000)</f>
        <v>0</v>
      </c>
      <c r="W76" s="114">
        <f ca="1">IF(W$57="","",INDEX(Leverancer!AX:AX,ROW()-ROW(Leverancer!$AU$25)-6)*Leverancer!AX$96/1000)</f>
        <v>0</v>
      </c>
      <c r="X76" s="114" t="str">
        <f ca="1">IF(X$57="","",INDEX(Leverancer!AY:AY,ROW()-ROW(Leverancer!$AU$25)-6)*Leverancer!AY$96/1000)</f>
        <v/>
      </c>
      <c r="Y76" s="114" t="str">
        <f ca="1">IF(Y$57="","",INDEX(Leverancer!AZ:AZ,ROW()-ROW(Leverancer!$AU$25)-6)*Leverancer!AZ$96/1000)</f>
        <v/>
      </c>
      <c r="Z76" s="114" t="str">
        <f ca="1">IF(Z$57="","",INDEX(Leverancer!BA:BA,ROW()-ROW(Leverancer!$AU$25)-6)*Leverancer!BA$96/1000)</f>
        <v/>
      </c>
      <c r="AA76" s="114" t="str">
        <f ca="1">IF(AA$57="","",INDEX(Leverancer!BB:BB,ROW()-ROW(Leverancer!$AU$25)-6)*Leverancer!BB$96/1000)</f>
        <v/>
      </c>
      <c r="AB76" s="114" t="str">
        <f ca="1">IF(AB$57="","",INDEX(Leverancer!BC:BC,ROW()-ROW(Leverancer!$AU$25)-6)*Leverancer!BC$96/1000)</f>
        <v/>
      </c>
      <c r="AC76" s="114" t="str">
        <f ca="1">IF(AC$57="","",INDEX(Leverancer!BD:BD,ROW()-ROW(Leverancer!$AU$25)-6)*Leverancer!BD$96/1000)</f>
        <v/>
      </c>
      <c r="AD76" s="114" t="str">
        <f ca="1">IF(AD$57="","",INDEX(Leverancer!BE:BE,ROW()-ROW(Leverancer!$AU$25)-6)*Leverancer!BE$96/1000)</f>
        <v/>
      </c>
      <c r="AE76" s="114" t="str">
        <f ca="1">IF(AE$57="","",INDEX(Leverancer!BF:BF,ROW()-ROW(Leverancer!$AU$25)-6)*Leverancer!BF$96/1000)</f>
        <v/>
      </c>
      <c r="AF76" s="114" t="str">
        <f ca="1">IF(AF$57="","",INDEX(Leverancer!BG:BG,ROW()-ROW(Leverancer!$AU$25)-6)*Leverancer!BG$96/1000)</f>
        <v/>
      </c>
      <c r="AG76" s="114" t="str">
        <f ca="1">IF(AG$57="","",INDEX(Leverancer!BH:BH,ROW()-ROW(Leverancer!$AU$25)-6)*Leverancer!BH$96/1000)</f>
        <v/>
      </c>
      <c r="AH76" s="114" t="str">
        <f ca="1">IF(AH$57="","",INDEX(Leverancer!BI:BI,ROW()-ROW(Leverancer!$AU$25)-6)*Leverancer!BI$96/1000)</f>
        <v/>
      </c>
      <c r="AI76" s="114" t="str">
        <f ca="1">IF(AI$57="","",INDEX(Leverancer!BJ:BJ,ROW()-ROW(Leverancer!$AU$25)-6)*Leverancer!BJ$96/1000)</f>
        <v/>
      </c>
      <c r="AJ76" s="114" t="str">
        <f ca="1">IF(AJ$57="","",INDEX(Leverancer!BK:BK,ROW()-ROW(Leverancer!$AU$25)-6)*Leverancer!BK$96/1000)</f>
        <v/>
      </c>
      <c r="AK76" s="114" t="str">
        <f ca="1">IF(AK$57="","",INDEX(Leverancer!BL:BL,ROW()-ROW(Leverancer!$AU$25)-6)*Leverancer!BL$96/1000)</f>
        <v/>
      </c>
      <c r="AL76" s="114" t="str">
        <f ca="1">IF(AL$57="","",INDEX(Leverancer!BM:BM,ROW()-ROW(Leverancer!$AU$25)-6)*Leverancer!BM$96/1000)</f>
        <v/>
      </c>
      <c r="AM76" s="114" t="str">
        <f ca="1">IF(AM$57="","",INDEX(Leverancer!BN:BN,ROW()-ROW(Leverancer!$AU$25)-6)*Leverancer!BN$96/1000)</f>
        <v/>
      </c>
      <c r="AN76" s="114" t="str">
        <f ca="1">IF(AN$57="","",INDEX(Leverancer!BO:BO,ROW()-ROW(Leverancer!$AU$25)-6)*Leverancer!BO$96/1000)</f>
        <v/>
      </c>
      <c r="AO76" s="114" t="str">
        <f ca="1">IF(AO$57="","",INDEX(Leverancer!BP:BP,ROW()-ROW(Leverancer!$AU$25)-6)*Leverancer!BP$96/1000)</f>
        <v/>
      </c>
      <c r="AP76" s="114" t="str">
        <f ca="1">IF(AP$57="","",INDEX(Leverancer!BQ:BQ,ROW()-ROW(Leverancer!$AU$25)-6)*Leverancer!BQ$96/1000)</f>
        <v/>
      </c>
      <c r="AQ76" s="114" t="str">
        <f ca="1">IF(AQ$57="","",INDEX(Leverancer!BR:BR,ROW()-ROW(Leverancer!$AU$25)-6)*Leverancer!BR$96/1000)</f>
        <v/>
      </c>
      <c r="AR76" s="114" t="str">
        <f ca="1">IF(AR$57="","",INDEX(Leverancer!BS:BS,ROW()-ROW(Leverancer!$AU$25)-6)*Leverancer!BS$96/1000)</f>
        <v/>
      </c>
      <c r="AS76" s="114" t="str">
        <f ca="1">IF(AS$57="","",INDEX(Leverancer!BT:BT,ROW()-ROW(Leverancer!$AU$25)-6)*Leverancer!BT$96/1000)</f>
        <v/>
      </c>
      <c r="AT76" s="114" t="str">
        <f ca="1">IF(AT$57="","",INDEX(Leverancer!BU:BU,ROW()-ROW(Leverancer!$AU$25)-6)*Leverancer!BU$96/1000)</f>
        <v/>
      </c>
      <c r="AU76" s="114" t="str">
        <f ca="1">IF(AU$57="","",INDEX(Leverancer!BV:BV,ROW()-ROW(Leverancer!$AU$25)-6)*Leverancer!BV$96/1000)</f>
        <v/>
      </c>
      <c r="AV76" s="114" t="str">
        <f ca="1">IF(AV$57="","",INDEX(Leverancer!BW:BW,ROW()-ROW(Leverancer!$AU$25)-6)*Leverancer!BW$96/1000)</f>
        <v/>
      </c>
      <c r="AW76" s="114" t="str">
        <f ca="1">IF(AW$57="","",INDEX(Leverancer!BX:BX,ROW()-ROW(Leverancer!$AU$25)-6)*Leverancer!BX$96/1000)</f>
        <v/>
      </c>
      <c r="AX76" s="90"/>
      <c r="AY76" s="90"/>
      <c r="AZ76" s="87"/>
    </row>
    <row r="77" spans="14:52" ht="12.75" customHeight="1" x14ac:dyDescent="0.2">
      <c r="N77" s="85"/>
      <c r="O77" s="90"/>
      <c r="P77" s="90"/>
      <c r="Q77" s="116" t="str">
        <f>INDEX(Leverancer!$AO$1:$AO$1061,ROW()-ROW(Leverancer!$AU$25)-6)&amp;": "&amp;INDEX(Leverancer!$AP$1:$AP$1061,ROW()-ROW(Leverancer!$AU$25)-6)</f>
        <v xml:space="preserve">L18: </v>
      </c>
      <c r="R77" s="114"/>
      <c r="S77" s="119">
        <f t="shared" ca="1" si="12"/>
        <v>0</v>
      </c>
      <c r="T77" s="114">
        <f ca="1">IF(T$57="","",INDEX(Leverancer!AU:AU,ROW()-ROW(Leverancer!$AU$25)-6)*Leverancer!AU$96/1000)</f>
        <v>0</v>
      </c>
      <c r="U77" s="114">
        <f ca="1">IF(U$57="","",INDEX(Leverancer!AV:AV,ROW()-ROW(Leverancer!$AU$25)-6)*Leverancer!AV$96/1000)</f>
        <v>0</v>
      </c>
      <c r="V77" s="114">
        <f ca="1">IF(V$57="","",INDEX(Leverancer!AW:AW,ROW()-ROW(Leverancer!$AU$25)-6)*Leverancer!AW$96/1000)</f>
        <v>0</v>
      </c>
      <c r="W77" s="114">
        <f ca="1">IF(W$57="","",INDEX(Leverancer!AX:AX,ROW()-ROW(Leverancer!$AU$25)-6)*Leverancer!AX$96/1000)</f>
        <v>0</v>
      </c>
      <c r="X77" s="114" t="str">
        <f ca="1">IF(X$57="","",INDEX(Leverancer!AY:AY,ROW()-ROW(Leverancer!$AU$25)-6)*Leverancer!AY$96/1000)</f>
        <v/>
      </c>
      <c r="Y77" s="114" t="str">
        <f ca="1">IF(Y$57="","",INDEX(Leverancer!AZ:AZ,ROW()-ROW(Leverancer!$AU$25)-6)*Leverancer!AZ$96/1000)</f>
        <v/>
      </c>
      <c r="Z77" s="114" t="str">
        <f ca="1">IF(Z$57="","",INDEX(Leverancer!BA:BA,ROW()-ROW(Leverancer!$AU$25)-6)*Leverancer!BA$96/1000)</f>
        <v/>
      </c>
      <c r="AA77" s="114" t="str">
        <f ca="1">IF(AA$57="","",INDEX(Leverancer!BB:BB,ROW()-ROW(Leverancer!$AU$25)-6)*Leverancer!BB$96/1000)</f>
        <v/>
      </c>
      <c r="AB77" s="114" t="str">
        <f ca="1">IF(AB$57="","",INDEX(Leverancer!BC:BC,ROW()-ROW(Leverancer!$AU$25)-6)*Leverancer!BC$96/1000)</f>
        <v/>
      </c>
      <c r="AC77" s="114" t="str">
        <f ca="1">IF(AC$57="","",INDEX(Leverancer!BD:BD,ROW()-ROW(Leverancer!$AU$25)-6)*Leverancer!BD$96/1000)</f>
        <v/>
      </c>
      <c r="AD77" s="114" t="str">
        <f ca="1">IF(AD$57="","",INDEX(Leverancer!BE:BE,ROW()-ROW(Leverancer!$AU$25)-6)*Leverancer!BE$96/1000)</f>
        <v/>
      </c>
      <c r="AE77" s="114" t="str">
        <f ca="1">IF(AE$57="","",INDEX(Leverancer!BF:BF,ROW()-ROW(Leverancer!$AU$25)-6)*Leverancer!BF$96/1000)</f>
        <v/>
      </c>
      <c r="AF77" s="114" t="str">
        <f ca="1">IF(AF$57="","",INDEX(Leverancer!BG:BG,ROW()-ROW(Leverancer!$AU$25)-6)*Leverancer!BG$96/1000)</f>
        <v/>
      </c>
      <c r="AG77" s="114" t="str">
        <f ca="1">IF(AG$57="","",INDEX(Leverancer!BH:BH,ROW()-ROW(Leverancer!$AU$25)-6)*Leverancer!BH$96/1000)</f>
        <v/>
      </c>
      <c r="AH77" s="114" t="str">
        <f ca="1">IF(AH$57="","",INDEX(Leverancer!BI:BI,ROW()-ROW(Leverancer!$AU$25)-6)*Leverancer!BI$96/1000)</f>
        <v/>
      </c>
      <c r="AI77" s="114" t="str">
        <f ca="1">IF(AI$57="","",INDEX(Leverancer!BJ:BJ,ROW()-ROW(Leverancer!$AU$25)-6)*Leverancer!BJ$96/1000)</f>
        <v/>
      </c>
      <c r="AJ77" s="114" t="str">
        <f ca="1">IF(AJ$57="","",INDEX(Leverancer!BK:BK,ROW()-ROW(Leverancer!$AU$25)-6)*Leverancer!BK$96/1000)</f>
        <v/>
      </c>
      <c r="AK77" s="114" t="str">
        <f ca="1">IF(AK$57="","",INDEX(Leverancer!BL:BL,ROW()-ROW(Leverancer!$AU$25)-6)*Leverancer!BL$96/1000)</f>
        <v/>
      </c>
      <c r="AL77" s="114" t="str">
        <f ca="1">IF(AL$57="","",INDEX(Leverancer!BM:BM,ROW()-ROW(Leverancer!$AU$25)-6)*Leverancer!BM$96/1000)</f>
        <v/>
      </c>
      <c r="AM77" s="114" t="str">
        <f ca="1">IF(AM$57="","",INDEX(Leverancer!BN:BN,ROW()-ROW(Leverancer!$AU$25)-6)*Leverancer!BN$96/1000)</f>
        <v/>
      </c>
      <c r="AN77" s="114" t="str">
        <f ca="1">IF(AN$57="","",INDEX(Leverancer!BO:BO,ROW()-ROW(Leverancer!$AU$25)-6)*Leverancer!BO$96/1000)</f>
        <v/>
      </c>
      <c r="AO77" s="114" t="str">
        <f ca="1">IF(AO$57="","",INDEX(Leverancer!BP:BP,ROW()-ROW(Leverancer!$AU$25)-6)*Leverancer!BP$96/1000)</f>
        <v/>
      </c>
      <c r="AP77" s="114" t="str">
        <f ca="1">IF(AP$57="","",INDEX(Leverancer!BQ:BQ,ROW()-ROW(Leverancer!$AU$25)-6)*Leverancer!BQ$96/1000)</f>
        <v/>
      </c>
      <c r="AQ77" s="114" t="str">
        <f ca="1">IF(AQ$57="","",INDEX(Leverancer!BR:BR,ROW()-ROW(Leverancer!$AU$25)-6)*Leverancer!BR$96/1000)</f>
        <v/>
      </c>
      <c r="AR77" s="114" t="str">
        <f ca="1">IF(AR$57="","",INDEX(Leverancer!BS:BS,ROW()-ROW(Leverancer!$AU$25)-6)*Leverancer!BS$96/1000)</f>
        <v/>
      </c>
      <c r="AS77" s="114" t="str">
        <f ca="1">IF(AS$57="","",INDEX(Leverancer!BT:BT,ROW()-ROW(Leverancer!$AU$25)-6)*Leverancer!BT$96/1000)</f>
        <v/>
      </c>
      <c r="AT77" s="114" t="str">
        <f ca="1">IF(AT$57="","",INDEX(Leverancer!BU:BU,ROW()-ROW(Leverancer!$AU$25)-6)*Leverancer!BU$96/1000)</f>
        <v/>
      </c>
      <c r="AU77" s="114" t="str">
        <f ca="1">IF(AU$57="","",INDEX(Leverancer!BV:BV,ROW()-ROW(Leverancer!$AU$25)-6)*Leverancer!BV$96/1000)</f>
        <v/>
      </c>
      <c r="AV77" s="114" t="str">
        <f ca="1">IF(AV$57="","",INDEX(Leverancer!BW:BW,ROW()-ROW(Leverancer!$AU$25)-6)*Leverancer!BW$96/1000)</f>
        <v/>
      </c>
      <c r="AW77" s="114" t="str">
        <f ca="1">IF(AW$57="","",INDEX(Leverancer!BX:BX,ROW()-ROW(Leverancer!$AU$25)-6)*Leverancer!BX$96/1000)</f>
        <v/>
      </c>
      <c r="AX77" s="90"/>
      <c r="AY77" s="90"/>
      <c r="AZ77" s="87"/>
    </row>
    <row r="78" spans="14:52" ht="12.75" customHeight="1" x14ac:dyDescent="0.2">
      <c r="N78" s="85"/>
      <c r="O78" s="90"/>
      <c r="P78" s="90"/>
      <c r="Q78" s="116" t="str">
        <f>INDEX(Leverancer!$AO$1:$AO$1061,ROW()-ROW(Leverancer!$AU$25)-6)&amp;": "&amp;INDEX(Leverancer!$AP$1:$AP$1061,ROW()-ROW(Leverancer!$AU$25)-6)</f>
        <v xml:space="preserve">L19: </v>
      </c>
      <c r="R78" s="114"/>
      <c r="S78" s="119">
        <f t="shared" ca="1" si="12"/>
        <v>0</v>
      </c>
      <c r="T78" s="114">
        <f ca="1">IF(T$57="","",INDEX(Leverancer!AU:AU,ROW()-ROW(Leverancer!$AU$25)-6)*Leverancer!AU$96/1000)</f>
        <v>0</v>
      </c>
      <c r="U78" s="114">
        <f ca="1">IF(U$57="","",INDEX(Leverancer!AV:AV,ROW()-ROW(Leverancer!$AU$25)-6)*Leverancer!AV$96/1000)</f>
        <v>0</v>
      </c>
      <c r="V78" s="114">
        <f ca="1">IF(V$57="","",INDEX(Leverancer!AW:AW,ROW()-ROW(Leverancer!$AU$25)-6)*Leverancer!AW$96/1000)</f>
        <v>0</v>
      </c>
      <c r="W78" s="114">
        <f ca="1">IF(W$57="","",INDEX(Leverancer!AX:AX,ROW()-ROW(Leverancer!$AU$25)-6)*Leverancer!AX$96/1000)</f>
        <v>0</v>
      </c>
      <c r="X78" s="114" t="str">
        <f ca="1">IF(X$57="","",INDEX(Leverancer!AY:AY,ROW()-ROW(Leverancer!$AU$25)-6)*Leverancer!AY$96/1000)</f>
        <v/>
      </c>
      <c r="Y78" s="114" t="str">
        <f ca="1">IF(Y$57="","",INDEX(Leverancer!AZ:AZ,ROW()-ROW(Leverancer!$AU$25)-6)*Leverancer!AZ$96/1000)</f>
        <v/>
      </c>
      <c r="Z78" s="114" t="str">
        <f ca="1">IF(Z$57="","",INDEX(Leverancer!BA:BA,ROW()-ROW(Leverancer!$AU$25)-6)*Leverancer!BA$96/1000)</f>
        <v/>
      </c>
      <c r="AA78" s="114" t="str">
        <f ca="1">IF(AA$57="","",INDEX(Leverancer!BB:BB,ROW()-ROW(Leverancer!$AU$25)-6)*Leverancer!BB$96/1000)</f>
        <v/>
      </c>
      <c r="AB78" s="114" t="str">
        <f ca="1">IF(AB$57="","",INDEX(Leverancer!BC:BC,ROW()-ROW(Leverancer!$AU$25)-6)*Leverancer!BC$96/1000)</f>
        <v/>
      </c>
      <c r="AC78" s="114" t="str">
        <f ca="1">IF(AC$57="","",INDEX(Leverancer!BD:BD,ROW()-ROW(Leverancer!$AU$25)-6)*Leverancer!BD$96/1000)</f>
        <v/>
      </c>
      <c r="AD78" s="114" t="str">
        <f ca="1">IF(AD$57="","",INDEX(Leverancer!BE:BE,ROW()-ROW(Leverancer!$AU$25)-6)*Leverancer!BE$96/1000)</f>
        <v/>
      </c>
      <c r="AE78" s="114" t="str">
        <f ca="1">IF(AE$57="","",INDEX(Leverancer!BF:BF,ROW()-ROW(Leverancer!$AU$25)-6)*Leverancer!BF$96/1000)</f>
        <v/>
      </c>
      <c r="AF78" s="114" t="str">
        <f ca="1">IF(AF$57="","",INDEX(Leverancer!BG:BG,ROW()-ROW(Leverancer!$AU$25)-6)*Leverancer!BG$96/1000)</f>
        <v/>
      </c>
      <c r="AG78" s="114" t="str">
        <f ca="1">IF(AG$57="","",INDEX(Leverancer!BH:BH,ROW()-ROW(Leverancer!$AU$25)-6)*Leverancer!BH$96/1000)</f>
        <v/>
      </c>
      <c r="AH78" s="114" t="str">
        <f ca="1">IF(AH$57="","",INDEX(Leverancer!BI:BI,ROW()-ROW(Leverancer!$AU$25)-6)*Leverancer!BI$96/1000)</f>
        <v/>
      </c>
      <c r="AI78" s="114" t="str">
        <f ca="1">IF(AI$57="","",INDEX(Leverancer!BJ:BJ,ROW()-ROW(Leverancer!$AU$25)-6)*Leverancer!BJ$96/1000)</f>
        <v/>
      </c>
      <c r="AJ78" s="114" t="str">
        <f ca="1">IF(AJ$57="","",INDEX(Leverancer!BK:BK,ROW()-ROW(Leverancer!$AU$25)-6)*Leverancer!BK$96/1000)</f>
        <v/>
      </c>
      <c r="AK78" s="114" t="str">
        <f ca="1">IF(AK$57="","",INDEX(Leverancer!BL:BL,ROW()-ROW(Leverancer!$AU$25)-6)*Leverancer!BL$96/1000)</f>
        <v/>
      </c>
      <c r="AL78" s="114" t="str">
        <f ca="1">IF(AL$57="","",INDEX(Leverancer!BM:BM,ROW()-ROW(Leverancer!$AU$25)-6)*Leverancer!BM$96/1000)</f>
        <v/>
      </c>
      <c r="AM78" s="114" t="str">
        <f ca="1">IF(AM$57="","",INDEX(Leverancer!BN:BN,ROW()-ROW(Leverancer!$AU$25)-6)*Leverancer!BN$96/1000)</f>
        <v/>
      </c>
      <c r="AN78" s="114" t="str">
        <f ca="1">IF(AN$57="","",INDEX(Leverancer!BO:BO,ROW()-ROW(Leverancer!$AU$25)-6)*Leverancer!BO$96/1000)</f>
        <v/>
      </c>
      <c r="AO78" s="114" t="str">
        <f ca="1">IF(AO$57="","",INDEX(Leverancer!BP:BP,ROW()-ROW(Leverancer!$AU$25)-6)*Leverancer!BP$96/1000)</f>
        <v/>
      </c>
      <c r="AP78" s="114" t="str">
        <f ca="1">IF(AP$57="","",INDEX(Leverancer!BQ:BQ,ROW()-ROW(Leverancer!$AU$25)-6)*Leverancer!BQ$96/1000)</f>
        <v/>
      </c>
      <c r="AQ78" s="114" t="str">
        <f ca="1">IF(AQ$57="","",INDEX(Leverancer!BR:BR,ROW()-ROW(Leverancer!$AU$25)-6)*Leverancer!BR$96/1000)</f>
        <v/>
      </c>
      <c r="AR78" s="114" t="str">
        <f ca="1">IF(AR$57="","",INDEX(Leverancer!BS:BS,ROW()-ROW(Leverancer!$AU$25)-6)*Leverancer!BS$96/1000)</f>
        <v/>
      </c>
      <c r="AS78" s="114" t="str">
        <f ca="1">IF(AS$57="","",INDEX(Leverancer!BT:BT,ROW()-ROW(Leverancer!$AU$25)-6)*Leverancer!BT$96/1000)</f>
        <v/>
      </c>
      <c r="AT78" s="114" t="str">
        <f ca="1">IF(AT$57="","",INDEX(Leverancer!BU:BU,ROW()-ROW(Leverancer!$AU$25)-6)*Leverancer!BU$96/1000)</f>
        <v/>
      </c>
      <c r="AU78" s="114" t="str">
        <f ca="1">IF(AU$57="","",INDEX(Leverancer!BV:BV,ROW()-ROW(Leverancer!$AU$25)-6)*Leverancer!BV$96/1000)</f>
        <v/>
      </c>
      <c r="AV78" s="114" t="str">
        <f ca="1">IF(AV$57="","",INDEX(Leverancer!BW:BW,ROW()-ROW(Leverancer!$AU$25)-6)*Leverancer!BW$96/1000)</f>
        <v/>
      </c>
      <c r="AW78" s="114" t="str">
        <f ca="1">IF(AW$57="","",INDEX(Leverancer!BX:BX,ROW()-ROW(Leverancer!$AU$25)-6)*Leverancer!BX$96/1000)</f>
        <v/>
      </c>
      <c r="AX78" s="90"/>
      <c r="AY78" s="90"/>
      <c r="AZ78" s="87"/>
    </row>
    <row r="79" spans="14:52" ht="12.75" customHeight="1" x14ac:dyDescent="0.2">
      <c r="N79" s="85"/>
      <c r="O79" s="90"/>
      <c r="P79" s="90"/>
      <c r="Q79" s="116" t="str">
        <f>INDEX(Leverancer!$AO$1:$AO$1061,ROW()-ROW(Leverancer!$AU$25)-6)&amp;": "&amp;INDEX(Leverancer!$AP$1:$AP$1061,ROW()-ROW(Leverancer!$AU$25)-6)</f>
        <v xml:space="preserve">L20: </v>
      </c>
      <c r="R79" s="114"/>
      <c r="S79" s="119">
        <f t="shared" ca="1" si="12"/>
        <v>0</v>
      </c>
      <c r="T79" s="114">
        <f ca="1">IF(T$57="","",INDEX(Leverancer!AU:AU,ROW()-ROW(Leverancer!$AU$25)-6)*Leverancer!AU$96/1000)</f>
        <v>0</v>
      </c>
      <c r="U79" s="114">
        <f ca="1">IF(U$57="","",INDEX(Leverancer!AV:AV,ROW()-ROW(Leverancer!$AU$25)-6)*Leverancer!AV$96/1000)</f>
        <v>0</v>
      </c>
      <c r="V79" s="114">
        <f ca="1">IF(V$57="","",INDEX(Leverancer!AW:AW,ROW()-ROW(Leverancer!$AU$25)-6)*Leverancer!AW$96/1000)</f>
        <v>0</v>
      </c>
      <c r="W79" s="114">
        <f ca="1">IF(W$57="","",INDEX(Leverancer!AX:AX,ROW()-ROW(Leverancer!$AU$25)-6)*Leverancer!AX$96/1000)</f>
        <v>0</v>
      </c>
      <c r="X79" s="114" t="str">
        <f ca="1">IF(X$57="","",INDEX(Leverancer!AY:AY,ROW()-ROW(Leverancer!$AU$25)-6)*Leverancer!AY$96/1000)</f>
        <v/>
      </c>
      <c r="Y79" s="114" t="str">
        <f ca="1">IF(Y$57="","",INDEX(Leverancer!AZ:AZ,ROW()-ROW(Leverancer!$AU$25)-6)*Leverancer!AZ$96/1000)</f>
        <v/>
      </c>
      <c r="Z79" s="114" t="str">
        <f ca="1">IF(Z$57="","",INDEX(Leverancer!BA:BA,ROW()-ROW(Leverancer!$AU$25)-6)*Leverancer!BA$96/1000)</f>
        <v/>
      </c>
      <c r="AA79" s="114" t="str">
        <f ca="1">IF(AA$57="","",INDEX(Leverancer!BB:BB,ROW()-ROW(Leverancer!$AU$25)-6)*Leverancer!BB$96/1000)</f>
        <v/>
      </c>
      <c r="AB79" s="114" t="str">
        <f ca="1">IF(AB$57="","",INDEX(Leverancer!BC:BC,ROW()-ROW(Leverancer!$AU$25)-6)*Leverancer!BC$96/1000)</f>
        <v/>
      </c>
      <c r="AC79" s="114" t="str">
        <f ca="1">IF(AC$57="","",INDEX(Leverancer!BD:BD,ROW()-ROW(Leverancer!$AU$25)-6)*Leverancer!BD$96/1000)</f>
        <v/>
      </c>
      <c r="AD79" s="114" t="str">
        <f ca="1">IF(AD$57="","",INDEX(Leverancer!BE:BE,ROW()-ROW(Leverancer!$AU$25)-6)*Leverancer!BE$96/1000)</f>
        <v/>
      </c>
      <c r="AE79" s="114" t="str">
        <f ca="1">IF(AE$57="","",INDEX(Leverancer!BF:BF,ROW()-ROW(Leverancer!$AU$25)-6)*Leverancer!BF$96/1000)</f>
        <v/>
      </c>
      <c r="AF79" s="114" t="str">
        <f ca="1">IF(AF$57="","",INDEX(Leverancer!BG:BG,ROW()-ROW(Leverancer!$AU$25)-6)*Leverancer!BG$96/1000)</f>
        <v/>
      </c>
      <c r="AG79" s="114" t="str">
        <f ca="1">IF(AG$57="","",INDEX(Leverancer!BH:BH,ROW()-ROW(Leverancer!$AU$25)-6)*Leverancer!BH$96/1000)</f>
        <v/>
      </c>
      <c r="AH79" s="114" t="str">
        <f ca="1">IF(AH$57="","",INDEX(Leverancer!BI:BI,ROW()-ROW(Leverancer!$AU$25)-6)*Leverancer!BI$96/1000)</f>
        <v/>
      </c>
      <c r="AI79" s="114" t="str">
        <f ca="1">IF(AI$57="","",INDEX(Leverancer!BJ:BJ,ROW()-ROW(Leverancer!$AU$25)-6)*Leverancer!BJ$96/1000)</f>
        <v/>
      </c>
      <c r="AJ79" s="114" t="str">
        <f ca="1">IF(AJ$57="","",INDEX(Leverancer!BK:BK,ROW()-ROW(Leverancer!$AU$25)-6)*Leverancer!BK$96/1000)</f>
        <v/>
      </c>
      <c r="AK79" s="114" t="str">
        <f ca="1">IF(AK$57="","",INDEX(Leverancer!BL:BL,ROW()-ROW(Leverancer!$AU$25)-6)*Leverancer!BL$96/1000)</f>
        <v/>
      </c>
      <c r="AL79" s="114" t="str">
        <f ca="1">IF(AL$57="","",INDEX(Leverancer!BM:BM,ROW()-ROW(Leverancer!$AU$25)-6)*Leverancer!BM$96/1000)</f>
        <v/>
      </c>
      <c r="AM79" s="114" t="str">
        <f ca="1">IF(AM$57="","",INDEX(Leverancer!BN:BN,ROW()-ROW(Leverancer!$AU$25)-6)*Leverancer!BN$96/1000)</f>
        <v/>
      </c>
      <c r="AN79" s="114" t="str">
        <f ca="1">IF(AN$57="","",INDEX(Leverancer!BO:BO,ROW()-ROW(Leverancer!$AU$25)-6)*Leverancer!BO$96/1000)</f>
        <v/>
      </c>
      <c r="AO79" s="114" t="str">
        <f ca="1">IF(AO$57="","",INDEX(Leverancer!BP:BP,ROW()-ROW(Leverancer!$AU$25)-6)*Leverancer!BP$96/1000)</f>
        <v/>
      </c>
      <c r="AP79" s="114" t="str">
        <f ca="1">IF(AP$57="","",INDEX(Leverancer!BQ:BQ,ROW()-ROW(Leverancer!$AU$25)-6)*Leverancer!BQ$96/1000)</f>
        <v/>
      </c>
      <c r="AQ79" s="114" t="str">
        <f ca="1">IF(AQ$57="","",INDEX(Leverancer!BR:BR,ROW()-ROW(Leverancer!$AU$25)-6)*Leverancer!BR$96/1000)</f>
        <v/>
      </c>
      <c r="AR79" s="114" t="str">
        <f ca="1">IF(AR$57="","",INDEX(Leverancer!BS:BS,ROW()-ROW(Leverancer!$AU$25)-6)*Leverancer!BS$96/1000)</f>
        <v/>
      </c>
      <c r="AS79" s="114" t="str">
        <f ca="1">IF(AS$57="","",INDEX(Leverancer!BT:BT,ROW()-ROW(Leverancer!$AU$25)-6)*Leverancer!BT$96/1000)</f>
        <v/>
      </c>
      <c r="AT79" s="114" t="str">
        <f ca="1">IF(AT$57="","",INDEX(Leverancer!BU:BU,ROW()-ROW(Leverancer!$AU$25)-6)*Leverancer!BU$96/1000)</f>
        <v/>
      </c>
      <c r="AU79" s="114" t="str">
        <f ca="1">IF(AU$57="","",INDEX(Leverancer!BV:BV,ROW()-ROW(Leverancer!$AU$25)-6)*Leverancer!BV$96/1000)</f>
        <v/>
      </c>
      <c r="AV79" s="114" t="str">
        <f ca="1">IF(AV$57="","",INDEX(Leverancer!BW:BW,ROW()-ROW(Leverancer!$AU$25)-6)*Leverancer!BW$96/1000)</f>
        <v/>
      </c>
      <c r="AW79" s="114" t="str">
        <f ca="1">IF(AW$57="","",INDEX(Leverancer!BX:BX,ROW()-ROW(Leverancer!$AU$25)-6)*Leverancer!BX$96/1000)</f>
        <v/>
      </c>
      <c r="AX79" s="90"/>
      <c r="AY79" s="90"/>
      <c r="AZ79" s="87"/>
    </row>
    <row r="80" spans="14:52" ht="12.75" customHeight="1" x14ac:dyDescent="0.2">
      <c r="N80" s="85"/>
      <c r="O80" s="90"/>
      <c r="P80" s="90"/>
      <c r="Q80" s="116" t="str">
        <f>INDEX(Leverancer!$AO$1:$AO$1061,ROW()-ROW(Leverancer!$AU$25)-6)&amp;": "&amp;INDEX(Leverancer!$AP$1:$AP$1061,ROW()-ROW(Leverancer!$AU$25)-6)</f>
        <v xml:space="preserve">L21: </v>
      </c>
      <c r="R80" s="114"/>
      <c r="S80" s="119">
        <f t="shared" ca="1" si="12"/>
        <v>0</v>
      </c>
      <c r="T80" s="114">
        <f ca="1">IF(T$57="","",INDEX(Leverancer!AU:AU,ROW()-ROW(Leverancer!$AU$25)-6)*Leverancer!AU$96/1000)</f>
        <v>0</v>
      </c>
      <c r="U80" s="114">
        <f ca="1">IF(U$57="","",INDEX(Leverancer!AV:AV,ROW()-ROW(Leverancer!$AU$25)-6)*Leverancer!AV$96/1000)</f>
        <v>0</v>
      </c>
      <c r="V80" s="114">
        <f ca="1">IF(V$57="","",INDEX(Leverancer!AW:AW,ROW()-ROW(Leverancer!$AU$25)-6)*Leverancer!AW$96/1000)</f>
        <v>0</v>
      </c>
      <c r="W80" s="114">
        <f ca="1">IF(W$57="","",INDEX(Leverancer!AX:AX,ROW()-ROW(Leverancer!$AU$25)-6)*Leverancer!AX$96/1000)</f>
        <v>0</v>
      </c>
      <c r="X80" s="114" t="str">
        <f ca="1">IF(X$57="","",INDEX(Leverancer!AY:AY,ROW()-ROW(Leverancer!$AU$25)-6)*Leverancer!AY$96/1000)</f>
        <v/>
      </c>
      <c r="Y80" s="114" t="str">
        <f ca="1">IF(Y$57="","",INDEX(Leverancer!AZ:AZ,ROW()-ROW(Leverancer!$AU$25)-6)*Leverancer!AZ$96/1000)</f>
        <v/>
      </c>
      <c r="Z80" s="114" t="str">
        <f ca="1">IF(Z$57="","",INDEX(Leverancer!BA:BA,ROW()-ROW(Leverancer!$AU$25)-6)*Leverancer!BA$96/1000)</f>
        <v/>
      </c>
      <c r="AA80" s="114" t="str">
        <f ca="1">IF(AA$57="","",INDEX(Leverancer!BB:BB,ROW()-ROW(Leverancer!$AU$25)-6)*Leverancer!BB$96/1000)</f>
        <v/>
      </c>
      <c r="AB80" s="114" t="str">
        <f ca="1">IF(AB$57="","",INDEX(Leverancer!BC:BC,ROW()-ROW(Leverancer!$AU$25)-6)*Leverancer!BC$96/1000)</f>
        <v/>
      </c>
      <c r="AC80" s="114" t="str">
        <f ca="1">IF(AC$57="","",INDEX(Leverancer!BD:BD,ROW()-ROW(Leverancer!$AU$25)-6)*Leverancer!BD$96/1000)</f>
        <v/>
      </c>
      <c r="AD80" s="114" t="str">
        <f ca="1">IF(AD$57="","",INDEX(Leverancer!BE:BE,ROW()-ROW(Leverancer!$AU$25)-6)*Leverancer!BE$96/1000)</f>
        <v/>
      </c>
      <c r="AE80" s="114" t="str">
        <f ca="1">IF(AE$57="","",INDEX(Leverancer!BF:BF,ROW()-ROW(Leverancer!$AU$25)-6)*Leverancer!BF$96/1000)</f>
        <v/>
      </c>
      <c r="AF80" s="114" t="str">
        <f ca="1">IF(AF$57="","",INDEX(Leverancer!BG:BG,ROW()-ROW(Leverancer!$AU$25)-6)*Leverancer!BG$96/1000)</f>
        <v/>
      </c>
      <c r="AG80" s="114" t="str">
        <f ca="1">IF(AG$57="","",INDEX(Leverancer!BH:BH,ROW()-ROW(Leverancer!$AU$25)-6)*Leverancer!BH$96/1000)</f>
        <v/>
      </c>
      <c r="AH80" s="114" t="str">
        <f ca="1">IF(AH$57="","",INDEX(Leverancer!BI:BI,ROW()-ROW(Leverancer!$AU$25)-6)*Leverancer!BI$96/1000)</f>
        <v/>
      </c>
      <c r="AI80" s="114" t="str">
        <f ca="1">IF(AI$57="","",INDEX(Leverancer!BJ:BJ,ROW()-ROW(Leverancer!$AU$25)-6)*Leverancer!BJ$96/1000)</f>
        <v/>
      </c>
      <c r="AJ80" s="114" t="str">
        <f ca="1">IF(AJ$57="","",INDEX(Leverancer!BK:BK,ROW()-ROW(Leverancer!$AU$25)-6)*Leverancer!BK$96/1000)</f>
        <v/>
      </c>
      <c r="AK80" s="114" t="str">
        <f ca="1">IF(AK$57="","",INDEX(Leverancer!BL:BL,ROW()-ROW(Leverancer!$AU$25)-6)*Leverancer!BL$96/1000)</f>
        <v/>
      </c>
      <c r="AL80" s="114" t="str">
        <f ca="1">IF(AL$57="","",INDEX(Leverancer!BM:BM,ROW()-ROW(Leverancer!$AU$25)-6)*Leverancer!BM$96/1000)</f>
        <v/>
      </c>
      <c r="AM80" s="114" t="str">
        <f ca="1">IF(AM$57="","",INDEX(Leverancer!BN:BN,ROW()-ROW(Leverancer!$AU$25)-6)*Leverancer!BN$96/1000)</f>
        <v/>
      </c>
      <c r="AN80" s="114" t="str">
        <f ca="1">IF(AN$57="","",INDEX(Leverancer!BO:BO,ROW()-ROW(Leverancer!$AU$25)-6)*Leverancer!BO$96/1000)</f>
        <v/>
      </c>
      <c r="AO80" s="114" t="str">
        <f ca="1">IF(AO$57="","",INDEX(Leverancer!BP:BP,ROW()-ROW(Leverancer!$AU$25)-6)*Leverancer!BP$96/1000)</f>
        <v/>
      </c>
      <c r="AP80" s="114" t="str">
        <f ca="1">IF(AP$57="","",INDEX(Leverancer!BQ:BQ,ROW()-ROW(Leverancer!$AU$25)-6)*Leverancer!BQ$96/1000)</f>
        <v/>
      </c>
      <c r="AQ80" s="114" t="str">
        <f ca="1">IF(AQ$57="","",INDEX(Leverancer!BR:BR,ROW()-ROW(Leverancer!$AU$25)-6)*Leverancer!BR$96/1000)</f>
        <v/>
      </c>
      <c r="AR80" s="114" t="str">
        <f ca="1">IF(AR$57="","",INDEX(Leverancer!BS:BS,ROW()-ROW(Leverancer!$AU$25)-6)*Leverancer!BS$96/1000)</f>
        <v/>
      </c>
      <c r="AS80" s="114" t="str">
        <f ca="1">IF(AS$57="","",INDEX(Leverancer!BT:BT,ROW()-ROW(Leverancer!$AU$25)-6)*Leverancer!BT$96/1000)</f>
        <v/>
      </c>
      <c r="AT80" s="114" t="str">
        <f ca="1">IF(AT$57="","",INDEX(Leverancer!BU:BU,ROW()-ROW(Leverancer!$AU$25)-6)*Leverancer!BU$96/1000)</f>
        <v/>
      </c>
      <c r="AU80" s="114" t="str">
        <f ca="1">IF(AU$57="","",INDEX(Leverancer!BV:BV,ROW()-ROW(Leverancer!$AU$25)-6)*Leverancer!BV$96/1000)</f>
        <v/>
      </c>
      <c r="AV80" s="114" t="str">
        <f ca="1">IF(AV$57="","",INDEX(Leverancer!BW:BW,ROW()-ROW(Leverancer!$AU$25)-6)*Leverancer!BW$96/1000)</f>
        <v/>
      </c>
      <c r="AW80" s="114" t="str">
        <f ca="1">IF(AW$57="","",INDEX(Leverancer!BX:BX,ROW()-ROW(Leverancer!$AU$25)-6)*Leverancer!BX$96/1000)</f>
        <v/>
      </c>
      <c r="AX80" s="90"/>
      <c r="AY80" s="90"/>
      <c r="AZ80" s="87"/>
    </row>
    <row r="81" spans="14:52" ht="12.75" customHeight="1" x14ac:dyDescent="0.2">
      <c r="N81" s="85"/>
      <c r="O81" s="90"/>
      <c r="P81" s="90"/>
      <c r="Q81" s="116" t="str">
        <f>INDEX(Leverancer!$AO$1:$AO$1061,ROW()-ROW(Leverancer!$AU$25)-6)&amp;": "&amp;INDEX(Leverancer!$AP$1:$AP$1061,ROW()-ROW(Leverancer!$AU$25)-6)</f>
        <v xml:space="preserve">L22: </v>
      </c>
      <c r="R81" s="114"/>
      <c r="S81" s="119">
        <f t="shared" ca="1" si="12"/>
        <v>0</v>
      </c>
      <c r="T81" s="114">
        <f ca="1">IF(T$57="","",INDEX(Leverancer!AU:AU,ROW()-ROW(Leverancer!$AU$25)-6)*Leverancer!AU$96/1000)</f>
        <v>0</v>
      </c>
      <c r="U81" s="114">
        <f ca="1">IF(U$57="","",INDEX(Leverancer!AV:AV,ROW()-ROW(Leverancer!$AU$25)-6)*Leverancer!AV$96/1000)</f>
        <v>0</v>
      </c>
      <c r="V81" s="114">
        <f ca="1">IF(V$57="","",INDEX(Leverancer!AW:AW,ROW()-ROW(Leverancer!$AU$25)-6)*Leverancer!AW$96/1000)</f>
        <v>0</v>
      </c>
      <c r="W81" s="114">
        <f ca="1">IF(W$57="","",INDEX(Leverancer!AX:AX,ROW()-ROW(Leverancer!$AU$25)-6)*Leverancer!AX$96/1000)</f>
        <v>0</v>
      </c>
      <c r="X81" s="114" t="str">
        <f ca="1">IF(X$57="","",INDEX(Leverancer!AY:AY,ROW()-ROW(Leverancer!$AU$25)-6)*Leverancer!AY$96/1000)</f>
        <v/>
      </c>
      <c r="Y81" s="114" t="str">
        <f ca="1">IF(Y$57="","",INDEX(Leverancer!AZ:AZ,ROW()-ROW(Leverancer!$AU$25)-6)*Leverancer!AZ$96/1000)</f>
        <v/>
      </c>
      <c r="Z81" s="114" t="str">
        <f ca="1">IF(Z$57="","",INDEX(Leverancer!BA:BA,ROW()-ROW(Leverancer!$AU$25)-6)*Leverancer!BA$96/1000)</f>
        <v/>
      </c>
      <c r="AA81" s="114" t="str">
        <f ca="1">IF(AA$57="","",INDEX(Leverancer!BB:BB,ROW()-ROW(Leverancer!$AU$25)-6)*Leverancer!BB$96/1000)</f>
        <v/>
      </c>
      <c r="AB81" s="114" t="str">
        <f ca="1">IF(AB$57="","",INDEX(Leverancer!BC:BC,ROW()-ROW(Leverancer!$AU$25)-6)*Leverancer!BC$96/1000)</f>
        <v/>
      </c>
      <c r="AC81" s="114" t="str">
        <f ca="1">IF(AC$57="","",INDEX(Leverancer!BD:BD,ROW()-ROW(Leverancer!$AU$25)-6)*Leverancer!BD$96/1000)</f>
        <v/>
      </c>
      <c r="AD81" s="114" t="str">
        <f ca="1">IF(AD$57="","",INDEX(Leverancer!BE:BE,ROW()-ROW(Leverancer!$AU$25)-6)*Leverancer!BE$96/1000)</f>
        <v/>
      </c>
      <c r="AE81" s="114" t="str">
        <f ca="1">IF(AE$57="","",INDEX(Leverancer!BF:BF,ROW()-ROW(Leverancer!$AU$25)-6)*Leverancer!BF$96/1000)</f>
        <v/>
      </c>
      <c r="AF81" s="114" t="str">
        <f ca="1">IF(AF$57="","",INDEX(Leverancer!BG:BG,ROW()-ROW(Leverancer!$AU$25)-6)*Leverancer!BG$96/1000)</f>
        <v/>
      </c>
      <c r="AG81" s="114" t="str">
        <f ca="1">IF(AG$57="","",INDEX(Leverancer!BH:BH,ROW()-ROW(Leverancer!$AU$25)-6)*Leverancer!BH$96/1000)</f>
        <v/>
      </c>
      <c r="AH81" s="114" t="str">
        <f ca="1">IF(AH$57="","",INDEX(Leverancer!BI:BI,ROW()-ROW(Leverancer!$AU$25)-6)*Leverancer!BI$96/1000)</f>
        <v/>
      </c>
      <c r="AI81" s="114" t="str">
        <f ca="1">IF(AI$57="","",INDEX(Leverancer!BJ:BJ,ROW()-ROW(Leverancer!$AU$25)-6)*Leverancer!BJ$96/1000)</f>
        <v/>
      </c>
      <c r="AJ81" s="114" t="str">
        <f ca="1">IF(AJ$57="","",INDEX(Leverancer!BK:BK,ROW()-ROW(Leverancer!$AU$25)-6)*Leverancer!BK$96/1000)</f>
        <v/>
      </c>
      <c r="AK81" s="114" t="str">
        <f ca="1">IF(AK$57="","",INDEX(Leverancer!BL:BL,ROW()-ROW(Leverancer!$AU$25)-6)*Leverancer!BL$96/1000)</f>
        <v/>
      </c>
      <c r="AL81" s="114" t="str">
        <f ca="1">IF(AL$57="","",INDEX(Leverancer!BM:BM,ROW()-ROW(Leverancer!$AU$25)-6)*Leverancer!BM$96/1000)</f>
        <v/>
      </c>
      <c r="AM81" s="114" t="str">
        <f ca="1">IF(AM$57="","",INDEX(Leverancer!BN:BN,ROW()-ROW(Leverancer!$AU$25)-6)*Leverancer!BN$96/1000)</f>
        <v/>
      </c>
      <c r="AN81" s="114" t="str">
        <f ca="1">IF(AN$57="","",INDEX(Leverancer!BO:BO,ROW()-ROW(Leverancer!$AU$25)-6)*Leverancer!BO$96/1000)</f>
        <v/>
      </c>
      <c r="AO81" s="114" t="str">
        <f ca="1">IF(AO$57="","",INDEX(Leverancer!BP:BP,ROW()-ROW(Leverancer!$AU$25)-6)*Leverancer!BP$96/1000)</f>
        <v/>
      </c>
      <c r="AP81" s="114" t="str">
        <f ca="1">IF(AP$57="","",INDEX(Leverancer!BQ:BQ,ROW()-ROW(Leverancer!$AU$25)-6)*Leverancer!BQ$96/1000)</f>
        <v/>
      </c>
      <c r="AQ81" s="114" t="str">
        <f ca="1">IF(AQ$57="","",INDEX(Leverancer!BR:BR,ROW()-ROW(Leverancer!$AU$25)-6)*Leverancer!BR$96/1000)</f>
        <v/>
      </c>
      <c r="AR81" s="114" t="str">
        <f ca="1">IF(AR$57="","",INDEX(Leverancer!BS:BS,ROW()-ROW(Leverancer!$AU$25)-6)*Leverancer!BS$96/1000)</f>
        <v/>
      </c>
      <c r="AS81" s="114" t="str">
        <f ca="1">IF(AS$57="","",INDEX(Leverancer!BT:BT,ROW()-ROW(Leverancer!$AU$25)-6)*Leverancer!BT$96/1000)</f>
        <v/>
      </c>
      <c r="AT81" s="114" t="str">
        <f ca="1">IF(AT$57="","",INDEX(Leverancer!BU:BU,ROW()-ROW(Leverancer!$AU$25)-6)*Leverancer!BU$96/1000)</f>
        <v/>
      </c>
      <c r="AU81" s="114" t="str">
        <f ca="1">IF(AU$57="","",INDEX(Leverancer!BV:BV,ROW()-ROW(Leverancer!$AU$25)-6)*Leverancer!BV$96/1000)</f>
        <v/>
      </c>
      <c r="AV81" s="114" t="str">
        <f ca="1">IF(AV$57="","",INDEX(Leverancer!BW:BW,ROW()-ROW(Leverancer!$AU$25)-6)*Leverancer!BW$96/1000)</f>
        <v/>
      </c>
      <c r="AW81" s="114" t="str">
        <f ca="1">IF(AW$57="","",INDEX(Leverancer!BX:BX,ROW()-ROW(Leverancer!$AU$25)-6)*Leverancer!BX$96/1000)</f>
        <v/>
      </c>
      <c r="AX81" s="90"/>
      <c r="AY81" s="90"/>
      <c r="AZ81" s="87"/>
    </row>
    <row r="82" spans="14:52" ht="12.75" customHeight="1" x14ac:dyDescent="0.2">
      <c r="N82" s="85"/>
      <c r="O82" s="90"/>
      <c r="P82" s="90"/>
      <c r="Q82" s="116" t="str">
        <f>INDEX(Leverancer!$AO$1:$AO$1061,ROW()-ROW(Leverancer!$AU$25)-6)&amp;": "&amp;INDEX(Leverancer!$AP$1:$AP$1061,ROW()-ROW(Leverancer!$AU$25)-6)</f>
        <v xml:space="preserve">L23: </v>
      </c>
      <c r="R82" s="114"/>
      <c r="S82" s="119">
        <f t="shared" ca="1" si="12"/>
        <v>0</v>
      </c>
      <c r="T82" s="114">
        <f ca="1">IF(T$57="","",INDEX(Leverancer!AU:AU,ROW()-ROW(Leverancer!$AU$25)-6)*Leverancer!AU$96/1000)</f>
        <v>0</v>
      </c>
      <c r="U82" s="114">
        <f ca="1">IF(U$57="","",INDEX(Leverancer!AV:AV,ROW()-ROW(Leverancer!$AU$25)-6)*Leverancer!AV$96/1000)</f>
        <v>0</v>
      </c>
      <c r="V82" s="114">
        <f ca="1">IF(V$57="","",INDEX(Leverancer!AW:AW,ROW()-ROW(Leverancer!$AU$25)-6)*Leverancer!AW$96/1000)</f>
        <v>0</v>
      </c>
      <c r="W82" s="114">
        <f ca="1">IF(W$57="","",INDEX(Leverancer!AX:AX,ROW()-ROW(Leverancer!$AU$25)-6)*Leverancer!AX$96/1000)</f>
        <v>0</v>
      </c>
      <c r="X82" s="114" t="str">
        <f ca="1">IF(X$57="","",INDEX(Leverancer!AY:AY,ROW()-ROW(Leverancer!$AU$25)-6)*Leverancer!AY$96/1000)</f>
        <v/>
      </c>
      <c r="Y82" s="114" t="str">
        <f ca="1">IF(Y$57="","",INDEX(Leverancer!AZ:AZ,ROW()-ROW(Leverancer!$AU$25)-6)*Leverancer!AZ$96/1000)</f>
        <v/>
      </c>
      <c r="Z82" s="114" t="str">
        <f ca="1">IF(Z$57="","",INDEX(Leverancer!BA:BA,ROW()-ROW(Leverancer!$AU$25)-6)*Leverancer!BA$96/1000)</f>
        <v/>
      </c>
      <c r="AA82" s="114" t="str">
        <f ca="1">IF(AA$57="","",INDEX(Leverancer!BB:BB,ROW()-ROW(Leverancer!$AU$25)-6)*Leverancer!BB$96/1000)</f>
        <v/>
      </c>
      <c r="AB82" s="114" t="str">
        <f ca="1">IF(AB$57="","",INDEX(Leverancer!BC:BC,ROW()-ROW(Leverancer!$AU$25)-6)*Leverancer!BC$96/1000)</f>
        <v/>
      </c>
      <c r="AC82" s="114" t="str">
        <f ca="1">IF(AC$57="","",INDEX(Leverancer!BD:BD,ROW()-ROW(Leverancer!$AU$25)-6)*Leverancer!BD$96/1000)</f>
        <v/>
      </c>
      <c r="AD82" s="114" t="str">
        <f ca="1">IF(AD$57="","",INDEX(Leverancer!BE:BE,ROW()-ROW(Leverancer!$AU$25)-6)*Leverancer!BE$96/1000)</f>
        <v/>
      </c>
      <c r="AE82" s="114" t="str">
        <f ca="1">IF(AE$57="","",INDEX(Leverancer!BF:BF,ROW()-ROW(Leverancer!$AU$25)-6)*Leverancer!BF$96/1000)</f>
        <v/>
      </c>
      <c r="AF82" s="114" t="str">
        <f ca="1">IF(AF$57="","",INDEX(Leverancer!BG:BG,ROW()-ROW(Leverancer!$AU$25)-6)*Leverancer!BG$96/1000)</f>
        <v/>
      </c>
      <c r="AG82" s="114" t="str">
        <f ca="1">IF(AG$57="","",INDEX(Leverancer!BH:BH,ROW()-ROW(Leverancer!$AU$25)-6)*Leverancer!BH$96/1000)</f>
        <v/>
      </c>
      <c r="AH82" s="114" t="str">
        <f ca="1">IF(AH$57="","",INDEX(Leverancer!BI:BI,ROW()-ROW(Leverancer!$AU$25)-6)*Leverancer!BI$96/1000)</f>
        <v/>
      </c>
      <c r="AI82" s="114" t="str">
        <f ca="1">IF(AI$57="","",INDEX(Leverancer!BJ:BJ,ROW()-ROW(Leverancer!$AU$25)-6)*Leverancer!BJ$96/1000)</f>
        <v/>
      </c>
      <c r="AJ82" s="114" t="str">
        <f ca="1">IF(AJ$57="","",INDEX(Leverancer!BK:BK,ROW()-ROW(Leverancer!$AU$25)-6)*Leverancer!BK$96/1000)</f>
        <v/>
      </c>
      <c r="AK82" s="114" t="str">
        <f ca="1">IF(AK$57="","",INDEX(Leverancer!BL:BL,ROW()-ROW(Leverancer!$AU$25)-6)*Leverancer!BL$96/1000)</f>
        <v/>
      </c>
      <c r="AL82" s="114" t="str">
        <f ca="1">IF(AL$57="","",INDEX(Leverancer!BM:BM,ROW()-ROW(Leverancer!$AU$25)-6)*Leverancer!BM$96/1000)</f>
        <v/>
      </c>
      <c r="AM82" s="114" t="str">
        <f ca="1">IF(AM$57="","",INDEX(Leverancer!BN:BN,ROW()-ROW(Leverancer!$AU$25)-6)*Leverancer!BN$96/1000)</f>
        <v/>
      </c>
      <c r="AN82" s="114" t="str">
        <f ca="1">IF(AN$57="","",INDEX(Leverancer!BO:BO,ROW()-ROW(Leverancer!$AU$25)-6)*Leverancer!BO$96/1000)</f>
        <v/>
      </c>
      <c r="AO82" s="114" t="str">
        <f ca="1">IF(AO$57="","",INDEX(Leverancer!BP:BP,ROW()-ROW(Leverancer!$AU$25)-6)*Leverancer!BP$96/1000)</f>
        <v/>
      </c>
      <c r="AP82" s="114" t="str">
        <f ca="1">IF(AP$57="","",INDEX(Leverancer!BQ:BQ,ROW()-ROW(Leverancer!$AU$25)-6)*Leverancer!BQ$96/1000)</f>
        <v/>
      </c>
      <c r="AQ82" s="114" t="str">
        <f ca="1">IF(AQ$57="","",INDEX(Leverancer!BR:BR,ROW()-ROW(Leverancer!$AU$25)-6)*Leverancer!BR$96/1000)</f>
        <v/>
      </c>
      <c r="AR82" s="114" t="str">
        <f ca="1">IF(AR$57="","",INDEX(Leverancer!BS:BS,ROW()-ROW(Leverancer!$AU$25)-6)*Leverancer!BS$96/1000)</f>
        <v/>
      </c>
      <c r="AS82" s="114" t="str">
        <f ca="1">IF(AS$57="","",INDEX(Leverancer!BT:BT,ROW()-ROW(Leverancer!$AU$25)-6)*Leverancer!BT$96/1000)</f>
        <v/>
      </c>
      <c r="AT82" s="114" t="str">
        <f ca="1">IF(AT$57="","",INDEX(Leverancer!BU:BU,ROW()-ROW(Leverancer!$AU$25)-6)*Leverancer!BU$96/1000)</f>
        <v/>
      </c>
      <c r="AU82" s="114" t="str">
        <f ca="1">IF(AU$57="","",INDEX(Leverancer!BV:BV,ROW()-ROW(Leverancer!$AU$25)-6)*Leverancer!BV$96/1000)</f>
        <v/>
      </c>
      <c r="AV82" s="114" t="str">
        <f ca="1">IF(AV$57="","",INDEX(Leverancer!BW:BW,ROW()-ROW(Leverancer!$AU$25)-6)*Leverancer!BW$96/1000)</f>
        <v/>
      </c>
      <c r="AW82" s="114" t="str">
        <f ca="1">IF(AW$57="","",INDEX(Leverancer!BX:BX,ROW()-ROW(Leverancer!$AU$25)-6)*Leverancer!BX$96/1000)</f>
        <v/>
      </c>
      <c r="AX82" s="90"/>
      <c r="AY82" s="90"/>
      <c r="AZ82" s="87"/>
    </row>
    <row r="83" spans="14:52" ht="12.75" customHeight="1" x14ac:dyDescent="0.2">
      <c r="N83" s="85"/>
      <c r="O83" s="90"/>
      <c r="P83" s="90"/>
      <c r="Q83" s="116" t="str">
        <f>INDEX(Leverancer!$AO$1:$AO$1061,ROW()-ROW(Leverancer!$AU$25)-6)&amp;": "&amp;INDEX(Leverancer!$AP$1:$AP$1061,ROW()-ROW(Leverancer!$AU$25)-6)</f>
        <v xml:space="preserve">L24: </v>
      </c>
      <c r="R83" s="114"/>
      <c r="S83" s="119">
        <f t="shared" ca="1" si="12"/>
        <v>0</v>
      </c>
      <c r="T83" s="114">
        <f ca="1">IF(T$57="","",INDEX(Leverancer!AU:AU,ROW()-ROW(Leverancer!$AU$25)-6)*Leverancer!AU$96/1000)</f>
        <v>0</v>
      </c>
      <c r="U83" s="114">
        <f ca="1">IF(U$57="","",INDEX(Leverancer!AV:AV,ROW()-ROW(Leverancer!$AU$25)-6)*Leverancer!AV$96/1000)</f>
        <v>0</v>
      </c>
      <c r="V83" s="114">
        <f ca="1">IF(V$57="","",INDEX(Leverancer!AW:AW,ROW()-ROW(Leverancer!$AU$25)-6)*Leverancer!AW$96/1000)</f>
        <v>0</v>
      </c>
      <c r="W83" s="114">
        <f ca="1">IF(W$57="","",INDEX(Leverancer!AX:AX,ROW()-ROW(Leverancer!$AU$25)-6)*Leverancer!AX$96/1000)</f>
        <v>0</v>
      </c>
      <c r="X83" s="114" t="str">
        <f ca="1">IF(X$57="","",INDEX(Leverancer!AY:AY,ROW()-ROW(Leverancer!$AU$25)-6)*Leverancer!AY$96/1000)</f>
        <v/>
      </c>
      <c r="Y83" s="114" t="str">
        <f ca="1">IF(Y$57="","",INDEX(Leverancer!AZ:AZ,ROW()-ROW(Leverancer!$AU$25)-6)*Leverancer!AZ$96/1000)</f>
        <v/>
      </c>
      <c r="Z83" s="114" t="str">
        <f ca="1">IF(Z$57="","",INDEX(Leverancer!BA:BA,ROW()-ROW(Leverancer!$AU$25)-6)*Leverancer!BA$96/1000)</f>
        <v/>
      </c>
      <c r="AA83" s="114" t="str">
        <f ca="1">IF(AA$57="","",INDEX(Leverancer!BB:BB,ROW()-ROW(Leverancer!$AU$25)-6)*Leverancer!BB$96/1000)</f>
        <v/>
      </c>
      <c r="AB83" s="114" t="str">
        <f ca="1">IF(AB$57="","",INDEX(Leverancer!BC:BC,ROW()-ROW(Leverancer!$AU$25)-6)*Leverancer!BC$96/1000)</f>
        <v/>
      </c>
      <c r="AC83" s="114" t="str">
        <f ca="1">IF(AC$57="","",INDEX(Leverancer!BD:BD,ROW()-ROW(Leverancer!$AU$25)-6)*Leverancer!BD$96/1000)</f>
        <v/>
      </c>
      <c r="AD83" s="114" t="str">
        <f ca="1">IF(AD$57="","",INDEX(Leverancer!BE:BE,ROW()-ROW(Leverancer!$AU$25)-6)*Leverancer!BE$96/1000)</f>
        <v/>
      </c>
      <c r="AE83" s="114" t="str">
        <f ca="1">IF(AE$57="","",INDEX(Leverancer!BF:BF,ROW()-ROW(Leverancer!$AU$25)-6)*Leverancer!BF$96/1000)</f>
        <v/>
      </c>
      <c r="AF83" s="114" t="str">
        <f ca="1">IF(AF$57="","",INDEX(Leverancer!BG:BG,ROW()-ROW(Leverancer!$AU$25)-6)*Leverancer!BG$96/1000)</f>
        <v/>
      </c>
      <c r="AG83" s="114" t="str">
        <f ca="1">IF(AG$57="","",INDEX(Leverancer!BH:BH,ROW()-ROW(Leverancer!$AU$25)-6)*Leverancer!BH$96/1000)</f>
        <v/>
      </c>
      <c r="AH83" s="114" t="str">
        <f ca="1">IF(AH$57="","",INDEX(Leverancer!BI:BI,ROW()-ROW(Leverancer!$AU$25)-6)*Leverancer!BI$96/1000)</f>
        <v/>
      </c>
      <c r="AI83" s="114" t="str">
        <f ca="1">IF(AI$57="","",INDEX(Leverancer!BJ:BJ,ROW()-ROW(Leverancer!$AU$25)-6)*Leverancer!BJ$96/1000)</f>
        <v/>
      </c>
      <c r="AJ83" s="114" t="str">
        <f ca="1">IF(AJ$57="","",INDEX(Leverancer!BK:BK,ROW()-ROW(Leverancer!$AU$25)-6)*Leverancer!BK$96/1000)</f>
        <v/>
      </c>
      <c r="AK83" s="114" t="str">
        <f ca="1">IF(AK$57="","",INDEX(Leverancer!BL:BL,ROW()-ROW(Leverancer!$AU$25)-6)*Leverancer!BL$96/1000)</f>
        <v/>
      </c>
      <c r="AL83" s="114" t="str">
        <f ca="1">IF(AL$57="","",INDEX(Leverancer!BM:BM,ROW()-ROW(Leverancer!$AU$25)-6)*Leverancer!BM$96/1000)</f>
        <v/>
      </c>
      <c r="AM83" s="114" t="str">
        <f ca="1">IF(AM$57="","",INDEX(Leverancer!BN:BN,ROW()-ROW(Leverancer!$AU$25)-6)*Leverancer!BN$96/1000)</f>
        <v/>
      </c>
      <c r="AN83" s="114" t="str">
        <f ca="1">IF(AN$57="","",INDEX(Leverancer!BO:BO,ROW()-ROW(Leverancer!$AU$25)-6)*Leverancer!BO$96/1000)</f>
        <v/>
      </c>
      <c r="AO83" s="114" t="str">
        <f ca="1">IF(AO$57="","",INDEX(Leverancer!BP:BP,ROW()-ROW(Leverancer!$AU$25)-6)*Leverancer!BP$96/1000)</f>
        <v/>
      </c>
      <c r="AP83" s="114" t="str">
        <f ca="1">IF(AP$57="","",INDEX(Leverancer!BQ:BQ,ROW()-ROW(Leverancer!$AU$25)-6)*Leverancer!BQ$96/1000)</f>
        <v/>
      </c>
      <c r="AQ83" s="114" t="str">
        <f ca="1">IF(AQ$57="","",INDEX(Leverancer!BR:BR,ROW()-ROW(Leverancer!$AU$25)-6)*Leverancer!BR$96/1000)</f>
        <v/>
      </c>
      <c r="AR83" s="114" t="str">
        <f ca="1">IF(AR$57="","",INDEX(Leverancer!BS:BS,ROW()-ROW(Leverancer!$AU$25)-6)*Leverancer!BS$96/1000)</f>
        <v/>
      </c>
      <c r="AS83" s="114" t="str">
        <f ca="1">IF(AS$57="","",INDEX(Leverancer!BT:BT,ROW()-ROW(Leverancer!$AU$25)-6)*Leverancer!BT$96/1000)</f>
        <v/>
      </c>
      <c r="AT83" s="114" t="str">
        <f ca="1">IF(AT$57="","",INDEX(Leverancer!BU:BU,ROW()-ROW(Leverancer!$AU$25)-6)*Leverancer!BU$96/1000)</f>
        <v/>
      </c>
      <c r="AU83" s="114" t="str">
        <f ca="1">IF(AU$57="","",INDEX(Leverancer!BV:BV,ROW()-ROW(Leverancer!$AU$25)-6)*Leverancer!BV$96/1000)</f>
        <v/>
      </c>
      <c r="AV83" s="114" t="str">
        <f ca="1">IF(AV$57="","",INDEX(Leverancer!BW:BW,ROW()-ROW(Leverancer!$AU$25)-6)*Leverancer!BW$96/1000)</f>
        <v/>
      </c>
      <c r="AW83" s="114" t="str">
        <f ca="1">IF(AW$57="","",INDEX(Leverancer!BX:BX,ROW()-ROW(Leverancer!$AU$25)-6)*Leverancer!BX$96/1000)</f>
        <v/>
      </c>
      <c r="AX83" s="90"/>
      <c r="AY83" s="90"/>
      <c r="AZ83" s="87"/>
    </row>
    <row r="84" spans="14:52" ht="12.75" customHeight="1" x14ac:dyDescent="0.2">
      <c r="N84" s="85"/>
      <c r="O84" s="90"/>
      <c r="P84" s="90"/>
      <c r="Q84" s="116" t="str">
        <f>INDEX(Leverancer!$AO$1:$AO$1061,ROW()-ROW(Leverancer!$AU$25)-6)&amp;": "&amp;INDEX(Leverancer!$AP$1:$AP$1061,ROW()-ROW(Leverancer!$AU$25)-6)</f>
        <v xml:space="preserve">L25: </v>
      </c>
      <c r="R84" s="114"/>
      <c r="S84" s="119">
        <f t="shared" ca="1" si="12"/>
        <v>0</v>
      </c>
      <c r="T84" s="114">
        <f ca="1">IF(T$57="","",INDEX(Leverancer!AU:AU,ROW()-ROW(Leverancer!$AU$25)-6)*Leverancer!AU$96/1000)</f>
        <v>0</v>
      </c>
      <c r="U84" s="114">
        <f ca="1">IF(U$57="","",INDEX(Leverancer!AV:AV,ROW()-ROW(Leverancer!$AU$25)-6)*Leverancer!AV$96/1000)</f>
        <v>0</v>
      </c>
      <c r="V84" s="114">
        <f ca="1">IF(V$57="","",INDEX(Leverancer!AW:AW,ROW()-ROW(Leverancer!$AU$25)-6)*Leverancer!AW$96/1000)</f>
        <v>0</v>
      </c>
      <c r="W84" s="114">
        <f ca="1">IF(W$57="","",INDEX(Leverancer!AX:AX,ROW()-ROW(Leverancer!$AU$25)-6)*Leverancer!AX$96/1000)</f>
        <v>0</v>
      </c>
      <c r="X84" s="114" t="str">
        <f ca="1">IF(X$57="","",INDEX(Leverancer!AY:AY,ROW()-ROW(Leverancer!$AU$25)-6)*Leverancer!AY$96/1000)</f>
        <v/>
      </c>
      <c r="Y84" s="114" t="str">
        <f ca="1">IF(Y$57="","",INDEX(Leverancer!AZ:AZ,ROW()-ROW(Leverancer!$AU$25)-6)*Leverancer!AZ$96/1000)</f>
        <v/>
      </c>
      <c r="Z84" s="114" t="str">
        <f ca="1">IF(Z$57="","",INDEX(Leverancer!BA:BA,ROW()-ROW(Leverancer!$AU$25)-6)*Leverancer!BA$96/1000)</f>
        <v/>
      </c>
      <c r="AA84" s="114" t="str">
        <f ca="1">IF(AA$57="","",INDEX(Leverancer!BB:BB,ROW()-ROW(Leverancer!$AU$25)-6)*Leverancer!BB$96/1000)</f>
        <v/>
      </c>
      <c r="AB84" s="114" t="str">
        <f ca="1">IF(AB$57="","",INDEX(Leverancer!BC:BC,ROW()-ROW(Leverancer!$AU$25)-6)*Leverancer!BC$96/1000)</f>
        <v/>
      </c>
      <c r="AC84" s="114" t="str">
        <f ca="1">IF(AC$57="","",INDEX(Leverancer!BD:BD,ROW()-ROW(Leverancer!$AU$25)-6)*Leverancer!BD$96/1000)</f>
        <v/>
      </c>
      <c r="AD84" s="114" t="str">
        <f ca="1">IF(AD$57="","",INDEX(Leverancer!BE:BE,ROW()-ROW(Leverancer!$AU$25)-6)*Leverancer!BE$96/1000)</f>
        <v/>
      </c>
      <c r="AE84" s="114" t="str">
        <f ca="1">IF(AE$57="","",INDEX(Leverancer!BF:BF,ROW()-ROW(Leverancer!$AU$25)-6)*Leverancer!BF$96/1000)</f>
        <v/>
      </c>
      <c r="AF84" s="114" t="str">
        <f ca="1">IF(AF$57="","",INDEX(Leverancer!BG:BG,ROW()-ROW(Leverancer!$AU$25)-6)*Leverancer!BG$96/1000)</f>
        <v/>
      </c>
      <c r="AG84" s="114" t="str">
        <f ca="1">IF(AG$57="","",INDEX(Leverancer!BH:BH,ROW()-ROW(Leverancer!$AU$25)-6)*Leverancer!BH$96/1000)</f>
        <v/>
      </c>
      <c r="AH84" s="114" t="str">
        <f ca="1">IF(AH$57="","",INDEX(Leverancer!BI:BI,ROW()-ROW(Leverancer!$AU$25)-6)*Leverancer!BI$96/1000)</f>
        <v/>
      </c>
      <c r="AI84" s="114" t="str">
        <f ca="1">IF(AI$57="","",INDEX(Leverancer!BJ:BJ,ROW()-ROW(Leverancer!$AU$25)-6)*Leverancer!BJ$96/1000)</f>
        <v/>
      </c>
      <c r="AJ84" s="114" t="str">
        <f ca="1">IF(AJ$57="","",INDEX(Leverancer!BK:BK,ROW()-ROW(Leverancer!$AU$25)-6)*Leverancer!BK$96/1000)</f>
        <v/>
      </c>
      <c r="AK84" s="114" t="str">
        <f ca="1">IF(AK$57="","",INDEX(Leverancer!BL:BL,ROW()-ROW(Leverancer!$AU$25)-6)*Leverancer!BL$96/1000)</f>
        <v/>
      </c>
      <c r="AL84" s="114" t="str">
        <f ca="1">IF(AL$57="","",INDEX(Leverancer!BM:BM,ROW()-ROW(Leverancer!$AU$25)-6)*Leverancer!BM$96/1000)</f>
        <v/>
      </c>
      <c r="AM84" s="114" t="str">
        <f ca="1">IF(AM$57="","",INDEX(Leverancer!BN:BN,ROW()-ROW(Leverancer!$AU$25)-6)*Leverancer!BN$96/1000)</f>
        <v/>
      </c>
      <c r="AN84" s="114" t="str">
        <f ca="1">IF(AN$57="","",INDEX(Leverancer!BO:BO,ROW()-ROW(Leverancer!$AU$25)-6)*Leverancer!BO$96/1000)</f>
        <v/>
      </c>
      <c r="AO84" s="114" t="str">
        <f ca="1">IF(AO$57="","",INDEX(Leverancer!BP:BP,ROW()-ROW(Leverancer!$AU$25)-6)*Leverancer!BP$96/1000)</f>
        <v/>
      </c>
      <c r="AP84" s="114" t="str">
        <f ca="1">IF(AP$57="","",INDEX(Leverancer!BQ:BQ,ROW()-ROW(Leverancer!$AU$25)-6)*Leverancer!BQ$96/1000)</f>
        <v/>
      </c>
      <c r="AQ84" s="114" t="str">
        <f ca="1">IF(AQ$57="","",INDEX(Leverancer!BR:BR,ROW()-ROW(Leverancer!$AU$25)-6)*Leverancer!BR$96/1000)</f>
        <v/>
      </c>
      <c r="AR84" s="114" t="str">
        <f ca="1">IF(AR$57="","",INDEX(Leverancer!BS:BS,ROW()-ROW(Leverancer!$AU$25)-6)*Leverancer!BS$96/1000)</f>
        <v/>
      </c>
      <c r="AS84" s="114" t="str">
        <f ca="1">IF(AS$57="","",INDEX(Leverancer!BT:BT,ROW()-ROW(Leverancer!$AU$25)-6)*Leverancer!BT$96/1000)</f>
        <v/>
      </c>
      <c r="AT84" s="114" t="str">
        <f ca="1">IF(AT$57="","",INDEX(Leverancer!BU:BU,ROW()-ROW(Leverancer!$AU$25)-6)*Leverancer!BU$96/1000)</f>
        <v/>
      </c>
      <c r="AU84" s="114" t="str">
        <f ca="1">IF(AU$57="","",INDEX(Leverancer!BV:BV,ROW()-ROW(Leverancer!$AU$25)-6)*Leverancer!BV$96/1000)</f>
        <v/>
      </c>
      <c r="AV84" s="114" t="str">
        <f ca="1">IF(AV$57="","",INDEX(Leverancer!BW:BW,ROW()-ROW(Leverancer!$AU$25)-6)*Leverancer!BW$96/1000)</f>
        <v/>
      </c>
      <c r="AW84" s="114" t="str">
        <f ca="1">IF(AW$57="","",INDEX(Leverancer!BX:BX,ROW()-ROW(Leverancer!$AU$25)-6)*Leverancer!BX$96/1000)</f>
        <v/>
      </c>
      <c r="AX84" s="90"/>
      <c r="AY84" s="90"/>
      <c r="AZ84" s="87"/>
    </row>
    <row r="85" spans="14:52" ht="12.75" customHeight="1" x14ac:dyDescent="0.2">
      <c r="N85" s="85"/>
      <c r="O85" s="90"/>
      <c r="P85" s="90"/>
      <c r="Q85" s="116" t="str">
        <f>INDEX(Leverancer!$AO$1:$AO$1061,ROW()-ROW(Leverancer!$AU$25)-6)&amp;": "&amp;INDEX(Leverancer!$AP$1:$AP$1061,ROW()-ROW(Leverancer!$AU$25)-6)</f>
        <v xml:space="preserve">L26: </v>
      </c>
      <c r="R85" s="114"/>
      <c r="S85" s="119">
        <f t="shared" ca="1" si="12"/>
        <v>0</v>
      </c>
      <c r="T85" s="114">
        <f ca="1">IF(T$57="","",INDEX(Leverancer!AU:AU,ROW()-ROW(Leverancer!$AU$25)-6)*Leverancer!AU$96/1000)</f>
        <v>0</v>
      </c>
      <c r="U85" s="114">
        <f ca="1">IF(U$57="","",INDEX(Leverancer!AV:AV,ROW()-ROW(Leverancer!$AU$25)-6)*Leverancer!AV$96/1000)</f>
        <v>0</v>
      </c>
      <c r="V85" s="114">
        <f ca="1">IF(V$57="","",INDEX(Leverancer!AW:AW,ROW()-ROW(Leverancer!$AU$25)-6)*Leverancer!AW$96/1000)</f>
        <v>0</v>
      </c>
      <c r="W85" s="114">
        <f ca="1">IF(W$57="","",INDEX(Leverancer!AX:AX,ROW()-ROW(Leverancer!$AU$25)-6)*Leverancer!AX$96/1000)</f>
        <v>0</v>
      </c>
      <c r="X85" s="114" t="str">
        <f ca="1">IF(X$57="","",INDEX(Leverancer!AY:AY,ROW()-ROW(Leverancer!$AU$25)-6)*Leverancer!AY$96/1000)</f>
        <v/>
      </c>
      <c r="Y85" s="114" t="str">
        <f ca="1">IF(Y$57="","",INDEX(Leverancer!AZ:AZ,ROW()-ROW(Leverancer!$AU$25)-6)*Leverancer!AZ$96/1000)</f>
        <v/>
      </c>
      <c r="Z85" s="114" t="str">
        <f ca="1">IF(Z$57="","",INDEX(Leverancer!BA:BA,ROW()-ROW(Leverancer!$AU$25)-6)*Leverancer!BA$96/1000)</f>
        <v/>
      </c>
      <c r="AA85" s="114" t="str">
        <f ca="1">IF(AA$57="","",INDEX(Leverancer!BB:BB,ROW()-ROW(Leverancer!$AU$25)-6)*Leverancer!BB$96/1000)</f>
        <v/>
      </c>
      <c r="AB85" s="114" t="str">
        <f ca="1">IF(AB$57="","",INDEX(Leverancer!BC:BC,ROW()-ROW(Leverancer!$AU$25)-6)*Leverancer!BC$96/1000)</f>
        <v/>
      </c>
      <c r="AC85" s="114" t="str">
        <f ca="1">IF(AC$57="","",INDEX(Leverancer!BD:BD,ROW()-ROW(Leverancer!$AU$25)-6)*Leverancer!BD$96/1000)</f>
        <v/>
      </c>
      <c r="AD85" s="114" t="str">
        <f ca="1">IF(AD$57="","",INDEX(Leverancer!BE:BE,ROW()-ROW(Leverancer!$AU$25)-6)*Leverancer!BE$96/1000)</f>
        <v/>
      </c>
      <c r="AE85" s="114" t="str">
        <f ca="1">IF(AE$57="","",INDEX(Leverancer!BF:BF,ROW()-ROW(Leverancer!$AU$25)-6)*Leverancer!BF$96/1000)</f>
        <v/>
      </c>
      <c r="AF85" s="114" t="str">
        <f ca="1">IF(AF$57="","",INDEX(Leverancer!BG:BG,ROW()-ROW(Leverancer!$AU$25)-6)*Leverancer!BG$96/1000)</f>
        <v/>
      </c>
      <c r="AG85" s="114" t="str">
        <f ca="1">IF(AG$57="","",INDEX(Leverancer!BH:BH,ROW()-ROW(Leverancer!$AU$25)-6)*Leverancer!BH$96/1000)</f>
        <v/>
      </c>
      <c r="AH85" s="114" t="str">
        <f ca="1">IF(AH$57="","",INDEX(Leverancer!BI:BI,ROW()-ROW(Leverancer!$AU$25)-6)*Leverancer!BI$96/1000)</f>
        <v/>
      </c>
      <c r="AI85" s="114" t="str">
        <f ca="1">IF(AI$57="","",INDEX(Leverancer!BJ:BJ,ROW()-ROW(Leverancer!$AU$25)-6)*Leverancer!BJ$96/1000)</f>
        <v/>
      </c>
      <c r="AJ85" s="114" t="str">
        <f ca="1">IF(AJ$57="","",INDEX(Leverancer!BK:BK,ROW()-ROW(Leverancer!$AU$25)-6)*Leverancer!BK$96/1000)</f>
        <v/>
      </c>
      <c r="AK85" s="114" t="str">
        <f ca="1">IF(AK$57="","",INDEX(Leverancer!BL:BL,ROW()-ROW(Leverancer!$AU$25)-6)*Leverancer!BL$96/1000)</f>
        <v/>
      </c>
      <c r="AL85" s="114" t="str">
        <f ca="1">IF(AL$57="","",INDEX(Leverancer!BM:BM,ROW()-ROW(Leverancer!$AU$25)-6)*Leverancer!BM$96/1000)</f>
        <v/>
      </c>
      <c r="AM85" s="114" t="str">
        <f ca="1">IF(AM$57="","",INDEX(Leverancer!BN:BN,ROW()-ROW(Leverancer!$AU$25)-6)*Leverancer!BN$96/1000)</f>
        <v/>
      </c>
      <c r="AN85" s="114" t="str">
        <f ca="1">IF(AN$57="","",INDEX(Leverancer!BO:BO,ROW()-ROW(Leverancer!$AU$25)-6)*Leverancer!BO$96/1000)</f>
        <v/>
      </c>
      <c r="AO85" s="114" t="str">
        <f ca="1">IF(AO$57="","",INDEX(Leverancer!BP:BP,ROW()-ROW(Leverancer!$AU$25)-6)*Leverancer!BP$96/1000)</f>
        <v/>
      </c>
      <c r="AP85" s="114" t="str">
        <f ca="1">IF(AP$57="","",INDEX(Leverancer!BQ:BQ,ROW()-ROW(Leverancer!$AU$25)-6)*Leverancer!BQ$96/1000)</f>
        <v/>
      </c>
      <c r="AQ85" s="114" t="str">
        <f ca="1">IF(AQ$57="","",INDEX(Leverancer!BR:BR,ROW()-ROW(Leverancer!$AU$25)-6)*Leverancer!BR$96/1000)</f>
        <v/>
      </c>
      <c r="AR85" s="114" t="str">
        <f ca="1">IF(AR$57="","",INDEX(Leverancer!BS:BS,ROW()-ROW(Leverancer!$AU$25)-6)*Leverancer!BS$96/1000)</f>
        <v/>
      </c>
      <c r="AS85" s="114" t="str">
        <f ca="1">IF(AS$57="","",INDEX(Leverancer!BT:BT,ROW()-ROW(Leverancer!$AU$25)-6)*Leverancer!BT$96/1000)</f>
        <v/>
      </c>
      <c r="AT85" s="114" t="str">
        <f ca="1">IF(AT$57="","",INDEX(Leverancer!BU:BU,ROW()-ROW(Leverancer!$AU$25)-6)*Leverancer!BU$96/1000)</f>
        <v/>
      </c>
      <c r="AU85" s="114" t="str">
        <f ca="1">IF(AU$57="","",INDEX(Leverancer!BV:BV,ROW()-ROW(Leverancer!$AU$25)-6)*Leverancer!BV$96/1000)</f>
        <v/>
      </c>
      <c r="AV85" s="114" t="str">
        <f ca="1">IF(AV$57="","",INDEX(Leverancer!BW:BW,ROW()-ROW(Leverancer!$AU$25)-6)*Leverancer!BW$96/1000)</f>
        <v/>
      </c>
      <c r="AW85" s="114" t="str">
        <f ca="1">IF(AW$57="","",INDEX(Leverancer!BX:BX,ROW()-ROW(Leverancer!$AU$25)-6)*Leverancer!BX$96/1000)</f>
        <v/>
      </c>
      <c r="AX85" s="90"/>
      <c r="AY85" s="90"/>
      <c r="AZ85" s="87"/>
    </row>
    <row r="86" spans="14:52" ht="12.75" customHeight="1" x14ac:dyDescent="0.2">
      <c r="N86" s="85"/>
      <c r="O86" s="90"/>
      <c r="P86" s="90"/>
      <c r="Q86" s="116" t="str">
        <f>INDEX(Leverancer!$AO$1:$AO$1061,ROW()-ROW(Leverancer!$AU$25)-6)&amp;": "&amp;INDEX(Leverancer!$AP$1:$AP$1061,ROW()-ROW(Leverancer!$AU$25)-6)</f>
        <v xml:space="preserve">L27: </v>
      </c>
      <c r="R86" s="114"/>
      <c r="S86" s="119">
        <f t="shared" ca="1" si="12"/>
        <v>0</v>
      </c>
      <c r="T86" s="114">
        <f ca="1">IF(T$57="","",INDEX(Leverancer!AU:AU,ROW()-ROW(Leverancer!$AU$25)-6)*Leverancer!AU$96/1000)</f>
        <v>0</v>
      </c>
      <c r="U86" s="114">
        <f ca="1">IF(U$57="","",INDEX(Leverancer!AV:AV,ROW()-ROW(Leverancer!$AU$25)-6)*Leverancer!AV$96/1000)</f>
        <v>0</v>
      </c>
      <c r="V86" s="114">
        <f ca="1">IF(V$57="","",INDEX(Leverancer!AW:AW,ROW()-ROW(Leverancer!$AU$25)-6)*Leverancer!AW$96/1000)</f>
        <v>0</v>
      </c>
      <c r="W86" s="114">
        <f ca="1">IF(W$57="","",INDEX(Leverancer!AX:AX,ROW()-ROW(Leverancer!$AU$25)-6)*Leverancer!AX$96/1000)</f>
        <v>0</v>
      </c>
      <c r="X86" s="114" t="str">
        <f ca="1">IF(X$57="","",INDEX(Leverancer!AY:AY,ROW()-ROW(Leverancer!$AU$25)-6)*Leverancer!AY$96/1000)</f>
        <v/>
      </c>
      <c r="Y86" s="114" t="str">
        <f ca="1">IF(Y$57="","",INDEX(Leverancer!AZ:AZ,ROW()-ROW(Leverancer!$AU$25)-6)*Leverancer!AZ$96/1000)</f>
        <v/>
      </c>
      <c r="Z86" s="114" t="str">
        <f ca="1">IF(Z$57="","",INDEX(Leverancer!BA:BA,ROW()-ROW(Leverancer!$AU$25)-6)*Leverancer!BA$96/1000)</f>
        <v/>
      </c>
      <c r="AA86" s="114" t="str">
        <f ca="1">IF(AA$57="","",INDEX(Leverancer!BB:BB,ROW()-ROW(Leverancer!$AU$25)-6)*Leverancer!BB$96/1000)</f>
        <v/>
      </c>
      <c r="AB86" s="114" t="str">
        <f ca="1">IF(AB$57="","",INDEX(Leverancer!BC:BC,ROW()-ROW(Leverancer!$AU$25)-6)*Leverancer!BC$96/1000)</f>
        <v/>
      </c>
      <c r="AC86" s="114" t="str">
        <f ca="1">IF(AC$57="","",INDEX(Leverancer!BD:BD,ROW()-ROW(Leverancer!$AU$25)-6)*Leverancer!BD$96/1000)</f>
        <v/>
      </c>
      <c r="AD86" s="114" t="str">
        <f ca="1">IF(AD$57="","",INDEX(Leverancer!BE:BE,ROW()-ROW(Leverancer!$AU$25)-6)*Leverancer!BE$96/1000)</f>
        <v/>
      </c>
      <c r="AE86" s="114" t="str">
        <f ca="1">IF(AE$57="","",INDEX(Leverancer!BF:BF,ROW()-ROW(Leverancer!$AU$25)-6)*Leverancer!BF$96/1000)</f>
        <v/>
      </c>
      <c r="AF86" s="114" t="str">
        <f ca="1">IF(AF$57="","",INDEX(Leverancer!BG:BG,ROW()-ROW(Leverancer!$AU$25)-6)*Leverancer!BG$96/1000)</f>
        <v/>
      </c>
      <c r="AG86" s="114" t="str">
        <f ca="1">IF(AG$57="","",INDEX(Leverancer!BH:BH,ROW()-ROW(Leverancer!$AU$25)-6)*Leverancer!BH$96/1000)</f>
        <v/>
      </c>
      <c r="AH86" s="114" t="str">
        <f ca="1">IF(AH$57="","",INDEX(Leverancer!BI:BI,ROW()-ROW(Leverancer!$AU$25)-6)*Leverancer!BI$96/1000)</f>
        <v/>
      </c>
      <c r="AI86" s="114" t="str">
        <f ca="1">IF(AI$57="","",INDEX(Leverancer!BJ:BJ,ROW()-ROW(Leverancer!$AU$25)-6)*Leverancer!BJ$96/1000)</f>
        <v/>
      </c>
      <c r="AJ86" s="114" t="str">
        <f ca="1">IF(AJ$57="","",INDEX(Leverancer!BK:BK,ROW()-ROW(Leverancer!$AU$25)-6)*Leverancer!BK$96/1000)</f>
        <v/>
      </c>
      <c r="AK86" s="114" t="str">
        <f ca="1">IF(AK$57="","",INDEX(Leverancer!BL:BL,ROW()-ROW(Leverancer!$AU$25)-6)*Leverancer!BL$96/1000)</f>
        <v/>
      </c>
      <c r="AL86" s="114" t="str">
        <f ca="1">IF(AL$57="","",INDEX(Leverancer!BM:BM,ROW()-ROW(Leverancer!$AU$25)-6)*Leverancer!BM$96/1000)</f>
        <v/>
      </c>
      <c r="AM86" s="114" t="str">
        <f ca="1">IF(AM$57="","",INDEX(Leverancer!BN:BN,ROW()-ROW(Leverancer!$AU$25)-6)*Leverancer!BN$96/1000)</f>
        <v/>
      </c>
      <c r="AN86" s="114" t="str">
        <f ca="1">IF(AN$57="","",INDEX(Leverancer!BO:BO,ROW()-ROW(Leverancer!$AU$25)-6)*Leverancer!BO$96/1000)</f>
        <v/>
      </c>
      <c r="AO86" s="114" t="str">
        <f ca="1">IF(AO$57="","",INDEX(Leverancer!BP:BP,ROW()-ROW(Leverancer!$AU$25)-6)*Leverancer!BP$96/1000)</f>
        <v/>
      </c>
      <c r="AP86" s="114" t="str">
        <f ca="1">IF(AP$57="","",INDEX(Leverancer!BQ:BQ,ROW()-ROW(Leverancer!$AU$25)-6)*Leverancer!BQ$96/1000)</f>
        <v/>
      </c>
      <c r="AQ86" s="114" t="str">
        <f ca="1">IF(AQ$57="","",INDEX(Leverancer!BR:BR,ROW()-ROW(Leverancer!$AU$25)-6)*Leverancer!BR$96/1000)</f>
        <v/>
      </c>
      <c r="AR86" s="114" t="str">
        <f ca="1">IF(AR$57="","",INDEX(Leverancer!BS:BS,ROW()-ROW(Leverancer!$AU$25)-6)*Leverancer!BS$96/1000)</f>
        <v/>
      </c>
      <c r="AS86" s="114" t="str">
        <f ca="1">IF(AS$57="","",INDEX(Leverancer!BT:BT,ROW()-ROW(Leverancer!$AU$25)-6)*Leverancer!BT$96/1000)</f>
        <v/>
      </c>
      <c r="AT86" s="114" t="str">
        <f ca="1">IF(AT$57="","",INDEX(Leverancer!BU:BU,ROW()-ROW(Leverancer!$AU$25)-6)*Leverancer!BU$96/1000)</f>
        <v/>
      </c>
      <c r="AU86" s="114" t="str">
        <f ca="1">IF(AU$57="","",INDEX(Leverancer!BV:BV,ROW()-ROW(Leverancer!$AU$25)-6)*Leverancer!BV$96/1000)</f>
        <v/>
      </c>
      <c r="AV86" s="114" t="str">
        <f ca="1">IF(AV$57="","",INDEX(Leverancer!BW:BW,ROW()-ROW(Leverancer!$AU$25)-6)*Leverancer!BW$96/1000)</f>
        <v/>
      </c>
      <c r="AW86" s="114" t="str">
        <f ca="1">IF(AW$57="","",INDEX(Leverancer!BX:BX,ROW()-ROW(Leverancer!$AU$25)-6)*Leverancer!BX$96/1000)</f>
        <v/>
      </c>
      <c r="AX86" s="90"/>
      <c r="AY86" s="90"/>
      <c r="AZ86" s="87"/>
    </row>
    <row r="87" spans="14:52" ht="12.75" customHeight="1" x14ac:dyDescent="0.2">
      <c r="N87" s="85"/>
      <c r="O87" s="90"/>
      <c r="P87" s="90"/>
      <c r="Q87" s="116" t="str">
        <f>INDEX(Leverancer!$AO$1:$AO$1061,ROW()-ROW(Leverancer!$AU$25)-6)&amp;": "&amp;INDEX(Leverancer!$AP$1:$AP$1061,ROW()-ROW(Leverancer!$AU$25)-6)</f>
        <v xml:space="preserve">L28: </v>
      </c>
      <c r="R87" s="114"/>
      <c r="S87" s="119">
        <f t="shared" ca="1" si="12"/>
        <v>0</v>
      </c>
      <c r="T87" s="114">
        <f ca="1">IF(T$57="","",INDEX(Leverancer!AU:AU,ROW()-ROW(Leverancer!$AU$25)-6)*Leverancer!AU$96/1000)</f>
        <v>0</v>
      </c>
      <c r="U87" s="114">
        <f ca="1">IF(U$57="","",INDEX(Leverancer!AV:AV,ROW()-ROW(Leverancer!$AU$25)-6)*Leverancer!AV$96/1000)</f>
        <v>0</v>
      </c>
      <c r="V87" s="114">
        <f ca="1">IF(V$57="","",INDEX(Leverancer!AW:AW,ROW()-ROW(Leverancer!$AU$25)-6)*Leverancer!AW$96/1000)</f>
        <v>0</v>
      </c>
      <c r="W87" s="114">
        <f ca="1">IF(W$57="","",INDEX(Leverancer!AX:AX,ROW()-ROW(Leverancer!$AU$25)-6)*Leverancer!AX$96/1000)</f>
        <v>0</v>
      </c>
      <c r="X87" s="114" t="str">
        <f ca="1">IF(X$57="","",INDEX(Leverancer!AY:AY,ROW()-ROW(Leverancer!$AU$25)-6)*Leverancer!AY$96/1000)</f>
        <v/>
      </c>
      <c r="Y87" s="114" t="str">
        <f ca="1">IF(Y$57="","",INDEX(Leverancer!AZ:AZ,ROW()-ROW(Leverancer!$AU$25)-6)*Leverancer!AZ$96/1000)</f>
        <v/>
      </c>
      <c r="Z87" s="114" t="str">
        <f ca="1">IF(Z$57="","",INDEX(Leverancer!BA:BA,ROW()-ROW(Leverancer!$AU$25)-6)*Leverancer!BA$96/1000)</f>
        <v/>
      </c>
      <c r="AA87" s="114" t="str">
        <f ca="1">IF(AA$57="","",INDEX(Leverancer!BB:BB,ROW()-ROW(Leverancer!$AU$25)-6)*Leverancer!BB$96/1000)</f>
        <v/>
      </c>
      <c r="AB87" s="114" t="str">
        <f ca="1">IF(AB$57="","",INDEX(Leverancer!BC:BC,ROW()-ROW(Leverancer!$AU$25)-6)*Leverancer!BC$96/1000)</f>
        <v/>
      </c>
      <c r="AC87" s="114" t="str">
        <f ca="1">IF(AC$57="","",INDEX(Leverancer!BD:BD,ROW()-ROW(Leverancer!$AU$25)-6)*Leverancer!BD$96/1000)</f>
        <v/>
      </c>
      <c r="AD87" s="114" t="str">
        <f ca="1">IF(AD$57="","",INDEX(Leverancer!BE:BE,ROW()-ROW(Leverancer!$AU$25)-6)*Leverancer!BE$96/1000)</f>
        <v/>
      </c>
      <c r="AE87" s="114" t="str">
        <f ca="1">IF(AE$57="","",INDEX(Leverancer!BF:BF,ROW()-ROW(Leverancer!$AU$25)-6)*Leverancer!BF$96/1000)</f>
        <v/>
      </c>
      <c r="AF87" s="114" t="str">
        <f ca="1">IF(AF$57="","",INDEX(Leverancer!BG:BG,ROW()-ROW(Leverancer!$AU$25)-6)*Leverancer!BG$96/1000)</f>
        <v/>
      </c>
      <c r="AG87" s="114" t="str">
        <f ca="1">IF(AG$57="","",INDEX(Leverancer!BH:BH,ROW()-ROW(Leverancer!$AU$25)-6)*Leverancer!BH$96/1000)</f>
        <v/>
      </c>
      <c r="AH87" s="114" t="str">
        <f ca="1">IF(AH$57="","",INDEX(Leverancer!BI:BI,ROW()-ROW(Leverancer!$AU$25)-6)*Leverancer!BI$96/1000)</f>
        <v/>
      </c>
      <c r="AI87" s="114" t="str">
        <f ca="1">IF(AI$57="","",INDEX(Leverancer!BJ:BJ,ROW()-ROW(Leverancer!$AU$25)-6)*Leverancer!BJ$96/1000)</f>
        <v/>
      </c>
      <c r="AJ87" s="114" t="str">
        <f ca="1">IF(AJ$57="","",INDEX(Leverancer!BK:BK,ROW()-ROW(Leverancer!$AU$25)-6)*Leverancer!BK$96/1000)</f>
        <v/>
      </c>
      <c r="AK87" s="114" t="str">
        <f ca="1">IF(AK$57="","",INDEX(Leverancer!BL:BL,ROW()-ROW(Leverancer!$AU$25)-6)*Leverancer!BL$96/1000)</f>
        <v/>
      </c>
      <c r="AL87" s="114" t="str">
        <f ca="1">IF(AL$57="","",INDEX(Leverancer!BM:BM,ROW()-ROW(Leverancer!$AU$25)-6)*Leverancer!BM$96/1000)</f>
        <v/>
      </c>
      <c r="AM87" s="114" t="str">
        <f ca="1">IF(AM$57="","",INDEX(Leverancer!BN:BN,ROW()-ROW(Leverancer!$AU$25)-6)*Leverancer!BN$96/1000)</f>
        <v/>
      </c>
      <c r="AN87" s="114" t="str">
        <f ca="1">IF(AN$57="","",INDEX(Leverancer!BO:BO,ROW()-ROW(Leverancer!$AU$25)-6)*Leverancer!BO$96/1000)</f>
        <v/>
      </c>
      <c r="AO87" s="114" t="str">
        <f ca="1">IF(AO$57="","",INDEX(Leverancer!BP:BP,ROW()-ROW(Leverancer!$AU$25)-6)*Leverancer!BP$96/1000)</f>
        <v/>
      </c>
      <c r="AP87" s="114" t="str">
        <f ca="1">IF(AP$57="","",INDEX(Leverancer!BQ:BQ,ROW()-ROW(Leverancer!$AU$25)-6)*Leverancer!BQ$96/1000)</f>
        <v/>
      </c>
      <c r="AQ87" s="114" t="str">
        <f ca="1">IF(AQ$57="","",INDEX(Leverancer!BR:BR,ROW()-ROW(Leverancer!$AU$25)-6)*Leverancer!BR$96/1000)</f>
        <v/>
      </c>
      <c r="AR87" s="114" t="str">
        <f ca="1">IF(AR$57="","",INDEX(Leverancer!BS:BS,ROW()-ROW(Leverancer!$AU$25)-6)*Leverancer!BS$96/1000)</f>
        <v/>
      </c>
      <c r="AS87" s="114" t="str">
        <f ca="1">IF(AS$57="","",INDEX(Leverancer!BT:BT,ROW()-ROW(Leverancer!$AU$25)-6)*Leverancer!BT$96/1000)</f>
        <v/>
      </c>
      <c r="AT87" s="114" t="str">
        <f ca="1">IF(AT$57="","",INDEX(Leverancer!BU:BU,ROW()-ROW(Leverancer!$AU$25)-6)*Leverancer!BU$96/1000)</f>
        <v/>
      </c>
      <c r="AU87" s="114" t="str">
        <f ca="1">IF(AU$57="","",INDEX(Leverancer!BV:BV,ROW()-ROW(Leverancer!$AU$25)-6)*Leverancer!BV$96/1000)</f>
        <v/>
      </c>
      <c r="AV87" s="114" t="str">
        <f ca="1">IF(AV$57="","",INDEX(Leverancer!BW:BW,ROW()-ROW(Leverancer!$AU$25)-6)*Leverancer!BW$96/1000)</f>
        <v/>
      </c>
      <c r="AW87" s="114" t="str">
        <f ca="1">IF(AW$57="","",INDEX(Leverancer!BX:BX,ROW()-ROW(Leverancer!$AU$25)-6)*Leverancer!BX$96/1000)</f>
        <v/>
      </c>
      <c r="AX87" s="90"/>
      <c r="AY87" s="90"/>
      <c r="AZ87" s="87"/>
    </row>
    <row r="88" spans="14:52" ht="12.75" customHeight="1" x14ac:dyDescent="0.2">
      <c r="N88" s="85"/>
      <c r="O88" s="90"/>
      <c r="P88" s="90"/>
      <c r="Q88" s="116" t="str">
        <f>INDEX(Leverancer!$AO$1:$AO$1061,ROW()-ROW(Leverancer!$AU$25)-6)&amp;": "&amp;INDEX(Leverancer!$AP$1:$AP$1061,ROW()-ROW(Leverancer!$AU$25)-6)</f>
        <v xml:space="preserve">L29: </v>
      </c>
      <c r="R88" s="114"/>
      <c r="S88" s="119">
        <f t="shared" ca="1" si="12"/>
        <v>0</v>
      </c>
      <c r="T88" s="114">
        <f ca="1">IF(T$57="","",INDEX(Leverancer!AU:AU,ROW()-ROW(Leverancer!$AU$25)-6)*Leverancer!AU$96/1000)</f>
        <v>0</v>
      </c>
      <c r="U88" s="114">
        <f ca="1">IF(U$57="","",INDEX(Leverancer!AV:AV,ROW()-ROW(Leverancer!$AU$25)-6)*Leverancer!AV$96/1000)</f>
        <v>0</v>
      </c>
      <c r="V88" s="114">
        <f ca="1">IF(V$57="","",INDEX(Leverancer!AW:AW,ROW()-ROW(Leverancer!$AU$25)-6)*Leverancer!AW$96/1000)</f>
        <v>0</v>
      </c>
      <c r="W88" s="114">
        <f ca="1">IF(W$57="","",INDEX(Leverancer!AX:AX,ROW()-ROW(Leverancer!$AU$25)-6)*Leverancer!AX$96/1000)</f>
        <v>0</v>
      </c>
      <c r="X88" s="114" t="str">
        <f ca="1">IF(X$57="","",INDEX(Leverancer!AY:AY,ROW()-ROW(Leverancer!$AU$25)-6)*Leverancer!AY$96/1000)</f>
        <v/>
      </c>
      <c r="Y88" s="114" t="str">
        <f ca="1">IF(Y$57="","",INDEX(Leverancer!AZ:AZ,ROW()-ROW(Leverancer!$AU$25)-6)*Leverancer!AZ$96/1000)</f>
        <v/>
      </c>
      <c r="Z88" s="114" t="str">
        <f ca="1">IF(Z$57="","",INDEX(Leverancer!BA:BA,ROW()-ROW(Leverancer!$AU$25)-6)*Leverancer!BA$96/1000)</f>
        <v/>
      </c>
      <c r="AA88" s="114" t="str">
        <f ca="1">IF(AA$57="","",INDEX(Leverancer!BB:BB,ROW()-ROW(Leverancer!$AU$25)-6)*Leverancer!BB$96/1000)</f>
        <v/>
      </c>
      <c r="AB88" s="114" t="str">
        <f ca="1">IF(AB$57="","",INDEX(Leverancer!BC:BC,ROW()-ROW(Leverancer!$AU$25)-6)*Leverancer!BC$96/1000)</f>
        <v/>
      </c>
      <c r="AC88" s="114" t="str">
        <f ca="1">IF(AC$57="","",INDEX(Leverancer!BD:BD,ROW()-ROW(Leverancer!$AU$25)-6)*Leverancer!BD$96/1000)</f>
        <v/>
      </c>
      <c r="AD88" s="114" t="str">
        <f ca="1">IF(AD$57="","",INDEX(Leverancer!BE:BE,ROW()-ROW(Leverancer!$AU$25)-6)*Leverancer!BE$96/1000)</f>
        <v/>
      </c>
      <c r="AE88" s="114" t="str">
        <f ca="1">IF(AE$57="","",INDEX(Leverancer!BF:BF,ROW()-ROW(Leverancer!$AU$25)-6)*Leverancer!BF$96/1000)</f>
        <v/>
      </c>
      <c r="AF88" s="114" t="str">
        <f ca="1">IF(AF$57="","",INDEX(Leverancer!BG:BG,ROW()-ROW(Leverancer!$AU$25)-6)*Leverancer!BG$96/1000)</f>
        <v/>
      </c>
      <c r="AG88" s="114" t="str">
        <f ca="1">IF(AG$57="","",INDEX(Leverancer!BH:BH,ROW()-ROW(Leverancer!$AU$25)-6)*Leverancer!BH$96/1000)</f>
        <v/>
      </c>
      <c r="AH88" s="114" t="str">
        <f ca="1">IF(AH$57="","",INDEX(Leverancer!BI:BI,ROW()-ROW(Leverancer!$AU$25)-6)*Leverancer!BI$96/1000)</f>
        <v/>
      </c>
      <c r="AI88" s="114" t="str">
        <f ca="1">IF(AI$57="","",INDEX(Leverancer!BJ:BJ,ROW()-ROW(Leverancer!$AU$25)-6)*Leverancer!BJ$96/1000)</f>
        <v/>
      </c>
      <c r="AJ88" s="114" t="str">
        <f ca="1">IF(AJ$57="","",INDEX(Leverancer!BK:BK,ROW()-ROW(Leverancer!$AU$25)-6)*Leverancer!BK$96/1000)</f>
        <v/>
      </c>
      <c r="AK88" s="114" t="str">
        <f ca="1">IF(AK$57="","",INDEX(Leverancer!BL:BL,ROW()-ROW(Leverancer!$AU$25)-6)*Leverancer!BL$96/1000)</f>
        <v/>
      </c>
      <c r="AL88" s="114" t="str">
        <f ca="1">IF(AL$57="","",INDEX(Leverancer!BM:BM,ROW()-ROW(Leverancer!$AU$25)-6)*Leverancer!BM$96/1000)</f>
        <v/>
      </c>
      <c r="AM88" s="114" t="str">
        <f ca="1">IF(AM$57="","",INDEX(Leverancer!BN:BN,ROW()-ROW(Leverancer!$AU$25)-6)*Leverancer!BN$96/1000)</f>
        <v/>
      </c>
      <c r="AN88" s="114" t="str">
        <f ca="1">IF(AN$57="","",INDEX(Leverancer!BO:BO,ROW()-ROW(Leverancer!$AU$25)-6)*Leverancer!BO$96/1000)</f>
        <v/>
      </c>
      <c r="AO88" s="114" t="str">
        <f ca="1">IF(AO$57="","",INDEX(Leverancer!BP:BP,ROW()-ROW(Leverancer!$AU$25)-6)*Leverancer!BP$96/1000)</f>
        <v/>
      </c>
      <c r="AP88" s="114" t="str">
        <f ca="1">IF(AP$57="","",INDEX(Leverancer!BQ:BQ,ROW()-ROW(Leverancer!$AU$25)-6)*Leverancer!BQ$96/1000)</f>
        <v/>
      </c>
      <c r="AQ88" s="114" t="str">
        <f ca="1">IF(AQ$57="","",INDEX(Leverancer!BR:BR,ROW()-ROW(Leverancer!$AU$25)-6)*Leverancer!BR$96/1000)</f>
        <v/>
      </c>
      <c r="AR88" s="114" t="str">
        <f ca="1">IF(AR$57="","",INDEX(Leverancer!BS:BS,ROW()-ROW(Leverancer!$AU$25)-6)*Leverancer!BS$96/1000)</f>
        <v/>
      </c>
      <c r="AS88" s="114" t="str">
        <f ca="1">IF(AS$57="","",INDEX(Leverancer!BT:BT,ROW()-ROW(Leverancer!$AU$25)-6)*Leverancer!BT$96/1000)</f>
        <v/>
      </c>
      <c r="AT88" s="114" t="str">
        <f ca="1">IF(AT$57="","",INDEX(Leverancer!BU:BU,ROW()-ROW(Leverancer!$AU$25)-6)*Leverancer!BU$96/1000)</f>
        <v/>
      </c>
      <c r="AU88" s="114" t="str">
        <f ca="1">IF(AU$57="","",INDEX(Leverancer!BV:BV,ROW()-ROW(Leverancer!$AU$25)-6)*Leverancer!BV$96/1000)</f>
        <v/>
      </c>
      <c r="AV88" s="114" t="str">
        <f ca="1">IF(AV$57="","",INDEX(Leverancer!BW:BW,ROW()-ROW(Leverancer!$AU$25)-6)*Leverancer!BW$96/1000)</f>
        <v/>
      </c>
      <c r="AW88" s="114" t="str">
        <f ca="1">IF(AW$57="","",INDEX(Leverancer!BX:BX,ROW()-ROW(Leverancer!$AU$25)-6)*Leverancer!BX$96/1000)</f>
        <v/>
      </c>
      <c r="AX88" s="90"/>
      <c r="AY88" s="90"/>
      <c r="AZ88" s="87"/>
    </row>
    <row r="89" spans="14:52" ht="12.75" customHeight="1" x14ac:dyDescent="0.2">
      <c r="N89" s="85"/>
      <c r="O89" s="90"/>
      <c r="P89" s="90"/>
      <c r="Q89" s="116" t="str">
        <f>INDEX(Leverancer!$AO$1:$AO$1061,ROW()-ROW(Leverancer!$AU$25)-6)&amp;": "&amp;INDEX(Leverancer!$AP$1:$AP$1061,ROW()-ROW(Leverancer!$AU$25)-6)</f>
        <v xml:space="preserve">L30: </v>
      </c>
      <c r="R89" s="114"/>
      <c r="S89" s="119">
        <f t="shared" ca="1" si="12"/>
        <v>0</v>
      </c>
      <c r="T89" s="114">
        <f ca="1">IF(T$57="","",INDEX(Leverancer!AU:AU,ROW()-ROW(Leverancer!$AU$25)-6)*Leverancer!AU$96/1000)</f>
        <v>0</v>
      </c>
      <c r="U89" s="114">
        <f ca="1">IF(U$57="","",INDEX(Leverancer!AV:AV,ROW()-ROW(Leverancer!$AU$25)-6)*Leverancer!AV$96/1000)</f>
        <v>0</v>
      </c>
      <c r="V89" s="114">
        <f ca="1">IF(V$57="","",INDEX(Leverancer!AW:AW,ROW()-ROW(Leverancer!$AU$25)-6)*Leverancer!AW$96/1000)</f>
        <v>0</v>
      </c>
      <c r="W89" s="114">
        <f ca="1">IF(W$57="","",INDEX(Leverancer!AX:AX,ROW()-ROW(Leverancer!$AU$25)-6)*Leverancer!AX$96/1000)</f>
        <v>0</v>
      </c>
      <c r="X89" s="114" t="str">
        <f ca="1">IF(X$57="","",INDEX(Leverancer!AY:AY,ROW()-ROW(Leverancer!$AU$25)-6)*Leverancer!AY$96/1000)</f>
        <v/>
      </c>
      <c r="Y89" s="114" t="str">
        <f ca="1">IF(Y$57="","",INDEX(Leverancer!AZ:AZ,ROW()-ROW(Leverancer!$AU$25)-6)*Leverancer!AZ$96/1000)</f>
        <v/>
      </c>
      <c r="Z89" s="114" t="str">
        <f ca="1">IF(Z$57="","",INDEX(Leverancer!BA:BA,ROW()-ROW(Leverancer!$AU$25)-6)*Leverancer!BA$96/1000)</f>
        <v/>
      </c>
      <c r="AA89" s="114" t="str">
        <f ca="1">IF(AA$57="","",INDEX(Leverancer!BB:BB,ROW()-ROW(Leverancer!$AU$25)-6)*Leverancer!BB$96/1000)</f>
        <v/>
      </c>
      <c r="AB89" s="114" t="str">
        <f ca="1">IF(AB$57="","",INDEX(Leverancer!BC:BC,ROW()-ROW(Leverancer!$AU$25)-6)*Leverancer!BC$96/1000)</f>
        <v/>
      </c>
      <c r="AC89" s="114" t="str">
        <f ca="1">IF(AC$57="","",INDEX(Leverancer!BD:BD,ROW()-ROW(Leverancer!$AU$25)-6)*Leverancer!BD$96/1000)</f>
        <v/>
      </c>
      <c r="AD89" s="114" t="str">
        <f ca="1">IF(AD$57="","",INDEX(Leverancer!BE:BE,ROW()-ROW(Leverancer!$AU$25)-6)*Leverancer!BE$96/1000)</f>
        <v/>
      </c>
      <c r="AE89" s="114" t="str">
        <f ca="1">IF(AE$57="","",INDEX(Leverancer!BF:BF,ROW()-ROW(Leverancer!$AU$25)-6)*Leverancer!BF$96/1000)</f>
        <v/>
      </c>
      <c r="AF89" s="114" t="str">
        <f ca="1">IF(AF$57="","",INDEX(Leverancer!BG:BG,ROW()-ROW(Leverancer!$AU$25)-6)*Leverancer!BG$96/1000)</f>
        <v/>
      </c>
      <c r="AG89" s="114" t="str">
        <f ca="1">IF(AG$57="","",INDEX(Leverancer!BH:BH,ROW()-ROW(Leverancer!$AU$25)-6)*Leverancer!BH$96/1000)</f>
        <v/>
      </c>
      <c r="AH89" s="114" t="str">
        <f ca="1">IF(AH$57="","",INDEX(Leverancer!BI:BI,ROW()-ROW(Leverancer!$AU$25)-6)*Leverancer!BI$96/1000)</f>
        <v/>
      </c>
      <c r="AI89" s="114" t="str">
        <f ca="1">IF(AI$57="","",INDEX(Leverancer!BJ:BJ,ROW()-ROW(Leverancer!$AU$25)-6)*Leverancer!BJ$96/1000)</f>
        <v/>
      </c>
      <c r="AJ89" s="114" t="str">
        <f ca="1">IF(AJ$57="","",INDEX(Leverancer!BK:BK,ROW()-ROW(Leverancer!$AU$25)-6)*Leverancer!BK$96/1000)</f>
        <v/>
      </c>
      <c r="AK89" s="114" t="str">
        <f ca="1">IF(AK$57="","",INDEX(Leverancer!BL:BL,ROW()-ROW(Leverancer!$AU$25)-6)*Leverancer!BL$96/1000)</f>
        <v/>
      </c>
      <c r="AL89" s="114" t="str">
        <f ca="1">IF(AL$57="","",INDEX(Leverancer!BM:BM,ROW()-ROW(Leverancer!$AU$25)-6)*Leverancer!BM$96/1000)</f>
        <v/>
      </c>
      <c r="AM89" s="114" t="str">
        <f ca="1">IF(AM$57="","",INDEX(Leverancer!BN:BN,ROW()-ROW(Leverancer!$AU$25)-6)*Leverancer!BN$96/1000)</f>
        <v/>
      </c>
      <c r="AN89" s="114" t="str">
        <f ca="1">IF(AN$57="","",INDEX(Leverancer!BO:BO,ROW()-ROW(Leverancer!$AU$25)-6)*Leverancer!BO$96/1000)</f>
        <v/>
      </c>
      <c r="AO89" s="114" t="str">
        <f ca="1">IF(AO$57="","",INDEX(Leverancer!BP:BP,ROW()-ROW(Leverancer!$AU$25)-6)*Leverancer!BP$96/1000)</f>
        <v/>
      </c>
      <c r="AP89" s="114" t="str">
        <f ca="1">IF(AP$57="","",INDEX(Leverancer!BQ:BQ,ROW()-ROW(Leverancer!$AU$25)-6)*Leverancer!BQ$96/1000)</f>
        <v/>
      </c>
      <c r="AQ89" s="114" t="str">
        <f ca="1">IF(AQ$57="","",INDEX(Leverancer!BR:BR,ROW()-ROW(Leverancer!$AU$25)-6)*Leverancer!BR$96/1000)</f>
        <v/>
      </c>
      <c r="AR89" s="114" t="str">
        <f ca="1">IF(AR$57="","",INDEX(Leverancer!BS:BS,ROW()-ROW(Leverancer!$AU$25)-6)*Leverancer!BS$96/1000)</f>
        <v/>
      </c>
      <c r="AS89" s="114" t="str">
        <f ca="1">IF(AS$57="","",INDEX(Leverancer!BT:BT,ROW()-ROW(Leverancer!$AU$25)-6)*Leverancer!BT$96/1000)</f>
        <v/>
      </c>
      <c r="AT89" s="114" t="str">
        <f ca="1">IF(AT$57="","",INDEX(Leverancer!BU:BU,ROW()-ROW(Leverancer!$AU$25)-6)*Leverancer!BU$96/1000)</f>
        <v/>
      </c>
      <c r="AU89" s="114" t="str">
        <f ca="1">IF(AU$57="","",INDEX(Leverancer!BV:BV,ROW()-ROW(Leverancer!$AU$25)-6)*Leverancer!BV$96/1000)</f>
        <v/>
      </c>
      <c r="AV89" s="114" t="str">
        <f ca="1">IF(AV$57="","",INDEX(Leverancer!BW:BW,ROW()-ROW(Leverancer!$AU$25)-6)*Leverancer!BW$96/1000)</f>
        <v/>
      </c>
      <c r="AW89" s="114" t="str">
        <f ca="1">IF(AW$57="","",INDEX(Leverancer!BX:BX,ROW()-ROW(Leverancer!$AU$25)-6)*Leverancer!BX$96/1000)</f>
        <v/>
      </c>
      <c r="AX89" s="90"/>
      <c r="AY89" s="90"/>
      <c r="AZ89" s="87"/>
    </row>
    <row r="90" spans="14:52" ht="12.75" hidden="1" customHeight="1" outlineLevel="1" x14ac:dyDescent="0.2">
      <c r="N90" s="85"/>
      <c r="O90" s="90"/>
      <c r="P90" s="90"/>
      <c r="Q90" s="116" t="str">
        <f>INDEX(Leverancer!$AO$1:$AO$1061,ROW()-ROW(Leverancer!$AU$25)-6)&amp;": "&amp;INDEX(Leverancer!$AP$1:$AP$1061,ROW()-ROW(Leverancer!$AU$25)-6)</f>
        <v xml:space="preserve">L31: </v>
      </c>
      <c r="R90" s="114"/>
      <c r="S90" s="119">
        <f t="shared" ca="1" si="12"/>
        <v>0</v>
      </c>
      <c r="T90" s="114">
        <f ca="1">IF(T$57="","",INDEX(Leverancer!AU:AU,ROW()-ROW(Leverancer!$AU$25)-6)*Leverancer!AU$96/1000)</f>
        <v>0</v>
      </c>
      <c r="U90" s="114">
        <f ca="1">IF(U$57="","",INDEX(Leverancer!AV:AV,ROW()-ROW(Leverancer!$AU$25)-6)*Leverancer!AV$96/1000)</f>
        <v>0</v>
      </c>
      <c r="V90" s="114">
        <f ca="1">IF(V$57="","",INDEX(Leverancer!AW:AW,ROW()-ROW(Leverancer!$AU$25)-6)*Leverancer!AW$96/1000)</f>
        <v>0</v>
      </c>
      <c r="W90" s="114">
        <f ca="1">IF(W$57="","",INDEX(Leverancer!AX:AX,ROW()-ROW(Leverancer!$AU$25)-6)*Leverancer!AX$96/1000)</f>
        <v>0</v>
      </c>
      <c r="X90" s="114" t="str">
        <f ca="1">IF(X$57="","",INDEX(Leverancer!AY:AY,ROW()-ROW(Leverancer!$AU$25)-6)*Leverancer!AY$96/1000)</f>
        <v/>
      </c>
      <c r="Y90" s="114" t="str">
        <f ca="1">IF(Y$57="","",INDEX(Leverancer!AZ:AZ,ROW()-ROW(Leverancer!$AU$25)-6)*Leverancer!AZ$96/1000)</f>
        <v/>
      </c>
      <c r="Z90" s="114" t="str">
        <f ca="1">IF(Z$57="","",INDEX(Leverancer!BA:BA,ROW()-ROW(Leverancer!$AU$25)-6)*Leverancer!BA$96/1000)</f>
        <v/>
      </c>
      <c r="AA90" s="114" t="str">
        <f ca="1">IF(AA$57="","",INDEX(Leverancer!BB:BB,ROW()-ROW(Leverancer!$AU$25)-6)*Leverancer!BB$96/1000)</f>
        <v/>
      </c>
      <c r="AB90" s="114" t="str">
        <f ca="1">IF(AB$57="","",INDEX(Leverancer!BC:BC,ROW()-ROW(Leverancer!$AU$25)-6)*Leverancer!BC$96/1000)</f>
        <v/>
      </c>
      <c r="AC90" s="114" t="str">
        <f ca="1">IF(AC$57="","",INDEX(Leverancer!BD:BD,ROW()-ROW(Leverancer!$AU$25)-6)*Leverancer!BD$96/1000)</f>
        <v/>
      </c>
      <c r="AD90" s="114" t="str">
        <f ca="1">IF(AD$57="","",INDEX(Leverancer!BE:BE,ROW()-ROW(Leverancer!$AU$25)-6)*Leverancer!BE$96/1000)</f>
        <v/>
      </c>
      <c r="AE90" s="114" t="str">
        <f ca="1">IF(AE$57="","",INDEX(Leverancer!BF:BF,ROW()-ROW(Leverancer!$AU$25)-6)*Leverancer!BF$96/1000)</f>
        <v/>
      </c>
      <c r="AF90" s="114" t="str">
        <f ca="1">IF(AF$57="","",INDEX(Leverancer!BG:BG,ROW()-ROW(Leverancer!$AU$25)-6)*Leverancer!BG$96/1000)</f>
        <v/>
      </c>
      <c r="AG90" s="114" t="str">
        <f ca="1">IF(AG$57="","",INDEX(Leverancer!BH:BH,ROW()-ROW(Leverancer!$AU$25)-6)*Leverancer!BH$96/1000)</f>
        <v/>
      </c>
      <c r="AH90" s="114" t="str">
        <f ca="1">IF(AH$57="","",INDEX(Leverancer!BI:BI,ROW()-ROW(Leverancer!$AU$25)-6)*Leverancer!BI$96/1000)</f>
        <v/>
      </c>
      <c r="AI90" s="114" t="str">
        <f ca="1">IF(AI$57="","",INDEX(Leverancer!BJ:BJ,ROW()-ROW(Leverancer!$AU$25)-6)*Leverancer!BJ$96/1000)</f>
        <v/>
      </c>
      <c r="AJ90" s="114" t="str">
        <f ca="1">IF(AJ$57="","",INDEX(Leverancer!BK:BK,ROW()-ROW(Leverancer!$AU$25)-6)*Leverancer!BK$96/1000)</f>
        <v/>
      </c>
      <c r="AK90" s="114" t="str">
        <f ca="1">IF(AK$57="","",INDEX(Leverancer!BL:BL,ROW()-ROW(Leverancer!$AU$25)-6)*Leverancer!BL$96/1000)</f>
        <v/>
      </c>
      <c r="AL90" s="114" t="str">
        <f ca="1">IF(AL$57="","",INDEX(Leverancer!BM:BM,ROW()-ROW(Leverancer!$AU$25)-6)*Leverancer!BM$96/1000)</f>
        <v/>
      </c>
      <c r="AM90" s="114" t="str">
        <f ca="1">IF(AM$57="","",INDEX(Leverancer!BN:BN,ROW()-ROW(Leverancer!$AU$25)-6)*Leverancer!BN$96/1000)</f>
        <v/>
      </c>
      <c r="AN90" s="114" t="str">
        <f ca="1">IF(AN$57="","",INDEX(Leverancer!BO:BO,ROW()-ROW(Leverancer!$AU$25)-6)*Leverancer!BO$96/1000)</f>
        <v/>
      </c>
      <c r="AO90" s="114" t="str">
        <f ca="1">IF(AO$57="","",INDEX(Leverancer!BP:BP,ROW()-ROW(Leverancer!$AU$25)-6)*Leverancer!BP$96/1000)</f>
        <v/>
      </c>
      <c r="AP90" s="114" t="str">
        <f ca="1">IF(AP$57="","",INDEX(Leverancer!BQ:BQ,ROW()-ROW(Leverancer!$AU$25)-6)*Leverancer!BQ$96/1000)</f>
        <v/>
      </c>
      <c r="AQ90" s="114" t="str">
        <f ca="1">IF(AQ$57="","",INDEX(Leverancer!BR:BR,ROW()-ROW(Leverancer!$AU$25)-6)*Leverancer!BR$96/1000)</f>
        <v/>
      </c>
      <c r="AR90" s="114" t="str">
        <f ca="1">IF(AR$57="","",INDEX(Leverancer!BS:BS,ROW()-ROW(Leverancer!$AU$25)-6)*Leverancer!BS$96/1000)</f>
        <v/>
      </c>
      <c r="AS90" s="114" t="str">
        <f ca="1">IF(AS$57="","",INDEX(Leverancer!BT:BT,ROW()-ROW(Leverancer!$AU$25)-6)*Leverancer!BT$96/1000)</f>
        <v/>
      </c>
      <c r="AT90" s="114" t="str">
        <f ca="1">IF(AT$57="","",INDEX(Leverancer!BU:BU,ROW()-ROW(Leverancer!$AU$25)-6)*Leverancer!BU$96/1000)</f>
        <v/>
      </c>
      <c r="AU90" s="114" t="str">
        <f ca="1">IF(AU$57="","",INDEX(Leverancer!BV:BV,ROW()-ROW(Leverancer!$AU$25)-6)*Leverancer!BV$96/1000)</f>
        <v/>
      </c>
      <c r="AV90" s="114" t="str">
        <f ca="1">IF(AV$57="","",INDEX(Leverancer!BW:BW,ROW()-ROW(Leverancer!$AU$25)-6)*Leverancer!BW$96/1000)</f>
        <v/>
      </c>
      <c r="AW90" s="114" t="str">
        <f ca="1">IF(AW$57="","",INDEX(Leverancer!BX:BX,ROW()-ROW(Leverancer!$AU$25)-6)*Leverancer!BX$96/1000)</f>
        <v/>
      </c>
      <c r="AX90" s="90"/>
      <c r="AY90" s="90"/>
      <c r="AZ90" s="87"/>
    </row>
    <row r="91" spans="14:52" ht="12.75" hidden="1" customHeight="1" outlineLevel="1" x14ac:dyDescent="0.2">
      <c r="N91" s="85"/>
      <c r="O91" s="90"/>
      <c r="P91" s="90"/>
      <c r="Q91" s="116" t="str">
        <f>INDEX(Leverancer!$AO$1:$AO$1061,ROW()-ROW(Leverancer!$AU$25)-6)&amp;": "&amp;INDEX(Leverancer!$AP$1:$AP$1061,ROW()-ROW(Leverancer!$AU$25)-6)</f>
        <v xml:space="preserve">L32: </v>
      </c>
      <c r="R91" s="114"/>
      <c r="S91" s="119">
        <f t="shared" ca="1" si="12"/>
        <v>0</v>
      </c>
      <c r="T91" s="114">
        <f ca="1">IF(T$57="","",INDEX(Leverancer!AU:AU,ROW()-ROW(Leverancer!$AU$25)-6)*Leverancer!AU$96/1000)</f>
        <v>0</v>
      </c>
      <c r="U91" s="114">
        <f ca="1">IF(U$57="","",INDEX(Leverancer!AV:AV,ROW()-ROW(Leverancer!$AU$25)-6)*Leverancer!AV$96/1000)</f>
        <v>0</v>
      </c>
      <c r="V91" s="114">
        <f ca="1">IF(V$57="","",INDEX(Leverancer!AW:AW,ROW()-ROW(Leverancer!$AU$25)-6)*Leverancer!AW$96/1000)</f>
        <v>0</v>
      </c>
      <c r="W91" s="114">
        <f ca="1">IF(W$57="","",INDEX(Leverancer!AX:AX,ROW()-ROW(Leverancer!$AU$25)-6)*Leverancer!AX$96/1000)</f>
        <v>0</v>
      </c>
      <c r="X91" s="114" t="str">
        <f ca="1">IF(X$57="","",INDEX(Leverancer!AY:AY,ROW()-ROW(Leverancer!$AU$25)-6)*Leverancer!AY$96/1000)</f>
        <v/>
      </c>
      <c r="Y91" s="114" t="str">
        <f ca="1">IF(Y$57="","",INDEX(Leverancer!AZ:AZ,ROW()-ROW(Leverancer!$AU$25)-6)*Leverancer!AZ$96/1000)</f>
        <v/>
      </c>
      <c r="Z91" s="114" t="str">
        <f ca="1">IF(Z$57="","",INDEX(Leverancer!BA:BA,ROW()-ROW(Leverancer!$AU$25)-6)*Leverancer!BA$96/1000)</f>
        <v/>
      </c>
      <c r="AA91" s="114" t="str">
        <f ca="1">IF(AA$57="","",INDEX(Leverancer!BB:BB,ROW()-ROW(Leverancer!$AU$25)-6)*Leverancer!BB$96/1000)</f>
        <v/>
      </c>
      <c r="AB91" s="114" t="str">
        <f ca="1">IF(AB$57="","",INDEX(Leverancer!BC:BC,ROW()-ROW(Leverancer!$AU$25)-6)*Leverancer!BC$96/1000)</f>
        <v/>
      </c>
      <c r="AC91" s="114" t="str">
        <f ca="1">IF(AC$57="","",INDEX(Leverancer!BD:BD,ROW()-ROW(Leverancer!$AU$25)-6)*Leverancer!BD$96/1000)</f>
        <v/>
      </c>
      <c r="AD91" s="114" t="str">
        <f ca="1">IF(AD$57="","",INDEX(Leverancer!BE:BE,ROW()-ROW(Leverancer!$AU$25)-6)*Leverancer!BE$96/1000)</f>
        <v/>
      </c>
      <c r="AE91" s="114" t="str">
        <f ca="1">IF(AE$57="","",INDEX(Leverancer!BF:BF,ROW()-ROW(Leverancer!$AU$25)-6)*Leverancer!BF$96/1000)</f>
        <v/>
      </c>
      <c r="AF91" s="114" t="str">
        <f ca="1">IF(AF$57="","",INDEX(Leverancer!BG:BG,ROW()-ROW(Leverancer!$AU$25)-6)*Leverancer!BG$96/1000)</f>
        <v/>
      </c>
      <c r="AG91" s="114" t="str">
        <f ca="1">IF(AG$57="","",INDEX(Leverancer!BH:BH,ROW()-ROW(Leverancer!$AU$25)-6)*Leverancer!BH$96/1000)</f>
        <v/>
      </c>
      <c r="AH91" s="114" t="str">
        <f ca="1">IF(AH$57="","",INDEX(Leverancer!BI:BI,ROW()-ROW(Leverancer!$AU$25)-6)*Leverancer!BI$96/1000)</f>
        <v/>
      </c>
      <c r="AI91" s="114" t="str">
        <f ca="1">IF(AI$57="","",INDEX(Leverancer!BJ:BJ,ROW()-ROW(Leverancer!$AU$25)-6)*Leverancer!BJ$96/1000)</f>
        <v/>
      </c>
      <c r="AJ91" s="114" t="str">
        <f ca="1">IF(AJ$57="","",INDEX(Leverancer!BK:BK,ROW()-ROW(Leverancer!$AU$25)-6)*Leverancer!BK$96/1000)</f>
        <v/>
      </c>
      <c r="AK91" s="114" t="str">
        <f ca="1">IF(AK$57="","",INDEX(Leverancer!BL:BL,ROW()-ROW(Leverancer!$AU$25)-6)*Leverancer!BL$96/1000)</f>
        <v/>
      </c>
      <c r="AL91" s="114" t="str">
        <f ca="1">IF(AL$57="","",INDEX(Leverancer!BM:BM,ROW()-ROW(Leverancer!$AU$25)-6)*Leverancer!BM$96/1000)</f>
        <v/>
      </c>
      <c r="AM91" s="114" t="str">
        <f ca="1">IF(AM$57="","",INDEX(Leverancer!BN:BN,ROW()-ROW(Leverancer!$AU$25)-6)*Leverancer!BN$96/1000)</f>
        <v/>
      </c>
      <c r="AN91" s="114" t="str">
        <f ca="1">IF(AN$57="","",INDEX(Leverancer!BO:BO,ROW()-ROW(Leverancer!$AU$25)-6)*Leverancer!BO$96/1000)</f>
        <v/>
      </c>
      <c r="AO91" s="114" t="str">
        <f ca="1">IF(AO$57="","",INDEX(Leverancer!BP:BP,ROW()-ROW(Leverancer!$AU$25)-6)*Leverancer!BP$96/1000)</f>
        <v/>
      </c>
      <c r="AP91" s="114" t="str">
        <f ca="1">IF(AP$57="","",INDEX(Leverancer!BQ:BQ,ROW()-ROW(Leverancer!$AU$25)-6)*Leverancer!BQ$96/1000)</f>
        <v/>
      </c>
      <c r="AQ91" s="114" t="str">
        <f ca="1">IF(AQ$57="","",INDEX(Leverancer!BR:BR,ROW()-ROW(Leverancer!$AU$25)-6)*Leverancer!BR$96/1000)</f>
        <v/>
      </c>
      <c r="AR91" s="114" t="str">
        <f ca="1">IF(AR$57="","",INDEX(Leverancer!BS:BS,ROW()-ROW(Leverancer!$AU$25)-6)*Leverancer!BS$96/1000)</f>
        <v/>
      </c>
      <c r="AS91" s="114" t="str">
        <f ca="1">IF(AS$57="","",INDEX(Leverancer!BT:BT,ROW()-ROW(Leverancer!$AU$25)-6)*Leverancer!BT$96/1000)</f>
        <v/>
      </c>
      <c r="AT91" s="114" t="str">
        <f ca="1">IF(AT$57="","",INDEX(Leverancer!BU:BU,ROW()-ROW(Leverancer!$AU$25)-6)*Leverancer!BU$96/1000)</f>
        <v/>
      </c>
      <c r="AU91" s="114" t="str">
        <f ca="1">IF(AU$57="","",INDEX(Leverancer!BV:BV,ROW()-ROW(Leverancer!$AU$25)-6)*Leverancer!BV$96/1000)</f>
        <v/>
      </c>
      <c r="AV91" s="114" t="str">
        <f ca="1">IF(AV$57="","",INDEX(Leverancer!BW:BW,ROW()-ROW(Leverancer!$AU$25)-6)*Leverancer!BW$96/1000)</f>
        <v/>
      </c>
      <c r="AW91" s="114" t="str">
        <f ca="1">IF(AW$57="","",INDEX(Leverancer!BX:BX,ROW()-ROW(Leverancer!$AU$25)-6)*Leverancer!BX$96/1000)</f>
        <v/>
      </c>
      <c r="AX91" s="90"/>
      <c r="AY91" s="90"/>
      <c r="AZ91" s="87"/>
    </row>
    <row r="92" spans="14:52" ht="12.75" hidden="1" customHeight="1" outlineLevel="1" x14ac:dyDescent="0.2">
      <c r="N92" s="85"/>
      <c r="O92" s="90"/>
      <c r="P92" s="90"/>
      <c r="Q92" s="116" t="str">
        <f>INDEX(Leverancer!$AO$1:$AO$1061,ROW()-ROW(Leverancer!$AU$25)-6)&amp;": "&amp;INDEX(Leverancer!$AP$1:$AP$1061,ROW()-ROW(Leverancer!$AU$25)-6)</f>
        <v xml:space="preserve">L33: </v>
      </c>
      <c r="R92" s="114"/>
      <c r="S92" s="119">
        <f t="shared" ca="1" si="12"/>
        <v>0</v>
      </c>
      <c r="T92" s="114">
        <f ca="1">IF(T$57="","",INDEX(Leverancer!AU:AU,ROW()-ROW(Leverancer!$AU$25)-6)*Leverancer!AU$96/1000)</f>
        <v>0</v>
      </c>
      <c r="U92" s="114">
        <f ca="1">IF(U$57="","",INDEX(Leverancer!AV:AV,ROW()-ROW(Leverancer!$AU$25)-6)*Leverancer!AV$96/1000)</f>
        <v>0</v>
      </c>
      <c r="V92" s="114">
        <f ca="1">IF(V$57="","",INDEX(Leverancer!AW:AW,ROW()-ROW(Leverancer!$AU$25)-6)*Leverancer!AW$96/1000)</f>
        <v>0</v>
      </c>
      <c r="W92" s="114">
        <f ca="1">IF(W$57="","",INDEX(Leverancer!AX:AX,ROW()-ROW(Leverancer!$AU$25)-6)*Leverancer!AX$96/1000)</f>
        <v>0</v>
      </c>
      <c r="X92" s="114" t="str">
        <f ca="1">IF(X$57="","",INDEX(Leverancer!AY:AY,ROW()-ROW(Leverancer!$AU$25)-6)*Leverancer!AY$96/1000)</f>
        <v/>
      </c>
      <c r="Y92" s="114" t="str">
        <f ca="1">IF(Y$57="","",INDEX(Leverancer!AZ:AZ,ROW()-ROW(Leverancer!$AU$25)-6)*Leverancer!AZ$96/1000)</f>
        <v/>
      </c>
      <c r="Z92" s="114" t="str">
        <f ca="1">IF(Z$57="","",INDEX(Leverancer!BA:BA,ROW()-ROW(Leverancer!$AU$25)-6)*Leverancer!BA$96/1000)</f>
        <v/>
      </c>
      <c r="AA92" s="114" t="str">
        <f ca="1">IF(AA$57="","",INDEX(Leverancer!BB:BB,ROW()-ROW(Leverancer!$AU$25)-6)*Leverancer!BB$96/1000)</f>
        <v/>
      </c>
      <c r="AB92" s="114" t="str">
        <f ca="1">IF(AB$57="","",INDEX(Leverancer!BC:BC,ROW()-ROW(Leverancer!$AU$25)-6)*Leverancer!BC$96/1000)</f>
        <v/>
      </c>
      <c r="AC92" s="114" t="str">
        <f ca="1">IF(AC$57="","",INDEX(Leverancer!BD:BD,ROW()-ROW(Leverancer!$AU$25)-6)*Leverancer!BD$96/1000)</f>
        <v/>
      </c>
      <c r="AD92" s="114" t="str">
        <f ca="1">IF(AD$57="","",INDEX(Leverancer!BE:BE,ROW()-ROW(Leverancer!$AU$25)-6)*Leverancer!BE$96/1000)</f>
        <v/>
      </c>
      <c r="AE92" s="114" t="str">
        <f ca="1">IF(AE$57="","",INDEX(Leverancer!BF:BF,ROW()-ROW(Leverancer!$AU$25)-6)*Leverancer!BF$96/1000)</f>
        <v/>
      </c>
      <c r="AF92" s="114" t="str">
        <f ca="1">IF(AF$57="","",INDEX(Leverancer!BG:BG,ROW()-ROW(Leverancer!$AU$25)-6)*Leverancer!BG$96/1000)</f>
        <v/>
      </c>
      <c r="AG92" s="114" t="str">
        <f ca="1">IF(AG$57="","",INDEX(Leverancer!BH:BH,ROW()-ROW(Leverancer!$AU$25)-6)*Leverancer!BH$96/1000)</f>
        <v/>
      </c>
      <c r="AH92" s="114" t="str">
        <f ca="1">IF(AH$57="","",INDEX(Leverancer!BI:BI,ROW()-ROW(Leverancer!$AU$25)-6)*Leverancer!BI$96/1000)</f>
        <v/>
      </c>
      <c r="AI92" s="114" t="str">
        <f ca="1">IF(AI$57="","",INDEX(Leverancer!BJ:BJ,ROW()-ROW(Leverancer!$AU$25)-6)*Leverancer!BJ$96/1000)</f>
        <v/>
      </c>
      <c r="AJ92" s="114" t="str">
        <f ca="1">IF(AJ$57="","",INDEX(Leverancer!BK:BK,ROW()-ROW(Leverancer!$AU$25)-6)*Leverancer!BK$96/1000)</f>
        <v/>
      </c>
      <c r="AK92" s="114" t="str">
        <f ca="1">IF(AK$57="","",INDEX(Leverancer!BL:BL,ROW()-ROW(Leverancer!$AU$25)-6)*Leverancer!BL$96/1000)</f>
        <v/>
      </c>
      <c r="AL92" s="114" t="str">
        <f ca="1">IF(AL$57="","",INDEX(Leverancer!BM:BM,ROW()-ROW(Leverancer!$AU$25)-6)*Leverancer!BM$96/1000)</f>
        <v/>
      </c>
      <c r="AM92" s="114" t="str">
        <f ca="1">IF(AM$57="","",INDEX(Leverancer!BN:BN,ROW()-ROW(Leverancer!$AU$25)-6)*Leverancer!BN$96/1000)</f>
        <v/>
      </c>
      <c r="AN92" s="114" t="str">
        <f ca="1">IF(AN$57="","",INDEX(Leverancer!BO:BO,ROW()-ROW(Leverancer!$AU$25)-6)*Leverancer!BO$96/1000)</f>
        <v/>
      </c>
      <c r="AO92" s="114" t="str">
        <f ca="1">IF(AO$57="","",INDEX(Leverancer!BP:BP,ROW()-ROW(Leverancer!$AU$25)-6)*Leverancer!BP$96/1000)</f>
        <v/>
      </c>
      <c r="AP92" s="114" t="str">
        <f ca="1">IF(AP$57="","",INDEX(Leverancer!BQ:BQ,ROW()-ROW(Leverancer!$AU$25)-6)*Leverancer!BQ$96/1000)</f>
        <v/>
      </c>
      <c r="AQ92" s="114" t="str">
        <f ca="1">IF(AQ$57="","",INDEX(Leverancer!BR:BR,ROW()-ROW(Leverancer!$AU$25)-6)*Leverancer!BR$96/1000)</f>
        <v/>
      </c>
      <c r="AR92" s="114" t="str">
        <f ca="1">IF(AR$57="","",INDEX(Leverancer!BS:BS,ROW()-ROW(Leverancer!$AU$25)-6)*Leverancer!BS$96/1000)</f>
        <v/>
      </c>
      <c r="AS92" s="114" t="str">
        <f ca="1">IF(AS$57="","",INDEX(Leverancer!BT:BT,ROW()-ROW(Leverancer!$AU$25)-6)*Leverancer!BT$96/1000)</f>
        <v/>
      </c>
      <c r="AT92" s="114" t="str">
        <f ca="1">IF(AT$57="","",INDEX(Leverancer!BU:BU,ROW()-ROW(Leverancer!$AU$25)-6)*Leverancer!BU$96/1000)</f>
        <v/>
      </c>
      <c r="AU92" s="114" t="str">
        <f ca="1">IF(AU$57="","",INDEX(Leverancer!BV:BV,ROW()-ROW(Leverancer!$AU$25)-6)*Leverancer!BV$96/1000)</f>
        <v/>
      </c>
      <c r="AV92" s="114" t="str">
        <f ca="1">IF(AV$57="","",INDEX(Leverancer!BW:BW,ROW()-ROW(Leverancer!$AU$25)-6)*Leverancer!BW$96/1000)</f>
        <v/>
      </c>
      <c r="AW92" s="114" t="str">
        <f ca="1">IF(AW$57="","",INDEX(Leverancer!BX:BX,ROW()-ROW(Leverancer!$AU$25)-6)*Leverancer!BX$96/1000)</f>
        <v/>
      </c>
      <c r="AX92" s="90"/>
      <c r="AY92" s="90"/>
      <c r="AZ92" s="87"/>
    </row>
    <row r="93" spans="14:52" ht="12.75" hidden="1" customHeight="1" outlineLevel="1" x14ac:dyDescent="0.2">
      <c r="N93" s="85"/>
      <c r="O93" s="90"/>
      <c r="P93" s="90"/>
      <c r="Q93" s="116" t="str">
        <f>INDEX(Leverancer!$AO$1:$AO$1061,ROW()-ROW(Leverancer!$AU$25)-6)&amp;": "&amp;INDEX(Leverancer!$AP$1:$AP$1061,ROW()-ROW(Leverancer!$AU$25)-6)</f>
        <v xml:space="preserve">L34: </v>
      </c>
      <c r="R93" s="114"/>
      <c r="S93" s="119">
        <f t="shared" ca="1" si="12"/>
        <v>0</v>
      </c>
      <c r="T93" s="114">
        <f ca="1">IF(T$57="","",INDEX(Leverancer!AU:AU,ROW()-ROW(Leverancer!$AU$25)-6)*Leverancer!AU$96/1000)</f>
        <v>0</v>
      </c>
      <c r="U93" s="114">
        <f ca="1">IF(U$57="","",INDEX(Leverancer!AV:AV,ROW()-ROW(Leverancer!$AU$25)-6)*Leverancer!AV$96/1000)</f>
        <v>0</v>
      </c>
      <c r="V93" s="114">
        <f ca="1">IF(V$57="","",INDEX(Leverancer!AW:AW,ROW()-ROW(Leverancer!$AU$25)-6)*Leverancer!AW$96/1000)</f>
        <v>0</v>
      </c>
      <c r="W93" s="114">
        <f ca="1">IF(W$57="","",INDEX(Leverancer!AX:AX,ROW()-ROW(Leverancer!$AU$25)-6)*Leverancer!AX$96/1000)</f>
        <v>0</v>
      </c>
      <c r="X93" s="114" t="str">
        <f ca="1">IF(X$57="","",INDEX(Leverancer!AY:AY,ROW()-ROW(Leverancer!$AU$25)-6)*Leverancer!AY$96/1000)</f>
        <v/>
      </c>
      <c r="Y93" s="114" t="str">
        <f ca="1">IF(Y$57="","",INDEX(Leverancer!AZ:AZ,ROW()-ROW(Leverancer!$AU$25)-6)*Leverancer!AZ$96/1000)</f>
        <v/>
      </c>
      <c r="Z93" s="114" t="str">
        <f ca="1">IF(Z$57="","",INDEX(Leverancer!BA:BA,ROW()-ROW(Leverancer!$AU$25)-6)*Leverancer!BA$96/1000)</f>
        <v/>
      </c>
      <c r="AA93" s="114" t="str">
        <f ca="1">IF(AA$57="","",INDEX(Leverancer!BB:BB,ROW()-ROW(Leverancer!$AU$25)-6)*Leverancer!BB$96/1000)</f>
        <v/>
      </c>
      <c r="AB93" s="114" t="str">
        <f ca="1">IF(AB$57="","",INDEX(Leverancer!BC:BC,ROW()-ROW(Leverancer!$AU$25)-6)*Leverancer!BC$96/1000)</f>
        <v/>
      </c>
      <c r="AC93" s="114" t="str">
        <f ca="1">IF(AC$57="","",INDEX(Leverancer!BD:BD,ROW()-ROW(Leverancer!$AU$25)-6)*Leverancer!BD$96/1000)</f>
        <v/>
      </c>
      <c r="AD93" s="114" t="str">
        <f ca="1">IF(AD$57="","",INDEX(Leverancer!BE:BE,ROW()-ROW(Leverancer!$AU$25)-6)*Leverancer!BE$96/1000)</f>
        <v/>
      </c>
      <c r="AE93" s="114" t="str">
        <f ca="1">IF(AE$57="","",INDEX(Leverancer!BF:BF,ROW()-ROW(Leverancer!$AU$25)-6)*Leverancer!BF$96/1000)</f>
        <v/>
      </c>
      <c r="AF93" s="114" t="str">
        <f ca="1">IF(AF$57="","",INDEX(Leverancer!BG:BG,ROW()-ROW(Leverancer!$AU$25)-6)*Leverancer!BG$96/1000)</f>
        <v/>
      </c>
      <c r="AG93" s="114" t="str">
        <f ca="1">IF(AG$57="","",INDEX(Leverancer!BH:BH,ROW()-ROW(Leverancer!$AU$25)-6)*Leverancer!BH$96/1000)</f>
        <v/>
      </c>
      <c r="AH93" s="114" t="str">
        <f ca="1">IF(AH$57="","",INDEX(Leverancer!BI:BI,ROW()-ROW(Leverancer!$AU$25)-6)*Leverancer!BI$96/1000)</f>
        <v/>
      </c>
      <c r="AI93" s="114" t="str">
        <f ca="1">IF(AI$57="","",INDEX(Leverancer!BJ:BJ,ROW()-ROW(Leverancer!$AU$25)-6)*Leverancer!BJ$96/1000)</f>
        <v/>
      </c>
      <c r="AJ93" s="114" t="str">
        <f ca="1">IF(AJ$57="","",INDEX(Leverancer!BK:BK,ROW()-ROW(Leverancer!$AU$25)-6)*Leverancer!BK$96/1000)</f>
        <v/>
      </c>
      <c r="AK93" s="114" t="str">
        <f ca="1">IF(AK$57="","",INDEX(Leverancer!BL:BL,ROW()-ROW(Leverancer!$AU$25)-6)*Leverancer!BL$96/1000)</f>
        <v/>
      </c>
      <c r="AL93" s="114" t="str">
        <f ca="1">IF(AL$57="","",INDEX(Leverancer!BM:BM,ROW()-ROW(Leverancer!$AU$25)-6)*Leverancer!BM$96/1000)</f>
        <v/>
      </c>
      <c r="AM93" s="114" t="str">
        <f ca="1">IF(AM$57="","",INDEX(Leverancer!BN:BN,ROW()-ROW(Leverancer!$AU$25)-6)*Leverancer!BN$96/1000)</f>
        <v/>
      </c>
      <c r="AN93" s="114" t="str">
        <f ca="1">IF(AN$57="","",INDEX(Leverancer!BO:BO,ROW()-ROW(Leverancer!$AU$25)-6)*Leverancer!BO$96/1000)</f>
        <v/>
      </c>
      <c r="AO93" s="114" t="str">
        <f ca="1">IF(AO$57="","",INDEX(Leverancer!BP:BP,ROW()-ROW(Leverancer!$AU$25)-6)*Leverancer!BP$96/1000)</f>
        <v/>
      </c>
      <c r="AP93" s="114" t="str">
        <f ca="1">IF(AP$57="","",INDEX(Leverancer!BQ:BQ,ROW()-ROW(Leverancer!$AU$25)-6)*Leverancer!BQ$96/1000)</f>
        <v/>
      </c>
      <c r="AQ93" s="114" t="str">
        <f ca="1">IF(AQ$57="","",INDEX(Leverancer!BR:BR,ROW()-ROW(Leverancer!$AU$25)-6)*Leverancer!BR$96/1000)</f>
        <v/>
      </c>
      <c r="AR93" s="114" t="str">
        <f ca="1">IF(AR$57="","",INDEX(Leverancer!BS:BS,ROW()-ROW(Leverancer!$AU$25)-6)*Leverancer!BS$96/1000)</f>
        <v/>
      </c>
      <c r="AS93" s="114" t="str">
        <f ca="1">IF(AS$57="","",INDEX(Leverancer!BT:BT,ROW()-ROW(Leverancer!$AU$25)-6)*Leverancer!BT$96/1000)</f>
        <v/>
      </c>
      <c r="AT93" s="114" t="str">
        <f ca="1">IF(AT$57="","",INDEX(Leverancer!BU:BU,ROW()-ROW(Leverancer!$AU$25)-6)*Leverancer!BU$96/1000)</f>
        <v/>
      </c>
      <c r="AU93" s="114" t="str">
        <f ca="1">IF(AU$57="","",INDEX(Leverancer!BV:BV,ROW()-ROW(Leverancer!$AU$25)-6)*Leverancer!BV$96/1000)</f>
        <v/>
      </c>
      <c r="AV93" s="114" t="str">
        <f ca="1">IF(AV$57="","",INDEX(Leverancer!BW:BW,ROW()-ROW(Leverancer!$AU$25)-6)*Leverancer!BW$96/1000)</f>
        <v/>
      </c>
      <c r="AW93" s="114" t="str">
        <f ca="1">IF(AW$57="","",INDEX(Leverancer!BX:BX,ROW()-ROW(Leverancer!$AU$25)-6)*Leverancer!BX$96/1000)</f>
        <v/>
      </c>
      <c r="AX93" s="90"/>
      <c r="AY93" s="90"/>
      <c r="AZ93" s="87"/>
    </row>
    <row r="94" spans="14:52" ht="12.75" hidden="1" customHeight="1" outlineLevel="1" x14ac:dyDescent="0.2">
      <c r="N94" s="85"/>
      <c r="O94" s="90"/>
      <c r="P94" s="90"/>
      <c r="Q94" s="116" t="str">
        <f>INDEX(Leverancer!$AO$1:$AO$1061,ROW()-ROW(Leverancer!$AU$25)-6)&amp;": "&amp;INDEX(Leverancer!$AP$1:$AP$1061,ROW()-ROW(Leverancer!$AU$25)-6)</f>
        <v xml:space="preserve">L35: </v>
      </c>
      <c r="R94" s="114"/>
      <c r="S94" s="119">
        <f t="shared" ca="1" si="12"/>
        <v>0</v>
      </c>
      <c r="T94" s="114">
        <f ca="1">IF(T$57="","",INDEX(Leverancer!AU:AU,ROW()-ROW(Leverancer!$AU$25)-6)*Leverancer!AU$96/1000)</f>
        <v>0</v>
      </c>
      <c r="U94" s="114">
        <f ca="1">IF(U$57="","",INDEX(Leverancer!AV:AV,ROW()-ROW(Leverancer!$AU$25)-6)*Leverancer!AV$96/1000)</f>
        <v>0</v>
      </c>
      <c r="V94" s="114">
        <f ca="1">IF(V$57="","",INDEX(Leverancer!AW:AW,ROW()-ROW(Leverancer!$AU$25)-6)*Leverancer!AW$96/1000)</f>
        <v>0</v>
      </c>
      <c r="W94" s="114">
        <f ca="1">IF(W$57="","",INDEX(Leverancer!AX:AX,ROW()-ROW(Leverancer!$AU$25)-6)*Leverancer!AX$96/1000)</f>
        <v>0</v>
      </c>
      <c r="X94" s="114" t="str">
        <f ca="1">IF(X$57="","",INDEX(Leverancer!AY:AY,ROW()-ROW(Leverancer!$AU$25)-6)*Leverancer!AY$96/1000)</f>
        <v/>
      </c>
      <c r="Y94" s="114" t="str">
        <f ca="1">IF(Y$57="","",INDEX(Leverancer!AZ:AZ,ROW()-ROW(Leverancer!$AU$25)-6)*Leverancer!AZ$96/1000)</f>
        <v/>
      </c>
      <c r="Z94" s="114" t="str">
        <f ca="1">IF(Z$57="","",INDEX(Leverancer!BA:BA,ROW()-ROW(Leverancer!$AU$25)-6)*Leverancer!BA$96/1000)</f>
        <v/>
      </c>
      <c r="AA94" s="114" t="str">
        <f ca="1">IF(AA$57="","",INDEX(Leverancer!BB:BB,ROW()-ROW(Leverancer!$AU$25)-6)*Leverancer!BB$96/1000)</f>
        <v/>
      </c>
      <c r="AB94" s="114" t="str">
        <f ca="1">IF(AB$57="","",INDEX(Leverancer!BC:BC,ROW()-ROW(Leverancer!$AU$25)-6)*Leverancer!BC$96/1000)</f>
        <v/>
      </c>
      <c r="AC94" s="114" t="str">
        <f ca="1">IF(AC$57="","",INDEX(Leverancer!BD:BD,ROW()-ROW(Leverancer!$AU$25)-6)*Leverancer!BD$96/1000)</f>
        <v/>
      </c>
      <c r="AD94" s="114" t="str">
        <f ca="1">IF(AD$57="","",INDEX(Leverancer!BE:BE,ROW()-ROW(Leverancer!$AU$25)-6)*Leverancer!BE$96/1000)</f>
        <v/>
      </c>
      <c r="AE94" s="114" t="str">
        <f ca="1">IF(AE$57="","",INDEX(Leverancer!BF:BF,ROW()-ROW(Leverancer!$AU$25)-6)*Leverancer!BF$96/1000)</f>
        <v/>
      </c>
      <c r="AF94" s="114" t="str">
        <f ca="1">IF(AF$57="","",INDEX(Leverancer!BG:BG,ROW()-ROW(Leverancer!$AU$25)-6)*Leverancer!BG$96/1000)</f>
        <v/>
      </c>
      <c r="AG94" s="114" t="str">
        <f ca="1">IF(AG$57="","",INDEX(Leverancer!BH:BH,ROW()-ROW(Leverancer!$AU$25)-6)*Leverancer!BH$96/1000)</f>
        <v/>
      </c>
      <c r="AH94" s="114" t="str">
        <f ca="1">IF(AH$57="","",INDEX(Leverancer!BI:BI,ROW()-ROW(Leverancer!$AU$25)-6)*Leverancer!BI$96/1000)</f>
        <v/>
      </c>
      <c r="AI94" s="114" t="str">
        <f ca="1">IF(AI$57="","",INDEX(Leverancer!BJ:BJ,ROW()-ROW(Leverancer!$AU$25)-6)*Leverancer!BJ$96/1000)</f>
        <v/>
      </c>
      <c r="AJ94" s="114" t="str">
        <f ca="1">IF(AJ$57="","",INDEX(Leverancer!BK:BK,ROW()-ROW(Leverancer!$AU$25)-6)*Leverancer!BK$96/1000)</f>
        <v/>
      </c>
      <c r="AK94" s="114" t="str">
        <f ca="1">IF(AK$57="","",INDEX(Leverancer!BL:BL,ROW()-ROW(Leverancer!$AU$25)-6)*Leverancer!BL$96/1000)</f>
        <v/>
      </c>
      <c r="AL94" s="114" t="str">
        <f ca="1">IF(AL$57="","",INDEX(Leverancer!BM:BM,ROW()-ROW(Leverancer!$AU$25)-6)*Leverancer!BM$96/1000)</f>
        <v/>
      </c>
      <c r="AM94" s="114" t="str">
        <f ca="1">IF(AM$57="","",INDEX(Leverancer!BN:BN,ROW()-ROW(Leverancer!$AU$25)-6)*Leverancer!BN$96/1000)</f>
        <v/>
      </c>
      <c r="AN94" s="114" t="str">
        <f ca="1">IF(AN$57="","",INDEX(Leverancer!BO:BO,ROW()-ROW(Leverancer!$AU$25)-6)*Leverancer!BO$96/1000)</f>
        <v/>
      </c>
      <c r="AO94" s="114" t="str">
        <f ca="1">IF(AO$57="","",INDEX(Leverancer!BP:BP,ROW()-ROW(Leverancer!$AU$25)-6)*Leverancer!BP$96/1000)</f>
        <v/>
      </c>
      <c r="AP94" s="114" t="str">
        <f ca="1">IF(AP$57="","",INDEX(Leverancer!BQ:BQ,ROW()-ROW(Leverancer!$AU$25)-6)*Leverancer!BQ$96/1000)</f>
        <v/>
      </c>
      <c r="AQ94" s="114" t="str">
        <f ca="1">IF(AQ$57="","",INDEX(Leverancer!BR:BR,ROW()-ROW(Leverancer!$AU$25)-6)*Leverancer!BR$96/1000)</f>
        <v/>
      </c>
      <c r="AR94" s="114" t="str">
        <f ca="1">IF(AR$57="","",INDEX(Leverancer!BS:BS,ROW()-ROW(Leverancer!$AU$25)-6)*Leverancer!BS$96/1000)</f>
        <v/>
      </c>
      <c r="AS94" s="114" t="str">
        <f ca="1">IF(AS$57="","",INDEX(Leverancer!BT:BT,ROW()-ROW(Leverancer!$AU$25)-6)*Leverancer!BT$96/1000)</f>
        <v/>
      </c>
      <c r="AT94" s="114" t="str">
        <f ca="1">IF(AT$57="","",INDEX(Leverancer!BU:BU,ROW()-ROW(Leverancer!$AU$25)-6)*Leverancer!BU$96/1000)</f>
        <v/>
      </c>
      <c r="AU94" s="114" t="str">
        <f ca="1">IF(AU$57="","",INDEX(Leverancer!BV:BV,ROW()-ROW(Leverancer!$AU$25)-6)*Leverancer!BV$96/1000)</f>
        <v/>
      </c>
      <c r="AV94" s="114" t="str">
        <f ca="1">IF(AV$57="","",INDEX(Leverancer!BW:BW,ROW()-ROW(Leverancer!$AU$25)-6)*Leverancer!BW$96/1000)</f>
        <v/>
      </c>
      <c r="AW94" s="114" t="str">
        <f ca="1">IF(AW$57="","",INDEX(Leverancer!BX:BX,ROW()-ROW(Leverancer!$AU$25)-6)*Leverancer!BX$96/1000)</f>
        <v/>
      </c>
      <c r="AX94" s="90"/>
      <c r="AY94" s="90"/>
      <c r="AZ94" s="87"/>
    </row>
    <row r="95" spans="14:52" ht="12.75" hidden="1" customHeight="1" outlineLevel="1" x14ac:dyDescent="0.2">
      <c r="N95" s="85"/>
      <c r="O95" s="90"/>
      <c r="P95" s="90"/>
      <c r="Q95" s="116" t="str">
        <f>INDEX(Leverancer!$AO$1:$AO$1061,ROW()-ROW(Leverancer!$AU$25)-6)&amp;": "&amp;INDEX(Leverancer!$AP$1:$AP$1061,ROW()-ROW(Leverancer!$AU$25)-6)</f>
        <v xml:space="preserve">L36: </v>
      </c>
      <c r="R95" s="114"/>
      <c r="S95" s="119">
        <f t="shared" ca="1" si="12"/>
        <v>0</v>
      </c>
      <c r="T95" s="114">
        <f ca="1">IF(T$57="","",INDEX(Leverancer!AU:AU,ROW()-ROW(Leverancer!$AU$25)-6)*Leverancer!AU$96/1000)</f>
        <v>0</v>
      </c>
      <c r="U95" s="114">
        <f ca="1">IF(U$57="","",INDEX(Leverancer!AV:AV,ROW()-ROW(Leverancer!$AU$25)-6)*Leverancer!AV$96/1000)</f>
        <v>0</v>
      </c>
      <c r="V95" s="114">
        <f ca="1">IF(V$57="","",INDEX(Leverancer!AW:AW,ROW()-ROW(Leverancer!$AU$25)-6)*Leverancer!AW$96/1000)</f>
        <v>0</v>
      </c>
      <c r="W95" s="114">
        <f ca="1">IF(W$57="","",INDEX(Leverancer!AX:AX,ROW()-ROW(Leverancer!$AU$25)-6)*Leverancer!AX$96/1000)</f>
        <v>0</v>
      </c>
      <c r="X95" s="114" t="str">
        <f ca="1">IF(X$57="","",INDEX(Leverancer!AY:AY,ROW()-ROW(Leverancer!$AU$25)-6)*Leverancer!AY$96/1000)</f>
        <v/>
      </c>
      <c r="Y95" s="114" t="str">
        <f ca="1">IF(Y$57="","",INDEX(Leverancer!AZ:AZ,ROW()-ROW(Leverancer!$AU$25)-6)*Leverancer!AZ$96/1000)</f>
        <v/>
      </c>
      <c r="Z95" s="114" t="str">
        <f ca="1">IF(Z$57="","",INDEX(Leverancer!BA:BA,ROW()-ROW(Leverancer!$AU$25)-6)*Leverancer!BA$96/1000)</f>
        <v/>
      </c>
      <c r="AA95" s="114" t="str">
        <f ca="1">IF(AA$57="","",INDEX(Leverancer!BB:BB,ROW()-ROW(Leverancer!$AU$25)-6)*Leverancer!BB$96/1000)</f>
        <v/>
      </c>
      <c r="AB95" s="114" t="str">
        <f ca="1">IF(AB$57="","",INDEX(Leverancer!BC:BC,ROW()-ROW(Leverancer!$AU$25)-6)*Leverancer!BC$96/1000)</f>
        <v/>
      </c>
      <c r="AC95" s="114" t="str">
        <f ca="1">IF(AC$57="","",INDEX(Leverancer!BD:BD,ROW()-ROW(Leverancer!$AU$25)-6)*Leverancer!BD$96/1000)</f>
        <v/>
      </c>
      <c r="AD95" s="114" t="str">
        <f ca="1">IF(AD$57="","",INDEX(Leverancer!BE:BE,ROW()-ROW(Leverancer!$AU$25)-6)*Leverancer!BE$96/1000)</f>
        <v/>
      </c>
      <c r="AE95" s="114" t="str">
        <f ca="1">IF(AE$57="","",INDEX(Leverancer!BF:BF,ROW()-ROW(Leverancer!$AU$25)-6)*Leverancer!BF$96/1000)</f>
        <v/>
      </c>
      <c r="AF95" s="114" t="str">
        <f ca="1">IF(AF$57="","",INDEX(Leverancer!BG:BG,ROW()-ROW(Leverancer!$AU$25)-6)*Leverancer!BG$96/1000)</f>
        <v/>
      </c>
      <c r="AG95" s="114" t="str">
        <f ca="1">IF(AG$57="","",INDEX(Leverancer!BH:BH,ROW()-ROW(Leverancer!$AU$25)-6)*Leverancer!BH$96/1000)</f>
        <v/>
      </c>
      <c r="AH95" s="114" t="str">
        <f ca="1">IF(AH$57="","",INDEX(Leverancer!BI:BI,ROW()-ROW(Leverancer!$AU$25)-6)*Leverancer!BI$96/1000)</f>
        <v/>
      </c>
      <c r="AI95" s="114" t="str">
        <f ca="1">IF(AI$57="","",INDEX(Leverancer!BJ:BJ,ROW()-ROW(Leverancer!$AU$25)-6)*Leverancer!BJ$96/1000)</f>
        <v/>
      </c>
      <c r="AJ95" s="114" t="str">
        <f ca="1">IF(AJ$57="","",INDEX(Leverancer!BK:BK,ROW()-ROW(Leverancer!$AU$25)-6)*Leverancer!BK$96/1000)</f>
        <v/>
      </c>
      <c r="AK95" s="114" t="str">
        <f ca="1">IF(AK$57="","",INDEX(Leverancer!BL:BL,ROW()-ROW(Leverancer!$AU$25)-6)*Leverancer!BL$96/1000)</f>
        <v/>
      </c>
      <c r="AL95" s="114" t="str">
        <f ca="1">IF(AL$57="","",INDEX(Leverancer!BM:BM,ROW()-ROW(Leverancer!$AU$25)-6)*Leverancer!BM$96/1000)</f>
        <v/>
      </c>
      <c r="AM95" s="114" t="str">
        <f ca="1">IF(AM$57="","",INDEX(Leverancer!BN:BN,ROW()-ROW(Leverancer!$AU$25)-6)*Leverancer!BN$96/1000)</f>
        <v/>
      </c>
      <c r="AN95" s="114" t="str">
        <f ca="1">IF(AN$57="","",INDEX(Leverancer!BO:BO,ROW()-ROW(Leverancer!$AU$25)-6)*Leverancer!BO$96/1000)</f>
        <v/>
      </c>
      <c r="AO95" s="114" t="str">
        <f ca="1">IF(AO$57="","",INDEX(Leverancer!BP:BP,ROW()-ROW(Leverancer!$AU$25)-6)*Leverancer!BP$96/1000)</f>
        <v/>
      </c>
      <c r="AP95" s="114" t="str">
        <f ca="1">IF(AP$57="","",INDEX(Leverancer!BQ:BQ,ROW()-ROW(Leverancer!$AU$25)-6)*Leverancer!BQ$96/1000)</f>
        <v/>
      </c>
      <c r="AQ95" s="114" t="str">
        <f ca="1">IF(AQ$57="","",INDEX(Leverancer!BR:BR,ROW()-ROW(Leverancer!$AU$25)-6)*Leverancer!BR$96/1000)</f>
        <v/>
      </c>
      <c r="AR95" s="114" t="str">
        <f ca="1">IF(AR$57="","",INDEX(Leverancer!BS:BS,ROW()-ROW(Leverancer!$AU$25)-6)*Leverancer!BS$96/1000)</f>
        <v/>
      </c>
      <c r="AS95" s="114" t="str">
        <f ca="1">IF(AS$57="","",INDEX(Leverancer!BT:BT,ROW()-ROW(Leverancer!$AU$25)-6)*Leverancer!BT$96/1000)</f>
        <v/>
      </c>
      <c r="AT95" s="114" t="str">
        <f ca="1">IF(AT$57="","",INDEX(Leverancer!BU:BU,ROW()-ROW(Leverancer!$AU$25)-6)*Leverancer!BU$96/1000)</f>
        <v/>
      </c>
      <c r="AU95" s="114" t="str">
        <f ca="1">IF(AU$57="","",INDEX(Leverancer!BV:BV,ROW()-ROW(Leverancer!$AU$25)-6)*Leverancer!BV$96/1000)</f>
        <v/>
      </c>
      <c r="AV95" s="114" t="str">
        <f ca="1">IF(AV$57="","",INDEX(Leverancer!BW:BW,ROW()-ROW(Leverancer!$AU$25)-6)*Leverancer!BW$96/1000)</f>
        <v/>
      </c>
      <c r="AW95" s="114" t="str">
        <f ca="1">IF(AW$57="","",INDEX(Leverancer!BX:BX,ROW()-ROW(Leverancer!$AU$25)-6)*Leverancer!BX$96/1000)</f>
        <v/>
      </c>
      <c r="AX95" s="90"/>
      <c r="AY95" s="90"/>
      <c r="AZ95" s="87"/>
    </row>
    <row r="96" spans="14:52" ht="12.75" hidden="1" customHeight="1" outlineLevel="1" x14ac:dyDescent="0.2">
      <c r="N96" s="85"/>
      <c r="O96" s="90"/>
      <c r="P96" s="90"/>
      <c r="Q96" s="116" t="str">
        <f>INDEX(Leverancer!$AO$1:$AO$1061,ROW()-ROW(Leverancer!$AU$25)-6)&amp;": "&amp;INDEX(Leverancer!$AP$1:$AP$1061,ROW()-ROW(Leverancer!$AU$25)-6)</f>
        <v xml:space="preserve">L37: </v>
      </c>
      <c r="R96" s="114"/>
      <c r="S96" s="119">
        <f t="shared" ca="1" si="12"/>
        <v>0</v>
      </c>
      <c r="T96" s="114">
        <f ca="1">IF(T$57="","",INDEX(Leverancer!AU:AU,ROW()-ROW(Leverancer!$AU$25)-6)*Leverancer!AU$96/1000)</f>
        <v>0</v>
      </c>
      <c r="U96" s="114">
        <f ca="1">IF(U$57="","",INDEX(Leverancer!AV:AV,ROW()-ROW(Leverancer!$AU$25)-6)*Leverancer!AV$96/1000)</f>
        <v>0</v>
      </c>
      <c r="V96" s="114">
        <f ca="1">IF(V$57="","",INDEX(Leverancer!AW:AW,ROW()-ROW(Leverancer!$AU$25)-6)*Leverancer!AW$96/1000)</f>
        <v>0</v>
      </c>
      <c r="W96" s="114">
        <f ca="1">IF(W$57="","",INDEX(Leverancer!AX:AX,ROW()-ROW(Leverancer!$AU$25)-6)*Leverancer!AX$96/1000)</f>
        <v>0</v>
      </c>
      <c r="X96" s="114" t="str">
        <f ca="1">IF(X$57="","",INDEX(Leverancer!AY:AY,ROW()-ROW(Leverancer!$AU$25)-6)*Leverancer!AY$96/1000)</f>
        <v/>
      </c>
      <c r="Y96" s="114" t="str">
        <f ca="1">IF(Y$57="","",INDEX(Leverancer!AZ:AZ,ROW()-ROW(Leverancer!$AU$25)-6)*Leverancer!AZ$96/1000)</f>
        <v/>
      </c>
      <c r="Z96" s="114" t="str">
        <f ca="1">IF(Z$57="","",INDEX(Leverancer!BA:BA,ROW()-ROW(Leverancer!$AU$25)-6)*Leverancer!BA$96/1000)</f>
        <v/>
      </c>
      <c r="AA96" s="114" t="str">
        <f ca="1">IF(AA$57="","",INDEX(Leverancer!BB:BB,ROW()-ROW(Leverancer!$AU$25)-6)*Leverancer!BB$96/1000)</f>
        <v/>
      </c>
      <c r="AB96" s="114" t="str">
        <f ca="1">IF(AB$57="","",INDEX(Leverancer!BC:BC,ROW()-ROW(Leverancer!$AU$25)-6)*Leverancer!BC$96/1000)</f>
        <v/>
      </c>
      <c r="AC96" s="114" t="str">
        <f ca="1">IF(AC$57="","",INDEX(Leverancer!BD:BD,ROW()-ROW(Leverancer!$AU$25)-6)*Leverancer!BD$96/1000)</f>
        <v/>
      </c>
      <c r="AD96" s="114" t="str">
        <f ca="1">IF(AD$57="","",INDEX(Leverancer!BE:BE,ROW()-ROW(Leverancer!$AU$25)-6)*Leverancer!BE$96/1000)</f>
        <v/>
      </c>
      <c r="AE96" s="114" t="str">
        <f ca="1">IF(AE$57="","",INDEX(Leverancer!BF:BF,ROW()-ROW(Leverancer!$AU$25)-6)*Leverancer!BF$96/1000)</f>
        <v/>
      </c>
      <c r="AF96" s="114" t="str">
        <f ca="1">IF(AF$57="","",INDEX(Leverancer!BG:BG,ROW()-ROW(Leverancer!$AU$25)-6)*Leverancer!BG$96/1000)</f>
        <v/>
      </c>
      <c r="AG96" s="114" t="str">
        <f ca="1">IF(AG$57="","",INDEX(Leverancer!BH:BH,ROW()-ROW(Leverancer!$AU$25)-6)*Leverancer!BH$96/1000)</f>
        <v/>
      </c>
      <c r="AH96" s="114" t="str">
        <f ca="1">IF(AH$57="","",INDEX(Leverancer!BI:BI,ROW()-ROW(Leverancer!$AU$25)-6)*Leverancer!BI$96/1000)</f>
        <v/>
      </c>
      <c r="AI96" s="114" t="str">
        <f ca="1">IF(AI$57="","",INDEX(Leverancer!BJ:BJ,ROW()-ROW(Leverancer!$AU$25)-6)*Leverancer!BJ$96/1000)</f>
        <v/>
      </c>
      <c r="AJ96" s="114" t="str">
        <f ca="1">IF(AJ$57="","",INDEX(Leverancer!BK:BK,ROW()-ROW(Leverancer!$AU$25)-6)*Leverancer!BK$96/1000)</f>
        <v/>
      </c>
      <c r="AK96" s="114" t="str">
        <f ca="1">IF(AK$57="","",INDEX(Leverancer!BL:BL,ROW()-ROW(Leverancer!$AU$25)-6)*Leverancer!BL$96/1000)</f>
        <v/>
      </c>
      <c r="AL96" s="114" t="str">
        <f ca="1">IF(AL$57="","",INDEX(Leverancer!BM:BM,ROW()-ROW(Leverancer!$AU$25)-6)*Leverancer!BM$96/1000)</f>
        <v/>
      </c>
      <c r="AM96" s="114" t="str">
        <f ca="1">IF(AM$57="","",INDEX(Leverancer!BN:BN,ROW()-ROW(Leverancer!$AU$25)-6)*Leverancer!BN$96/1000)</f>
        <v/>
      </c>
      <c r="AN96" s="114" t="str">
        <f ca="1">IF(AN$57="","",INDEX(Leverancer!BO:BO,ROW()-ROW(Leverancer!$AU$25)-6)*Leverancer!BO$96/1000)</f>
        <v/>
      </c>
      <c r="AO96" s="114" t="str">
        <f ca="1">IF(AO$57="","",INDEX(Leverancer!BP:BP,ROW()-ROW(Leverancer!$AU$25)-6)*Leverancer!BP$96/1000)</f>
        <v/>
      </c>
      <c r="AP96" s="114" t="str">
        <f ca="1">IF(AP$57="","",INDEX(Leverancer!BQ:BQ,ROW()-ROW(Leverancer!$AU$25)-6)*Leverancer!BQ$96/1000)</f>
        <v/>
      </c>
      <c r="AQ96" s="114" t="str">
        <f ca="1">IF(AQ$57="","",INDEX(Leverancer!BR:BR,ROW()-ROW(Leverancer!$AU$25)-6)*Leverancer!BR$96/1000)</f>
        <v/>
      </c>
      <c r="AR96" s="114" t="str">
        <f ca="1">IF(AR$57="","",INDEX(Leverancer!BS:BS,ROW()-ROW(Leverancer!$AU$25)-6)*Leverancer!BS$96/1000)</f>
        <v/>
      </c>
      <c r="AS96" s="114" t="str">
        <f ca="1">IF(AS$57="","",INDEX(Leverancer!BT:BT,ROW()-ROW(Leverancer!$AU$25)-6)*Leverancer!BT$96/1000)</f>
        <v/>
      </c>
      <c r="AT96" s="114" t="str">
        <f ca="1">IF(AT$57="","",INDEX(Leverancer!BU:BU,ROW()-ROW(Leverancer!$AU$25)-6)*Leverancer!BU$96/1000)</f>
        <v/>
      </c>
      <c r="AU96" s="114" t="str">
        <f ca="1">IF(AU$57="","",INDEX(Leverancer!BV:BV,ROW()-ROW(Leverancer!$AU$25)-6)*Leverancer!BV$96/1000)</f>
        <v/>
      </c>
      <c r="AV96" s="114" t="str">
        <f ca="1">IF(AV$57="","",INDEX(Leverancer!BW:BW,ROW()-ROW(Leverancer!$AU$25)-6)*Leverancer!BW$96/1000)</f>
        <v/>
      </c>
      <c r="AW96" s="114" t="str">
        <f ca="1">IF(AW$57="","",INDEX(Leverancer!BX:BX,ROW()-ROW(Leverancer!$AU$25)-6)*Leverancer!BX$96/1000)</f>
        <v/>
      </c>
      <c r="AX96" s="90"/>
      <c r="AY96" s="90"/>
      <c r="AZ96" s="87"/>
    </row>
    <row r="97" spans="14:52" ht="12.75" hidden="1" customHeight="1" outlineLevel="1" x14ac:dyDescent="0.2">
      <c r="N97" s="85"/>
      <c r="O97" s="90"/>
      <c r="P97" s="90"/>
      <c r="Q97" s="116" t="str">
        <f>INDEX(Leverancer!$AO$1:$AO$1061,ROW()-ROW(Leverancer!$AU$25)-6)&amp;": "&amp;INDEX(Leverancer!$AP$1:$AP$1061,ROW()-ROW(Leverancer!$AU$25)-6)</f>
        <v xml:space="preserve">L38: </v>
      </c>
      <c r="R97" s="114"/>
      <c r="S97" s="119">
        <f t="shared" ca="1" si="12"/>
        <v>0</v>
      </c>
      <c r="T97" s="114">
        <f ca="1">IF(T$57="","",INDEX(Leverancer!AU:AU,ROW()-ROW(Leverancer!$AU$25)-6)*Leverancer!AU$96/1000)</f>
        <v>0</v>
      </c>
      <c r="U97" s="114">
        <f ca="1">IF(U$57="","",INDEX(Leverancer!AV:AV,ROW()-ROW(Leverancer!$AU$25)-6)*Leverancer!AV$96/1000)</f>
        <v>0</v>
      </c>
      <c r="V97" s="114">
        <f ca="1">IF(V$57="","",INDEX(Leverancer!AW:AW,ROW()-ROW(Leverancer!$AU$25)-6)*Leverancer!AW$96/1000)</f>
        <v>0</v>
      </c>
      <c r="W97" s="114">
        <f ca="1">IF(W$57="","",INDEX(Leverancer!AX:AX,ROW()-ROW(Leverancer!$AU$25)-6)*Leverancer!AX$96/1000)</f>
        <v>0</v>
      </c>
      <c r="X97" s="114" t="str">
        <f ca="1">IF(X$57="","",INDEX(Leverancer!AY:AY,ROW()-ROW(Leverancer!$AU$25)-6)*Leverancer!AY$96/1000)</f>
        <v/>
      </c>
      <c r="Y97" s="114" t="str">
        <f ca="1">IF(Y$57="","",INDEX(Leverancer!AZ:AZ,ROW()-ROW(Leverancer!$AU$25)-6)*Leverancer!AZ$96/1000)</f>
        <v/>
      </c>
      <c r="Z97" s="114" t="str">
        <f ca="1">IF(Z$57="","",INDEX(Leverancer!BA:BA,ROW()-ROW(Leverancer!$AU$25)-6)*Leverancer!BA$96/1000)</f>
        <v/>
      </c>
      <c r="AA97" s="114" t="str">
        <f ca="1">IF(AA$57="","",INDEX(Leverancer!BB:BB,ROW()-ROW(Leverancer!$AU$25)-6)*Leverancer!BB$96/1000)</f>
        <v/>
      </c>
      <c r="AB97" s="114" t="str">
        <f ca="1">IF(AB$57="","",INDEX(Leverancer!BC:BC,ROW()-ROW(Leverancer!$AU$25)-6)*Leverancer!BC$96/1000)</f>
        <v/>
      </c>
      <c r="AC97" s="114" t="str">
        <f ca="1">IF(AC$57="","",INDEX(Leverancer!BD:BD,ROW()-ROW(Leverancer!$AU$25)-6)*Leverancer!BD$96/1000)</f>
        <v/>
      </c>
      <c r="AD97" s="114" t="str">
        <f ca="1">IF(AD$57="","",INDEX(Leverancer!BE:BE,ROW()-ROW(Leverancer!$AU$25)-6)*Leverancer!BE$96/1000)</f>
        <v/>
      </c>
      <c r="AE97" s="114" t="str">
        <f ca="1">IF(AE$57="","",INDEX(Leverancer!BF:BF,ROW()-ROW(Leverancer!$AU$25)-6)*Leverancer!BF$96/1000)</f>
        <v/>
      </c>
      <c r="AF97" s="114" t="str">
        <f ca="1">IF(AF$57="","",INDEX(Leverancer!BG:BG,ROW()-ROW(Leverancer!$AU$25)-6)*Leverancer!BG$96/1000)</f>
        <v/>
      </c>
      <c r="AG97" s="114" t="str">
        <f ca="1">IF(AG$57="","",INDEX(Leverancer!BH:BH,ROW()-ROW(Leverancer!$AU$25)-6)*Leverancer!BH$96/1000)</f>
        <v/>
      </c>
      <c r="AH97" s="114" t="str">
        <f ca="1">IF(AH$57="","",INDEX(Leverancer!BI:BI,ROW()-ROW(Leverancer!$AU$25)-6)*Leverancer!BI$96/1000)</f>
        <v/>
      </c>
      <c r="AI97" s="114" t="str">
        <f ca="1">IF(AI$57="","",INDEX(Leverancer!BJ:BJ,ROW()-ROW(Leverancer!$AU$25)-6)*Leverancer!BJ$96/1000)</f>
        <v/>
      </c>
      <c r="AJ97" s="114" t="str">
        <f ca="1">IF(AJ$57="","",INDEX(Leverancer!BK:BK,ROW()-ROW(Leverancer!$AU$25)-6)*Leverancer!BK$96/1000)</f>
        <v/>
      </c>
      <c r="AK97" s="114" t="str">
        <f ca="1">IF(AK$57="","",INDEX(Leverancer!BL:BL,ROW()-ROW(Leverancer!$AU$25)-6)*Leverancer!BL$96/1000)</f>
        <v/>
      </c>
      <c r="AL97" s="114" t="str">
        <f ca="1">IF(AL$57="","",INDEX(Leverancer!BM:BM,ROW()-ROW(Leverancer!$AU$25)-6)*Leverancer!BM$96/1000)</f>
        <v/>
      </c>
      <c r="AM97" s="114" t="str">
        <f ca="1">IF(AM$57="","",INDEX(Leverancer!BN:BN,ROW()-ROW(Leverancer!$AU$25)-6)*Leverancer!BN$96/1000)</f>
        <v/>
      </c>
      <c r="AN97" s="114" t="str">
        <f ca="1">IF(AN$57="","",INDEX(Leverancer!BO:BO,ROW()-ROW(Leverancer!$AU$25)-6)*Leverancer!BO$96/1000)</f>
        <v/>
      </c>
      <c r="AO97" s="114" t="str">
        <f ca="1">IF(AO$57="","",INDEX(Leverancer!BP:BP,ROW()-ROW(Leverancer!$AU$25)-6)*Leverancer!BP$96/1000)</f>
        <v/>
      </c>
      <c r="AP97" s="114" t="str">
        <f ca="1">IF(AP$57="","",INDEX(Leverancer!BQ:BQ,ROW()-ROW(Leverancer!$AU$25)-6)*Leverancer!BQ$96/1000)</f>
        <v/>
      </c>
      <c r="AQ97" s="114" t="str">
        <f ca="1">IF(AQ$57="","",INDEX(Leverancer!BR:BR,ROW()-ROW(Leverancer!$AU$25)-6)*Leverancer!BR$96/1000)</f>
        <v/>
      </c>
      <c r="AR97" s="114" t="str">
        <f ca="1">IF(AR$57="","",INDEX(Leverancer!BS:BS,ROW()-ROW(Leverancer!$AU$25)-6)*Leverancer!BS$96/1000)</f>
        <v/>
      </c>
      <c r="AS97" s="114" t="str">
        <f ca="1">IF(AS$57="","",INDEX(Leverancer!BT:BT,ROW()-ROW(Leverancer!$AU$25)-6)*Leverancer!BT$96/1000)</f>
        <v/>
      </c>
      <c r="AT97" s="114" t="str">
        <f ca="1">IF(AT$57="","",INDEX(Leverancer!BU:BU,ROW()-ROW(Leverancer!$AU$25)-6)*Leverancer!BU$96/1000)</f>
        <v/>
      </c>
      <c r="AU97" s="114" t="str">
        <f ca="1">IF(AU$57="","",INDEX(Leverancer!BV:BV,ROW()-ROW(Leverancer!$AU$25)-6)*Leverancer!BV$96/1000)</f>
        <v/>
      </c>
      <c r="AV97" s="114" t="str">
        <f ca="1">IF(AV$57="","",INDEX(Leverancer!BW:BW,ROW()-ROW(Leverancer!$AU$25)-6)*Leverancer!BW$96/1000)</f>
        <v/>
      </c>
      <c r="AW97" s="114" t="str">
        <f ca="1">IF(AW$57="","",INDEX(Leverancer!BX:BX,ROW()-ROW(Leverancer!$AU$25)-6)*Leverancer!BX$96/1000)</f>
        <v/>
      </c>
      <c r="AX97" s="90"/>
      <c r="AY97" s="90"/>
      <c r="AZ97" s="87"/>
    </row>
    <row r="98" spans="14:52" ht="12.75" hidden="1" customHeight="1" outlineLevel="1" x14ac:dyDescent="0.2">
      <c r="N98" s="85"/>
      <c r="O98" s="90"/>
      <c r="P98" s="90"/>
      <c r="Q98" s="116" t="str">
        <f>INDEX(Leverancer!$AO$1:$AO$1061,ROW()-ROW(Leverancer!$AU$25)-6)&amp;": "&amp;INDEX(Leverancer!$AP$1:$AP$1061,ROW()-ROW(Leverancer!$AU$25)-6)</f>
        <v xml:space="preserve">L39: </v>
      </c>
      <c r="R98" s="114"/>
      <c r="S98" s="119">
        <f t="shared" ca="1" si="12"/>
        <v>0</v>
      </c>
      <c r="T98" s="114">
        <f ca="1">IF(T$57="","",INDEX(Leverancer!AU:AU,ROW()-ROW(Leverancer!$AU$25)-6)*Leverancer!AU$96/1000)</f>
        <v>0</v>
      </c>
      <c r="U98" s="114">
        <f ca="1">IF(U$57="","",INDEX(Leverancer!AV:AV,ROW()-ROW(Leverancer!$AU$25)-6)*Leverancer!AV$96/1000)</f>
        <v>0</v>
      </c>
      <c r="V98" s="114">
        <f ca="1">IF(V$57="","",INDEX(Leverancer!AW:AW,ROW()-ROW(Leverancer!$AU$25)-6)*Leverancer!AW$96/1000)</f>
        <v>0</v>
      </c>
      <c r="W98" s="114">
        <f ca="1">IF(W$57="","",INDEX(Leverancer!AX:AX,ROW()-ROW(Leverancer!$AU$25)-6)*Leverancer!AX$96/1000)</f>
        <v>0</v>
      </c>
      <c r="X98" s="114" t="str">
        <f ca="1">IF(X$57="","",INDEX(Leverancer!AY:AY,ROW()-ROW(Leverancer!$AU$25)-6)*Leverancer!AY$96/1000)</f>
        <v/>
      </c>
      <c r="Y98" s="114" t="str">
        <f ca="1">IF(Y$57="","",INDEX(Leverancer!AZ:AZ,ROW()-ROW(Leverancer!$AU$25)-6)*Leverancer!AZ$96/1000)</f>
        <v/>
      </c>
      <c r="Z98" s="114" t="str">
        <f ca="1">IF(Z$57="","",INDEX(Leverancer!BA:BA,ROW()-ROW(Leverancer!$AU$25)-6)*Leverancer!BA$96/1000)</f>
        <v/>
      </c>
      <c r="AA98" s="114" t="str">
        <f ca="1">IF(AA$57="","",INDEX(Leverancer!BB:BB,ROW()-ROW(Leverancer!$AU$25)-6)*Leverancer!BB$96/1000)</f>
        <v/>
      </c>
      <c r="AB98" s="114" t="str">
        <f ca="1">IF(AB$57="","",INDEX(Leverancer!BC:BC,ROW()-ROW(Leverancer!$AU$25)-6)*Leverancer!BC$96/1000)</f>
        <v/>
      </c>
      <c r="AC98" s="114" t="str">
        <f ca="1">IF(AC$57="","",INDEX(Leverancer!BD:BD,ROW()-ROW(Leverancer!$AU$25)-6)*Leverancer!BD$96/1000)</f>
        <v/>
      </c>
      <c r="AD98" s="114" t="str">
        <f ca="1">IF(AD$57="","",INDEX(Leverancer!BE:BE,ROW()-ROW(Leverancer!$AU$25)-6)*Leverancer!BE$96/1000)</f>
        <v/>
      </c>
      <c r="AE98" s="114" t="str">
        <f ca="1">IF(AE$57="","",INDEX(Leverancer!BF:BF,ROW()-ROW(Leverancer!$AU$25)-6)*Leverancer!BF$96/1000)</f>
        <v/>
      </c>
      <c r="AF98" s="114" t="str">
        <f ca="1">IF(AF$57="","",INDEX(Leverancer!BG:BG,ROW()-ROW(Leverancer!$AU$25)-6)*Leverancer!BG$96/1000)</f>
        <v/>
      </c>
      <c r="AG98" s="114" t="str">
        <f ca="1">IF(AG$57="","",INDEX(Leverancer!BH:BH,ROW()-ROW(Leverancer!$AU$25)-6)*Leverancer!BH$96/1000)</f>
        <v/>
      </c>
      <c r="AH98" s="114" t="str">
        <f ca="1">IF(AH$57="","",INDEX(Leverancer!BI:BI,ROW()-ROW(Leverancer!$AU$25)-6)*Leverancer!BI$96/1000)</f>
        <v/>
      </c>
      <c r="AI98" s="114" t="str">
        <f ca="1">IF(AI$57="","",INDEX(Leverancer!BJ:BJ,ROW()-ROW(Leverancer!$AU$25)-6)*Leverancer!BJ$96/1000)</f>
        <v/>
      </c>
      <c r="AJ98" s="114" t="str">
        <f ca="1">IF(AJ$57="","",INDEX(Leverancer!BK:BK,ROW()-ROW(Leverancer!$AU$25)-6)*Leverancer!BK$96/1000)</f>
        <v/>
      </c>
      <c r="AK98" s="114" t="str">
        <f ca="1">IF(AK$57="","",INDEX(Leverancer!BL:BL,ROW()-ROW(Leverancer!$AU$25)-6)*Leverancer!BL$96/1000)</f>
        <v/>
      </c>
      <c r="AL98" s="114" t="str">
        <f ca="1">IF(AL$57="","",INDEX(Leverancer!BM:BM,ROW()-ROW(Leverancer!$AU$25)-6)*Leverancer!BM$96/1000)</f>
        <v/>
      </c>
      <c r="AM98" s="114" t="str">
        <f ca="1">IF(AM$57="","",INDEX(Leverancer!BN:BN,ROW()-ROW(Leverancer!$AU$25)-6)*Leverancer!BN$96/1000)</f>
        <v/>
      </c>
      <c r="AN98" s="114" t="str">
        <f ca="1">IF(AN$57="","",INDEX(Leverancer!BO:BO,ROW()-ROW(Leverancer!$AU$25)-6)*Leverancer!BO$96/1000)</f>
        <v/>
      </c>
      <c r="AO98" s="114" t="str">
        <f ca="1">IF(AO$57="","",INDEX(Leverancer!BP:BP,ROW()-ROW(Leverancer!$AU$25)-6)*Leverancer!BP$96/1000)</f>
        <v/>
      </c>
      <c r="AP98" s="114" t="str">
        <f ca="1">IF(AP$57="","",INDEX(Leverancer!BQ:BQ,ROW()-ROW(Leverancer!$AU$25)-6)*Leverancer!BQ$96/1000)</f>
        <v/>
      </c>
      <c r="AQ98" s="114" t="str">
        <f ca="1">IF(AQ$57="","",INDEX(Leverancer!BR:BR,ROW()-ROW(Leverancer!$AU$25)-6)*Leverancer!BR$96/1000)</f>
        <v/>
      </c>
      <c r="AR98" s="114" t="str">
        <f ca="1">IF(AR$57="","",INDEX(Leverancer!BS:BS,ROW()-ROW(Leverancer!$AU$25)-6)*Leverancer!BS$96/1000)</f>
        <v/>
      </c>
      <c r="AS98" s="114" t="str">
        <f ca="1">IF(AS$57="","",INDEX(Leverancer!BT:BT,ROW()-ROW(Leverancer!$AU$25)-6)*Leverancer!BT$96/1000)</f>
        <v/>
      </c>
      <c r="AT98" s="114" t="str">
        <f ca="1">IF(AT$57="","",INDEX(Leverancer!BU:BU,ROW()-ROW(Leverancer!$AU$25)-6)*Leverancer!BU$96/1000)</f>
        <v/>
      </c>
      <c r="AU98" s="114" t="str">
        <f ca="1">IF(AU$57="","",INDEX(Leverancer!BV:BV,ROW()-ROW(Leverancer!$AU$25)-6)*Leverancer!BV$96/1000)</f>
        <v/>
      </c>
      <c r="AV98" s="114" t="str">
        <f ca="1">IF(AV$57="","",INDEX(Leverancer!BW:BW,ROW()-ROW(Leverancer!$AU$25)-6)*Leverancer!BW$96/1000)</f>
        <v/>
      </c>
      <c r="AW98" s="114" t="str">
        <f ca="1">IF(AW$57="","",INDEX(Leverancer!BX:BX,ROW()-ROW(Leverancer!$AU$25)-6)*Leverancer!BX$96/1000)</f>
        <v/>
      </c>
      <c r="AX98" s="90"/>
      <c r="AY98" s="90"/>
      <c r="AZ98" s="87"/>
    </row>
    <row r="99" spans="14:52" ht="12.75" hidden="1" customHeight="1" outlineLevel="1" x14ac:dyDescent="0.2">
      <c r="N99" s="85"/>
      <c r="O99" s="90"/>
      <c r="P99" s="90"/>
      <c r="Q99" s="116" t="str">
        <f>INDEX(Leverancer!$AO$1:$AO$1061,ROW()-ROW(Leverancer!$AU$25)-6)&amp;": "&amp;INDEX(Leverancer!$AP$1:$AP$1061,ROW()-ROW(Leverancer!$AU$25)-6)</f>
        <v xml:space="preserve">L40: </v>
      </c>
      <c r="R99" s="114"/>
      <c r="S99" s="119">
        <f t="shared" ca="1" si="12"/>
        <v>0</v>
      </c>
      <c r="T99" s="114">
        <f ca="1">IF(T$57="","",INDEX(Leverancer!AU:AU,ROW()-ROW(Leverancer!$AU$25)-6)*Leverancer!AU$96/1000)</f>
        <v>0</v>
      </c>
      <c r="U99" s="114">
        <f ca="1">IF(U$57="","",INDEX(Leverancer!AV:AV,ROW()-ROW(Leverancer!$AU$25)-6)*Leverancer!AV$96/1000)</f>
        <v>0</v>
      </c>
      <c r="V99" s="114">
        <f ca="1">IF(V$57="","",INDEX(Leverancer!AW:AW,ROW()-ROW(Leverancer!$AU$25)-6)*Leverancer!AW$96/1000)</f>
        <v>0</v>
      </c>
      <c r="W99" s="114">
        <f ca="1">IF(W$57="","",INDEX(Leverancer!AX:AX,ROW()-ROW(Leverancer!$AU$25)-6)*Leverancer!AX$96/1000)</f>
        <v>0</v>
      </c>
      <c r="X99" s="114" t="str">
        <f ca="1">IF(X$57="","",INDEX(Leverancer!AY:AY,ROW()-ROW(Leverancer!$AU$25)-6)*Leverancer!AY$96/1000)</f>
        <v/>
      </c>
      <c r="Y99" s="114" t="str">
        <f ca="1">IF(Y$57="","",INDEX(Leverancer!AZ:AZ,ROW()-ROW(Leverancer!$AU$25)-6)*Leverancer!AZ$96/1000)</f>
        <v/>
      </c>
      <c r="Z99" s="114" t="str">
        <f ca="1">IF(Z$57="","",INDEX(Leverancer!BA:BA,ROW()-ROW(Leverancer!$AU$25)-6)*Leverancer!BA$96/1000)</f>
        <v/>
      </c>
      <c r="AA99" s="114" t="str">
        <f ca="1">IF(AA$57="","",INDEX(Leverancer!BB:BB,ROW()-ROW(Leverancer!$AU$25)-6)*Leverancer!BB$96/1000)</f>
        <v/>
      </c>
      <c r="AB99" s="114" t="str">
        <f ca="1">IF(AB$57="","",INDEX(Leverancer!BC:BC,ROW()-ROW(Leverancer!$AU$25)-6)*Leverancer!BC$96/1000)</f>
        <v/>
      </c>
      <c r="AC99" s="114" t="str">
        <f ca="1">IF(AC$57="","",INDEX(Leverancer!BD:BD,ROW()-ROW(Leverancer!$AU$25)-6)*Leverancer!BD$96/1000)</f>
        <v/>
      </c>
      <c r="AD99" s="114" t="str">
        <f ca="1">IF(AD$57="","",INDEX(Leverancer!BE:BE,ROW()-ROW(Leverancer!$AU$25)-6)*Leverancer!BE$96/1000)</f>
        <v/>
      </c>
      <c r="AE99" s="114" t="str">
        <f ca="1">IF(AE$57="","",INDEX(Leverancer!BF:BF,ROW()-ROW(Leverancer!$AU$25)-6)*Leverancer!BF$96/1000)</f>
        <v/>
      </c>
      <c r="AF99" s="114" t="str">
        <f ca="1">IF(AF$57="","",INDEX(Leverancer!BG:BG,ROW()-ROW(Leverancer!$AU$25)-6)*Leverancer!BG$96/1000)</f>
        <v/>
      </c>
      <c r="AG99" s="114" t="str">
        <f ca="1">IF(AG$57="","",INDEX(Leverancer!BH:BH,ROW()-ROW(Leverancer!$AU$25)-6)*Leverancer!BH$96/1000)</f>
        <v/>
      </c>
      <c r="AH99" s="114" t="str">
        <f ca="1">IF(AH$57="","",INDEX(Leverancer!BI:BI,ROW()-ROW(Leverancer!$AU$25)-6)*Leverancer!BI$96/1000)</f>
        <v/>
      </c>
      <c r="AI99" s="114" t="str">
        <f ca="1">IF(AI$57="","",INDEX(Leverancer!BJ:BJ,ROW()-ROW(Leverancer!$AU$25)-6)*Leverancer!BJ$96/1000)</f>
        <v/>
      </c>
      <c r="AJ99" s="114" t="str">
        <f ca="1">IF(AJ$57="","",INDEX(Leverancer!BK:BK,ROW()-ROW(Leverancer!$AU$25)-6)*Leverancer!BK$96/1000)</f>
        <v/>
      </c>
      <c r="AK99" s="114" t="str">
        <f ca="1">IF(AK$57="","",INDEX(Leverancer!BL:BL,ROW()-ROW(Leverancer!$AU$25)-6)*Leverancer!BL$96/1000)</f>
        <v/>
      </c>
      <c r="AL99" s="114" t="str">
        <f ca="1">IF(AL$57="","",INDEX(Leverancer!BM:BM,ROW()-ROW(Leverancer!$AU$25)-6)*Leverancer!BM$96/1000)</f>
        <v/>
      </c>
      <c r="AM99" s="114" t="str">
        <f ca="1">IF(AM$57="","",INDEX(Leverancer!BN:BN,ROW()-ROW(Leverancer!$AU$25)-6)*Leverancer!BN$96/1000)</f>
        <v/>
      </c>
      <c r="AN99" s="114" t="str">
        <f ca="1">IF(AN$57="","",INDEX(Leverancer!BO:BO,ROW()-ROW(Leverancer!$AU$25)-6)*Leverancer!BO$96/1000)</f>
        <v/>
      </c>
      <c r="AO99" s="114" t="str">
        <f ca="1">IF(AO$57="","",INDEX(Leverancer!BP:BP,ROW()-ROW(Leverancer!$AU$25)-6)*Leverancer!BP$96/1000)</f>
        <v/>
      </c>
      <c r="AP99" s="114" t="str">
        <f ca="1">IF(AP$57="","",INDEX(Leverancer!BQ:BQ,ROW()-ROW(Leverancer!$AU$25)-6)*Leverancer!BQ$96/1000)</f>
        <v/>
      </c>
      <c r="AQ99" s="114" t="str">
        <f ca="1">IF(AQ$57="","",INDEX(Leverancer!BR:BR,ROW()-ROW(Leverancer!$AU$25)-6)*Leverancer!BR$96/1000)</f>
        <v/>
      </c>
      <c r="AR99" s="114" t="str">
        <f ca="1">IF(AR$57="","",INDEX(Leverancer!BS:BS,ROW()-ROW(Leverancer!$AU$25)-6)*Leverancer!BS$96/1000)</f>
        <v/>
      </c>
      <c r="AS99" s="114" t="str">
        <f ca="1">IF(AS$57="","",INDEX(Leverancer!BT:BT,ROW()-ROW(Leverancer!$AU$25)-6)*Leverancer!BT$96/1000)</f>
        <v/>
      </c>
      <c r="AT99" s="114" t="str">
        <f ca="1">IF(AT$57="","",INDEX(Leverancer!BU:BU,ROW()-ROW(Leverancer!$AU$25)-6)*Leverancer!BU$96/1000)</f>
        <v/>
      </c>
      <c r="AU99" s="114" t="str">
        <f ca="1">IF(AU$57="","",INDEX(Leverancer!BV:BV,ROW()-ROW(Leverancer!$AU$25)-6)*Leverancer!BV$96/1000)</f>
        <v/>
      </c>
      <c r="AV99" s="114" t="str">
        <f ca="1">IF(AV$57="","",INDEX(Leverancer!BW:BW,ROW()-ROW(Leverancer!$AU$25)-6)*Leverancer!BW$96/1000)</f>
        <v/>
      </c>
      <c r="AW99" s="114" t="str">
        <f ca="1">IF(AW$57="","",INDEX(Leverancer!BX:BX,ROW()-ROW(Leverancer!$AU$25)-6)*Leverancer!BX$96/1000)</f>
        <v/>
      </c>
      <c r="AX99" s="90"/>
      <c r="AY99" s="90"/>
      <c r="AZ99" s="87"/>
    </row>
    <row r="100" spans="14:52" ht="12.75" hidden="1" customHeight="1" outlineLevel="1" x14ac:dyDescent="0.2">
      <c r="N100" s="85"/>
      <c r="O100" s="90"/>
      <c r="P100" s="90"/>
      <c r="Q100" s="116" t="str">
        <f>INDEX(Leverancer!$AO$1:$AO$1061,ROW()-ROW(Leverancer!$AU$25)-6)&amp;": "&amp;INDEX(Leverancer!$AP$1:$AP$1061,ROW()-ROW(Leverancer!$AU$25)-6)</f>
        <v xml:space="preserve">L41: </v>
      </c>
      <c r="R100" s="114"/>
      <c r="S100" s="119">
        <f t="shared" ca="1" si="12"/>
        <v>0</v>
      </c>
      <c r="T100" s="114">
        <f ca="1">IF(T$57="","",INDEX(Leverancer!AU:AU,ROW()-ROW(Leverancer!$AU$25)-6)*Leverancer!AU$96/1000)</f>
        <v>0</v>
      </c>
      <c r="U100" s="114">
        <f ca="1">IF(U$57="","",INDEX(Leverancer!AV:AV,ROW()-ROW(Leverancer!$AU$25)-6)*Leverancer!AV$96/1000)</f>
        <v>0</v>
      </c>
      <c r="V100" s="114">
        <f ca="1">IF(V$57="","",INDEX(Leverancer!AW:AW,ROW()-ROW(Leverancer!$AU$25)-6)*Leverancer!AW$96/1000)</f>
        <v>0</v>
      </c>
      <c r="W100" s="114">
        <f ca="1">IF(W$57="","",INDEX(Leverancer!AX:AX,ROW()-ROW(Leverancer!$AU$25)-6)*Leverancer!AX$96/1000)</f>
        <v>0</v>
      </c>
      <c r="X100" s="114" t="str">
        <f ca="1">IF(X$57="","",INDEX(Leverancer!AY:AY,ROW()-ROW(Leverancer!$AU$25)-6)*Leverancer!AY$96/1000)</f>
        <v/>
      </c>
      <c r="Y100" s="114" t="str">
        <f ca="1">IF(Y$57="","",INDEX(Leverancer!AZ:AZ,ROW()-ROW(Leverancer!$AU$25)-6)*Leverancer!AZ$96/1000)</f>
        <v/>
      </c>
      <c r="Z100" s="114" t="str">
        <f ca="1">IF(Z$57="","",INDEX(Leverancer!BA:BA,ROW()-ROW(Leverancer!$AU$25)-6)*Leverancer!BA$96/1000)</f>
        <v/>
      </c>
      <c r="AA100" s="114" t="str">
        <f ca="1">IF(AA$57="","",INDEX(Leverancer!BB:BB,ROW()-ROW(Leverancer!$AU$25)-6)*Leverancer!BB$96/1000)</f>
        <v/>
      </c>
      <c r="AB100" s="114" t="str">
        <f ca="1">IF(AB$57="","",INDEX(Leverancer!BC:BC,ROW()-ROW(Leverancer!$AU$25)-6)*Leverancer!BC$96/1000)</f>
        <v/>
      </c>
      <c r="AC100" s="114" t="str">
        <f ca="1">IF(AC$57="","",INDEX(Leverancer!BD:BD,ROW()-ROW(Leverancer!$AU$25)-6)*Leverancer!BD$96/1000)</f>
        <v/>
      </c>
      <c r="AD100" s="114" t="str">
        <f ca="1">IF(AD$57="","",INDEX(Leverancer!BE:BE,ROW()-ROW(Leverancer!$AU$25)-6)*Leverancer!BE$96/1000)</f>
        <v/>
      </c>
      <c r="AE100" s="114" t="str">
        <f ca="1">IF(AE$57="","",INDEX(Leverancer!BF:BF,ROW()-ROW(Leverancer!$AU$25)-6)*Leverancer!BF$96/1000)</f>
        <v/>
      </c>
      <c r="AF100" s="114" t="str">
        <f ca="1">IF(AF$57="","",INDEX(Leverancer!BG:BG,ROW()-ROW(Leverancer!$AU$25)-6)*Leverancer!BG$96/1000)</f>
        <v/>
      </c>
      <c r="AG100" s="114" t="str">
        <f ca="1">IF(AG$57="","",INDEX(Leverancer!BH:BH,ROW()-ROW(Leverancer!$AU$25)-6)*Leverancer!BH$96/1000)</f>
        <v/>
      </c>
      <c r="AH100" s="114" t="str">
        <f ca="1">IF(AH$57="","",INDEX(Leverancer!BI:BI,ROW()-ROW(Leverancer!$AU$25)-6)*Leverancer!BI$96/1000)</f>
        <v/>
      </c>
      <c r="AI100" s="114" t="str">
        <f ca="1">IF(AI$57="","",INDEX(Leverancer!BJ:BJ,ROW()-ROW(Leverancer!$AU$25)-6)*Leverancer!BJ$96/1000)</f>
        <v/>
      </c>
      <c r="AJ100" s="114" t="str">
        <f ca="1">IF(AJ$57="","",INDEX(Leverancer!BK:BK,ROW()-ROW(Leverancer!$AU$25)-6)*Leverancer!BK$96/1000)</f>
        <v/>
      </c>
      <c r="AK100" s="114" t="str">
        <f ca="1">IF(AK$57="","",INDEX(Leverancer!BL:BL,ROW()-ROW(Leverancer!$AU$25)-6)*Leverancer!BL$96/1000)</f>
        <v/>
      </c>
      <c r="AL100" s="114" t="str">
        <f ca="1">IF(AL$57="","",INDEX(Leverancer!BM:BM,ROW()-ROW(Leverancer!$AU$25)-6)*Leverancer!BM$96/1000)</f>
        <v/>
      </c>
      <c r="AM100" s="114" t="str">
        <f ca="1">IF(AM$57="","",INDEX(Leverancer!BN:BN,ROW()-ROW(Leverancer!$AU$25)-6)*Leverancer!BN$96/1000)</f>
        <v/>
      </c>
      <c r="AN100" s="114" t="str">
        <f ca="1">IF(AN$57="","",INDEX(Leverancer!BO:BO,ROW()-ROW(Leverancer!$AU$25)-6)*Leverancer!BO$96/1000)</f>
        <v/>
      </c>
      <c r="AO100" s="114" t="str">
        <f ca="1">IF(AO$57="","",INDEX(Leverancer!BP:BP,ROW()-ROW(Leverancer!$AU$25)-6)*Leverancer!BP$96/1000)</f>
        <v/>
      </c>
      <c r="AP100" s="114" t="str">
        <f ca="1">IF(AP$57="","",INDEX(Leverancer!BQ:BQ,ROW()-ROW(Leverancer!$AU$25)-6)*Leverancer!BQ$96/1000)</f>
        <v/>
      </c>
      <c r="AQ100" s="114" t="str">
        <f ca="1">IF(AQ$57="","",INDEX(Leverancer!BR:BR,ROW()-ROW(Leverancer!$AU$25)-6)*Leverancer!BR$96/1000)</f>
        <v/>
      </c>
      <c r="AR100" s="114" t="str">
        <f ca="1">IF(AR$57="","",INDEX(Leverancer!BS:BS,ROW()-ROW(Leverancer!$AU$25)-6)*Leverancer!BS$96/1000)</f>
        <v/>
      </c>
      <c r="AS100" s="114" t="str">
        <f ca="1">IF(AS$57="","",INDEX(Leverancer!BT:BT,ROW()-ROW(Leverancer!$AU$25)-6)*Leverancer!BT$96/1000)</f>
        <v/>
      </c>
      <c r="AT100" s="114" t="str">
        <f ca="1">IF(AT$57="","",INDEX(Leverancer!BU:BU,ROW()-ROW(Leverancer!$AU$25)-6)*Leverancer!BU$96/1000)</f>
        <v/>
      </c>
      <c r="AU100" s="114" t="str">
        <f ca="1">IF(AU$57="","",INDEX(Leverancer!BV:BV,ROW()-ROW(Leverancer!$AU$25)-6)*Leverancer!BV$96/1000)</f>
        <v/>
      </c>
      <c r="AV100" s="114" t="str">
        <f ca="1">IF(AV$57="","",INDEX(Leverancer!BW:BW,ROW()-ROW(Leverancer!$AU$25)-6)*Leverancer!BW$96/1000)</f>
        <v/>
      </c>
      <c r="AW100" s="114" t="str">
        <f ca="1">IF(AW$57="","",INDEX(Leverancer!BX:BX,ROW()-ROW(Leverancer!$AU$25)-6)*Leverancer!BX$96/1000)</f>
        <v/>
      </c>
      <c r="AX100" s="90"/>
      <c r="AY100" s="90"/>
      <c r="AZ100" s="87"/>
    </row>
    <row r="101" spans="14:52" ht="12.75" hidden="1" customHeight="1" outlineLevel="1" x14ac:dyDescent="0.2">
      <c r="N101" s="85"/>
      <c r="O101" s="90"/>
      <c r="P101" s="90"/>
      <c r="Q101" s="116" t="str">
        <f>INDEX(Leverancer!$AO$1:$AO$1061,ROW()-ROW(Leverancer!$AU$25)-6)&amp;": "&amp;INDEX(Leverancer!$AP$1:$AP$1061,ROW()-ROW(Leverancer!$AU$25)-6)</f>
        <v xml:space="preserve">L42: </v>
      </c>
      <c r="R101" s="114"/>
      <c r="S101" s="119">
        <f t="shared" ca="1" si="12"/>
        <v>0</v>
      </c>
      <c r="T101" s="114">
        <f ca="1">IF(T$57="","",INDEX(Leverancer!AU:AU,ROW()-ROW(Leverancer!$AU$25)-6)*Leverancer!AU$96/1000)</f>
        <v>0</v>
      </c>
      <c r="U101" s="114">
        <f ca="1">IF(U$57="","",INDEX(Leverancer!AV:AV,ROW()-ROW(Leverancer!$AU$25)-6)*Leverancer!AV$96/1000)</f>
        <v>0</v>
      </c>
      <c r="V101" s="114">
        <f ca="1">IF(V$57="","",INDEX(Leverancer!AW:AW,ROW()-ROW(Leverancer!$AU$25)-6)*Leverancer!AW$96/1000)</f>
        <v>0</v>
      </c>
      <c r="W101" s="114">
        <f ca="1">IF(W$57="","",INDEX(Leverancer!AX:AX,ROW()-ROW(Leverancer!$AU$25)-6)*Leverancer!AX$96/1000)</f>
        <v>0</v>
      </c>
      <c r="X101" s="114" t="str">
        <f ca="1">IF(X$57="","",INDEX(Leverancer!AY:AY,ROW()-ROW(Leverancer!$AU$25)-6)*Leverancer!AY$96/1000)</f>
        <v/>
      </c>
      <c r="Y101" s="114" t="str">
        <f ca="1">IF(Y$57="","",INDEX(Leverancer!AZ:AZ,ROW()-ROW(Leverancer!$AU$25)-6)*Leverancer!AZ$96/1000)</f>
        <v/>
      </c>
      <c r="Z101" s="114" t="str">
        <f ca="1">IF(Z$57="","",INDEX(Leverancer!BA:BA,ROW()-ROW(Leverancer!$AU$25)-6)*Leverancer!BA$96/1000)</f>
        <v/>
      </c>
      <c r="AA101" s="114" t="str">
        <f ca="1">IF(AA$57="","",INDEX(Leverancer!BB:BB,ROW()-ROW(Leverancer!$AU$25)-6)*Leverancer!BB$96/1000)</f>
        <v/>
      </c>
      <c r="AB101" s="114" t="str">
        <f ca="1">IF(AB$57="","",INDEX(Leverancer!BC:BC,ROW()-ROW(Leverancer!$AU$25)-6)*Leverancer!BC$96/1000)</f>
        <v/>
      </c>
      <c r="AC101" s="114" t="str">
        <f ca="1">IF(AC$57="","",INDEX(Leverancer!BD:BD,ROW()-ROW(Leverancer!$AU$25)-6)*Leverancer!BD$96/1000)</f>
        <v/>
      </c>
      <c r="AD101" s="114" t="str">
        <f ca="1">IF(AD$57="","",INDEX(Leverancer!BE:BE,ROW()-ROW(Leverancer!$AU$25)-6)*Leverancer!BE$96/1000)</f>
        <v/>
      </c>
      <c r="AE101" s="114" t="str">
        <f ca="1">IF(AE$57="","",INDEX(Leverancer!BF:BF,ROW()-ROW(Leverancer!$AU$25)-6)*Leverancer!BF$96/1000)</f>
        <v/>
      </c>
      <c r="AF101" s="114" t="str">
        <f ca="1">IF(AF$57="","",INDEX(Leverancer!BG:BG,ROW()-ROW(Leverancer!$AU$25)-6)*Leverancer!BG$96/1000)</f>
        <v/>
      </c>
      <c r="AG101" s="114" t="str">
        <f ca="1">IF(AG$57="","",INDEX(Leverancer!BH:BH,ROW()-ROW(Leverancer!$AU$25)-6)*Leverancer!BH$96/1000)</f>
        <v/>
      </c>
      <c r="AH101" s="114" t="str">
        <f ca="1">IF(AH$57="","",INDEX(Leverancer!BI:BI,ROW()-ROW(Leverancer!$AU$25)-6)*Leverancer!BI$96/1000)</f>
        <v/>
      </c>
      <c r="AI101" s="114" t="str">
        <f ca="1">IF(AI$57="","",INDEX(Leverancer!BJ:BJ,ROW()-ROW(Leverancer!$AU$25)-6)*Leverancer!BJ$96/1000)</f>
        <v/>
      </c>
      <c r="AJ101" s="114" t="str">
        <f ca="1">IF(AJ$57="","",INDEX(Leverancer!BK:BK,ROW()-ROW(Leverancer!$AU$25)-6)*Leverancer!BK$96/1000)</f>
        <v/>
      </c>
      <c r="AK101" s="114" t="str">
        <f ca="1">IF(AK$57="","",INDEX(Leverancer!BL:BL,ROW()-ROW(Leverancer!$AU$25)-6)*Leverancer!BL$96/1000)</f>
        <v/>
      </c>
      <c r="AL101" s="114" t="str">
        <f ca="1">IF(AL$57="","",INDEX(Leverancer!BM:BM,ROW()-ROW(Leverancer!$AU$25)-6)*Leverancer!BM$96/1000)</f>
        <v/>
      </c>
      <c r="AM101" s="114" t="str">
        <f ca="1">IF(AM$57="","",INDEX(Leverancer!BN:BN,ROW()-ROW(Leverancer!$AU$25)-6)*Leverancer!BN$96/1000)</f>
        <v/>
      </c>
      <c r="AN101" s="114" t="str">
        <f ca="1">IF(AN$57="","",INDEX(Leverancer!BO:BO,ROW()-ROW(Leverancer!$AU$25)-6)*Leverancer!BO$96/1000)</f>
        <v/>
      </c>
      <c r="AO101" s="114" t="str">
        <f ca="1">IF(AO$57="","",INDEX(Leverancer!BP:BP,ROW()-ROW(Leverancer!$AU$25)-6)*Leverancer!BP$96/1000)</f>
        <v/>
      </c>
      <c r="AP101" s="114" t="str">
        <f ca="1">IF(AP$57="","",INDEX(Leverancer!BQ:BQ,ROW()-ROW(Leverancer!$AU$25)-6)*Leverancer!BQ$96/1000)</f>
        <v/>
      </c>
      <c r="AQ101" s="114" t="str">
        <f ca="1">IF(AQ$57="","",INDEX(Leverancer!BR:BR,ROW()-ROW(Leverancer!$AU$25)-6)*Leverancer!BR$96/1000)</f>
        <v/>
      </c>
      <c r="AR101" s="114" t="str">
        <f ca="1">IF(AR$57="","",INDEX(Leverancer!BS:BS,ROW()-ROW(Leverancer!$AU$25)-6)*Leverancer!BS$96/1000)</f>
        <v/>
      </c>
      <c r="AS101" s="114" t="str">
        <f ca="1">IF(AS$57="","",INDEX(Leverancer!BT:BT,ROW()-ROW(Leverancer!$AU$25)-6)*Leverancer!BT$96/1000)</f>
        <v/>
      </c>
      <c r="AT101" s="114" t="str">
        <f ca="1">IF(AT$57="","",INDEX(Leverancer!BU:BU,ROW()-ROW(Leverancer!$AU$25)-6)*Leverancer!BU$96/1000)</f>
        <v/>
      </c>
      <c r="AU101" s="114" t="str">
        <f ca="1">IF(AU$57="","",INDEX(Leverancer!BV:BV,ROW()-ROW(Leverancer!$AU$25)-6)*Leverancer!BV$96/1000)</f>
        <v/>
      </c>
      <c r="AV101" s="114" t="str">
        <f ca="1">IF(AV$57="","",INDEX(Leverancer!BW:BW,ROW()-ROW(Leverancer!$AU$25)-6)*Leverancer!BW$96/1000)</f>
        <v/>
      </c>
      <c r="AW101" s="114" t="str">
        <f ca="1">IF(AW$57="","",INDEX(Leverancer!BX:BX,ROW()-ROW(Leverancer!$AU$25)-6)*Leverancer!BX$96/1000)</f>
        <v/>
      </c>
      <c r="AX101" s="90"/>
      <c r="AY101" s="90"/>
      <c r="AZ101" s="87"/>
    </row>
    <row r="102" spans="14:52" ht="12.75" hidden="1" customHeight="1" outlineLevel="1" x14ac:dyDescent="0.2">
      <c r="N102" s="85"/>
      <c r="O102" s="90"/>
      <c r="P102" s="90"/>
      <c r="Q102" s="116" t="str">
        <f>INDEX(Leverancer!$AO$1:$AO$1061,ROW()-ROW(Leverancer!$AU$25)-6)&amp;": "&amp;INDEX(Leverancer!$AP$1:$AP$1061,ROW()-ROW(Leverancer!$AU$25)-6)</f>
        <v xml:space="preserve">L43: </v>
      </c>
      <c r="R102" s="114"/>
      <c r="S102" s="119">
        <f t="shared" ca="1" si="12"/>
        <v>0</v>
      </c>
      <c r="T102" s="114">
        <f ca="1">IF(T$57="","",INDEX(Leverancer!AU:AU,ROW()-ROW(Leverancer!$AU$25)-6)*Leverancer!AU$96/1000)</f>
        <v>0</v>
      </c>
      <c r="U102" s="114">
        <f ca="1">IF(U$57="","",INDEX(Leverancer!AV:AV,ROW()-ROW(Leverancer!$AU$25)-6)*Leverancer!AV$96/1000)</f>
        <v>0</v>
      </c>
      <c r="V102" s="114">
        <f ca="1">IF(V$57="","",INDEX(Leverancer!AW:AW,ROW()-ROW(Leverancer!$AU$25)-6)*Leverancer!AW$96/1000)</f>
        <v>0</v>
      </c>
      <c r="W102" s="114">
        <f ca="1">IF(W$57="","",INDEX(Leverancer!AX:AX,ROW()-ROW(Leverancer!$AU$25)-6)*Leverancer!AX$96/1000)</f>
        <v>0</v>
      </c>
      <c r="X102" s="114" t="str">
        <f ca="1">IF(X$57="","",INDEX(Leverancer!AY:AY,ROW()-ROW(Leverancer!$AU$25)-6)*Leverancer!AY$96/1000)</f>
        <v/>
      </c>
      <c r="Y102" s="114" t="str">
        <f ca="1">IF(Y$57="","",INDEX(Leverancer!AZ:AZ,ROW()-ROW(Leverancer!$AU$25)-6)*Leverancer!AZ$96/1000)</f>
        <v/>
      </c>
      <c r="Z102" s="114" t="str">
        <f ca="1">IF(Z$57="","",INDEX(Leverancer!BA:BA,ROW()-ROW(Leverancer!$AU$25)-6)*Leverancer!BA$96/1000)</f>
        <v/>
      </c>
      <c r="AA102" s="114" t="str">
        <f ca="1">IF(AA$57="","",INDEX(Leverancer!BB:BB,ROW()-ROW(Leverancer!$AU$25)-6)*Leverancer!BB$96/1000)</f>
        <v/>
      </c>
      <c r="AB102" s="114" t="str">
        <f ca="1">IF(AB$57="","",INDEX(Leverancer!BC:BC,ROW()-ROW(Leverancer!$AU$25)-6)*Leverancer!BC$96/1000)</f>
        <v/>
      </c>
      <c r="AC102" s="114" t="str">
        <f ca="1">IF(AC$57="","",INDEX(Leverancer!BD:BD,ROW()-ROW(Leverancer!$AU$25)-6)*Leverancer!BD$96/1000)</f>
        <v/>
      </c>
      <c r="AD102" s="114" t="str">
        <f ca="1">IF(AD$57="","",INDEX(Leverancer!BE:BE,ROW()-ROW(Leverancer!$AU$25)-6)*Leverancer!BE$96/1000)</f>
        <v/>
      </c>
      <c r="AE102" s="114" t="str">
        <f ca="1">IF(AE$57="","",INDEX(Leverancer!BF:BF,ROW()-ROW(Leverancer!$AU$25)-6)*Leverancer!BF$96/1000)</f>
        <v/>
      </c>
      <c r="AF102" s="114" t="str">
        <f ca="1">IF(AF$57="","",INDEX(Leverancer!BG:BG,ROW()-ROW(Leverancer!$AU$25)-6)*Leverancer!BG$96/1000)</f>
        <v/>
      </c>
      <c r="AG102" s="114" t="str">
        <f ca="1">IF(AG$57="","",INDEX(Leverancer!BH:BH,ROW()-ROW(Leverancer!$AU$25)-6)*Leverancer!BH$96/1000)</f>
        <v/>
      </c>
      <c r="AH102" s="114" t="str">
        <f ca="1">IF(AH$57="","",INDEX(Leverancer!BI:BI,ROW()-ROW(Leverancer!$AU$25)-6)*Leverancer!BI$96/1000)</f>
        <v/>
      </c>
      <c r="AI102" s="114" t="str">
        <f ca="1">IF(AI$57="","",INDEX(Leverancer!BJ:BJ,ROW()-ROW(Leverancer!$AU$25)-6)*Leverancer!BJ$96/1000)</f>
        <v/>
      </c>
      <c r="AJ102" s="114" t="str">
        <f ca="1">IF(AJ$57="","",INDEX(Leverancer!BK:BK,ROW()-ROW(Leverancer!$AU$25)-6)*Leverancer!BK$96/1000)</f>
        <v/>
      </c>
      <c r="AK102" s="114" t="str">
        <f ca="1">IF(AK$57="","",INDEX(Leverancer!BL:BL,ROW()-ROW(Leverancer!$AU$25)-6)*Leverancer!BL$96/1000)</f>
        <v/>
      </c>
      <c r="AL102" s="114" t="str">
        <f ca="1">IF(AL$57="","",INDEX(Leverancer!BM:BM,ROW()-ROW(Leverancer!$AU$25)-6)*Leverancer!BM$96/1000)</f>
        <v/>
      </c>
      <c r="AM102" s="114" t="str">
        <f ca="1">IF(AM$57="","",INDEX(Leverancer!BN:BN,ROW()-ROW(Leverancer!$AU$25)-6)*Leverancer!BN$96/1000)</f>
        <v/>
      </c>
      <c r="AN102" s="114" t="str">
        <f ca="1">IF(AN$57="","",INDEX(Leverancer!BO:BO,ROW()-ROW(Leverancer!$AU$25)-6)*Leverancer!BO$96/1000)</f>
        <v/>
      </c>
      <c r="AO102" s="114" t="str">
        <f ca="1">IF(AO$57="","",INDEX(Leverancer!BP:BP,ROW()-ROW(Leverancer!$AU$25)-6)*Leverancer!BP$96/1000)</f>
        <v/>
      </c>
      <c r="AP102" s="114" t="str">
        <f ca="1">IF(AP$57="","",INDEX(Leverancer!BQ:BQ,ROW()-ROW(Leverancer!$AU$25)-6)*Leverancer!BQ$96/1000)</f>
        <v/>
      </c>
      <c r="AQ102" s="114" t="str">
        <f ca="1">IF(AQ$57="","",INDEX(Leverancer!BR:BR,ROW()-ROW(Leverancer!$AU$25)-6)*Leverancer!BR$96/1000)</f>
        <v/>
      </c>
      <c r="AR102" s="114" t="str">
        <f ca="1">IF(AR$57="","",INDEX(Leverancer!BS:BS,ROW()-ROW(Leverancer!$AU$25)-6)*Leverancer!BS$96/1000)</f>
        <v/>
      </c>
      <c r="AS102" s="114" t="str">
        <f ca="1">IF(AS$57="","",INDEX(Leverancer!BT:BT,ROW()-ROW(Leverancer!$AU$25)-6)*Leverancer!BT$96/1000)</f>
        <v/>
      </c>
      <c r="AT102" s="114" t="str">
        <f ca="1">IF(AT$57="","",INDEX(Leverancer!BU:BU,ROW()-ROW(Leverancer!$AU$25)-6)*Leverancer!BU$96/1000)</f>
        <v/>
      </c>
      <c r="AU102" s="114" t="str">
        <f ca="1">IF(AU$57="","",INDEX(Leverancer!BV:BV,ROW()-ROW(Leverancer!$AU$25)-6)*Leverancer!BV$96/1000)</f>
        <v/>
      </c>
      <c r="AV102" s="114" t="str">
        <f ca="1">IF(AV$57="","",INDEX(Leverancer!BW:BW,ROW()-ROW(Leverancer!$AU$25)-6)*Leverancer!BW$96/1000)</f>
        <v/>
      </c>
      <c r="AW102" s="114" t="str">
        <f ca="1">IF(AW$57="","",INDEX(Leverancer!BX:BX,ROW()-ROW(Leverancer!$AU$25)-6)*Leverancer!BX$96/1000)</f>
        <v/>
      </c>
      <c r="AX102" s="90"/>
      <c r="AY102" s="90"/>
      <c r="AZ102" s="87"/>
    </row>
    <row r="103" spans="14:52" ht="12.75" hidden="1" customHeight="1" outlineLevel="1" x14ac:dyDescent="0.2">
      <c r="N103" s="85"/>
      <c r="O103" s="90"/>
      <c r="P103" s="90"/>
      <c r="Q103" s="116" t="str">
        <f>INDEX(Leverancer!$AO$1:$AO$1061,ROW()-ROW(Leverancer!$AU$25)-6)&amp;": "&amp;INDEX(Leverancer!$AP$1:$AP$1061,ROW()-ROW(Leverancer!$AU$25)-6)</f>
        <v xml:space="preserve">L44: </v>
      </c>
      <c r="R103" s="114"/>
      <c r="S103" s="119">
        <f t="shared" ca="1" si="12"/>
        <v>0</v>
      </c>
      <c r="T103" s="114">
        <f ca="1">IF(T$57="","",INDEX(Leverancer!AU:AU,ROW()-ROW(Leverancer!$AU$25)-6)*Leverancer!AU$96/1000)</f>
        <v>0</v>
      </c>
      <c r="U103" s="114">
        <f ca="1">IF(U$57="","",INDEX(Leverancer!AV:AV,ROW()-ROW(Leverancer!$AU$25)-6)*Leverancer!AV$96/1000)</f>
        <v>0</v>
      </c>
      <c r="V103" s="114">
        <f ca="1">IF(V$57="","",INDEX(Leverancer!AW:AW,ROW()-ROW(Leverancer!$AU$25)-6)*Leverancer!AW$96/1000)</f>
        <v>0</v>
      </c>
      <c r="W103" s="114">
        <f ca="1">IF(W$57="","",INDEX(Leverancer!AX:AX,ROW()-ROW(Leverancer!$AU$25)-6)*Leverancer!AX$96/1000)</f>
        <v>0</v>
      </c>
      <c r="X103" s="114" t="str">
        <f ca="1">IF(X$57="","",INDEX(Leverancer!AY:AY,ROW()-ROW(Leverancer!$AU$25)-6)*Leverancer!AY$96/1000)</f>
        <v/>
      </c>
      <c r="Y103" s="114" t="str">
        <f ca="1">IF(Y$57="","",INDEX(Leverancer!AZ:AZ,ROW()-ROW(Leverancer!$AU$25)-6)*Leverancer!AZ$96/1000)</f>
        <v/>
      </c>
      <c r="Z103" s="114" t="str">
        <f ca="1">IF(Z$57="","",INDEX(Leverancer!BA:BA,ROW()-ROW(Leverancer!$AU$25)-6)*Leverancer!BA$96/1000)</f>
        <v/>
      </c>
      <c r="AA103" s="114" t="str">
        <f ca="1">IF(AA$57="","",INDEX(Leverancer!BB:BB,ROW()-ROW(Leverancer!$AU$25)-6)*Leverancer!BB$96/1000)</f>
        <v/>
      </c>
      <c r="AB103" s="114" t="str">
        <f ca="1">IF(AB$57="","",INDEX(Leverancer!BC:BC,ROW()-ROW(Leverancer!$AU$25)-6)*Leverancer!BC$96/1000)</f>
        <v/>
      </c>
      <c r="AC103" s="114" t="str">
        <f ca="1">IF(AC$57="","",INDEX(Leverancer!BD:BD,ROW()-ROW(Leverancer!$AU$25)-6)*Leverancer!BD$96/1000)</f>
        <v/>
      </c>
      <c r="AD103" s="114" t="str">
        <f ca="1">IF(AD$57="","",INDEX(Leverancer!BE:BE,ROW()-ROW(Leverancer!$AU$25)-6)*Leverancer!BE$96/1000)</f>
        <v/>
      </c>
      <c r="AE103" s="114" t="str">
        <f ca="1">IF(AE$57="","",INDEX(Leverancer!BF:BF,ROW()-ROW(Leverancer!$AU$25)-6)*Leverancer!BF$96/1000)</f>
        <v/>
      </c>
      <c r="AF103" s="114" t="str">
        <f ca="1">IF(AF$57="","",INDEX(Leverancer!BG:BG,ROW()-ROW(Leverancer!$AU$25)-6)*Leverancer!BG$96/1000)</f>
        <v/>
      </c>
      <c r="AG103" s="114" t="str">
        <f ca="1">IF(AG$57="","",INDEX(Leverancer!BH:BH,ROW()-ROW(Leverancer!$AU$25)-6)*Leverancer!BH$96/1000)</f>
        <v/>
      </c>
      <c r="AH103" s="114" t="str">
        <f ca="1">IF(AH$57="","",INDEX(Leverancer!BI:BI,ROW()-ROW(Leverancer!$AU$25)-6)*Leverancer!BI$96/1000)</f>
        <v/>
      </c>
      <c r="AI103" s="114" t="str">
        <f ca="1">IF(AI$57="","",INDEX(Leverancer!BJ:BJ,ROW()-ROW(Leverancer!$AU$25)-6)*Leverancer!BJ$96/1000)</f>
        <v/>
      </c>
      <c r="AJ103" s="114" t="str">
        <f ca="1">IF(AJ$57="","",INDEX(Leverancer!BK:BK,ROW()-ROW(Leverancer!$AU$25)-6)*Leverancer!BK$96/1000)</f>
        <v/>
      </c>
      <c r="AK103" s="114" t="str">
        <f ca="1">IF(AK$57="","",INDEX(Leverancer!BL:BL,ROW()-ROW(Leverancer!$AU$25)-6)*Leverancer!BL$96/1000)</f>
        <v/>
      </c>
      <c r="AL103" s="114" t="str">
        <f ca="1">IF(AL$57="","",INDEX(Leverancer!BM:BM,ROW()-ROW(Leverancer!$AU$25)-6)*Leverancer!BM$96/1000)</f>
        <v/>
      </c>
      <c r="AM103" s="114" t="str">
        <f ca="1">IF(AM$57="","",INDEX(Leverancer!BN:BN,ROW()-ROW(Leverancer!$AU$25)-6)*Leverancer!BN$96/1000)</f>
        <v/>
      </c>
      <c r="AN103" s="114" t="str">
        <f ca="1">IF(AN$57="","",INDEX(Leverancer!BO:BO,ROW()-ROW(Leverancer!$AU$25)-6)*Leverancer!BO$96/1000)</f>
        <v/>
      </c>
      <c r="AO103" s="114" t="str">
        <f ca="1">IF(AO$57="","",INDEX(Leverancer!BP:BP,ROW()-ROW(Leverancer!$AU$25)-6)*Leverancer!BP$96/1000)</f>
        <v/>
      </c>
      <c r="AP103" s="114" t="str">
        <f ca="1">IF(AP$57="","",INDEX(Leverancer!BQ:BQ,ROW()-ROW(Leverancer!$AU$25)-6)*Leverancer!BQ$96/1000)</f>
        <v/>
      </c>
      <c r="AQ103" s="114" t="str">
        <f ca="1">IF(AQ$57="","",INDEX(Leverancer!BR:BR,ROW()-ROW(Leverancer!$AU$25)-6)*Leverancer!BR$96/1000)</f>
        <v/>
      </c>
      <c r="AR103" s="114" t="str">
        <f ca="1">IF(AR$57="","",INDEX(Leverancer!BS:BS,ROW()-ROW(Leverancer!$AU$25)-6)*Leverancer!BS$96/1000)</f>
        <v/>
      </c>
      <c r="AS103" s="114" t="str">
        <f ca="1">IF(AS$57="","",INDEX(Leverancer!BT:BT,ROW()-ROW(Leverancer!$AU$25)-6)*Leverancer!BT$96/1000)</f>
        <v/>
      </c>
      <c r="AT103" s="114" t="str">
        <f ca="1">IF(AT$57="","",INDEX(Leverancer!BU:BU,ROW()-ROW(Leverancer!$AU$25)-6)*Leverancer!BU$96/1000)</f>
        <v/>
      </c>
      <c r="AU103" s="114" t="str">
        <f ca="1">IF(AU$57="","",INDEX(Leverancer!BV:BV,ROW()-ROW(Leverancer!$AU$25)-6)*Leverancer!BV$96/1000)</f>
        <v/>
      </c>
      <c r="AV103" s="114" t="str">
        <f ca="1">IF(AV$57="","",INDEX(Leverancer!BW:BW,ROW()-ROW(Leverancer!$AU$25)-6)*Leverancer!BW$96/1000)</f>
        <v/>
      </c>
      <c r="AW103" s="114" t="str">
        <f ca="1">IF(AW$57="","",INDEX(Leverancer!BX:BX,ROW()-ROW(Leverancer!$AU$25)-6)*Leverancer!BX$96/1000)</f>
        <v/>
      </c>
      <c r="AX103" s="90"/>
      <c r="AY103" s="90"/>
      <c r="AZ103" s="87"/>
    </row>
    <row r="104" spans="14:52" ht="12.75" hidden="1" customHeight="1" outlineLevel="1" x14ac:dyDescent="0.2">
      <c r="N104" s="85"/>
      <c r="O104" s="90"/>
      <c r="P104" s="90"/>
      <c r="Q104" s="116" t="str">
        <f>INDEX(Leverancer!$AO$1:$AO$1061,ROW()-ROW(Leverancer!$AU$25)-6)&amp;": "&amp;INDEX(Leverancer!$AP$1:$AP$1061,ROW()-ROW(Leverancer!$AU$25)-6)</f>
        <v xml:space="preserve">L45: </v>
      </c>
      <c r="R104" s="114"/>
      <c r="S104" s="119">
        <f t="shared" ca="1" si="12"/>
        <v>0</v>
      </c>
      <c r="T104" s="114">
        <f ca="1">IF(T$57="","",INDEX(Leverancer!AU:AU,ROW()-ROW(Leverancer!$AU$25)-6)*Leverancer!AU$96/1000)</f>
        <v>0</v>
      </c>
      <c r="U104" s="114">
        <f ca="1">IF(U$57="","",INDEX(Leverancer!AV:AV,ROW()-ROW(Leverancer!$AU$25)-6)*Leverancer!AV$96/1000)</f>
        <v>0</v>
      </c>
      <c r="V104" s="114">
        <f ca="1">IF(V$57="","",INDEX(Leverancer!AW:AW,ROW()-ROW(Leverancer!$AU$25)-6)*Leverancer!AW$96/1000)</f>
        <v>0</v>
      </c>
      <c r="W104" s="114">
        <f ca="1">IF(W$57="","",INDEX(Leverancer!AX:AX,ROW()-ROW(Leverancer!$AU$25)-6)*Leverancer!AX$96/1000)</f>
        <v>0</v>
      </c>
      <c r="X104" s="114" t="str">
        <f ca="1">IF(X$57="","",INDEX(Leverancer!AY:AY,ROW()-ROW(Leverancer!$AU$25)-6)*Leverancer!AY$96/1000)</f>
        <v/>
      </c>
      <c r="Y104" s="114" t="str">
        <f ca="1">IF(Y$57="","",INDEX(Leverancer!AZ:AZ,ROW()-ROW(Leverancer!$AU$25)-6)*Leverancer!AZ$96/1000)</f>
        <v/>
      </c>
      <c r="Z104" s="114" t="str">
        <f ca="1">IF(Z$57="","",INDEX(Leverancer!BA:BA,ROW()-ROW(Leverancer!$AU$25)-6)*Leverancer!BA$96/1000)</f>
        <v/>
      </c>
      <c r="AA104" s="114" t="str">
        <f ca="1">IF(AA$57="","",INDEX(Leverancer!BB:BB,ROW()-ROW(Leverancer!$AU$25)-6)*Leverancer!BB$96/1000)</f>
        <v/>
      </c>
      <c r="AB104" s="114" t="str">
        <f ca="1">IF(AB$57="","",INDEX(Leverancer!BC:BC,ROW()-ROW(Leverancer!$AU$25)-6)*Leverancer!BC$96/1000)</f>
        <v/>
      </c>
      <c r="AC104" s="114" t="str">
        <f ca="1">IF(AC$57="","",INDEX(Leverancer!BD:BD,ROW()-ROW(Leverancer!$AU$25)-6)*Leverancer!BD$96/1000)</f>
        <v/>
      </c>
      <c r="AD104" s="114" t="str">
        <f ca="1">IF(AD$57="","",INDEX(Leverancer!BE:BE,ROW()-ROW(Leverancer!$AU$25)-6)*Leverancer!BE$96/1000)</f>
        <v/>
      </c>
      <c r="AE104" s="114" t="str">
        <f ca="1">IF(AE$57="","",INDEX(Leverancer!BF:BF,ROW()-ROW(Leverancer!$AU$25)-6)*Leverancer!BF$96/1000)</f>
        <v/>
      </c>
      <c r="AF104" s="114" t="str">
        <f ca="1">IF(AF$57="","",INDEX(Leverancer!BG:BG,ROW()-ROW(Leverancer!$AU$25)-6)*Leverancer!BG$96/1000)</f>
        <v/>
      </c>
      <c r="AG104" s="114" t="str">
        <f ca="1">IF(AG$57="","",INDEX(Leverancer!BH:BH,ROW()-ROW(Leverancer!$AU$25)-6)*Leverancer!BH$96/1000)</f>
        <v/>
      </c>
      <c r="AH104" s="114" t="str">
        <f ca="1">IF(AH$57="","",INDEX(Leverancer!BI:BI,ROW()-ROW(Leverancer!$AU$25)-6)*Leverancer!BI$96/1000)</f>
        <v/>
      </c>
      <c r="AI104" s="114" t="str">
        <f ca="1">IF(AI$57="","",INDEX(Leverancer!BJ:BJ,ROW()-ROW(Leverancer!$AU$25)-6)*Leverancer!BJ$96/1000)</f>
        <v/>
      </c>
      <c r="AJ104" s="114" t="str">
        <f ca="1">IF(AJ$57="","",INDEX(Leverancer!BK:BK,ROW()-ROW(Leverancer!$AU$25)-6)*Leverancer!BK$96/1000)</f>
        <v/>
      </c>
      <c r="AK104" s="114" t="str">
        <f ca="1">IF(AK$57="","",INDEX(Leverancer!BL:BL,ROW()-ROW(Leverancer!$AU$25)-6)*Leverancer!BL$96/1000)</f>
        <v/>
      </c>
      <c r="AL104" s="114" t="str">
        <f ca="1">IF(AL$57="","",INDEX(Leverancer!BM:BM,ROW()-ROW(Leverancer!$AU$25)-6)*Leverancer!BM$96/1000)</f>
        <v/>
      </c>
      <c r="AM104" s="114" t="str">
        <f ca="1">IF(AM$57="","",INDEX(Leverancer!BN:BN,ROW()-ROW(Leverancer!$AU$25)-6)*Leverancer!BN$96/1000)</f>
        <v/>
      </c>
      <c r="AN104" s="114" t="str">
        <f ca="1">IF(AN$57="","",INDEX(Leverancer!BO:BO,ROW()-ROW(Leverancer!$AU$25)-6)*Leverancer!BO$96/1000)</f>
        <v/>
      </c>
      <c r="AO104" s="114" t="str">
        <f ca="1">IF(AO$57="","",INDEX(Leverancer!BP:BP,ROW()-ROW(Leverancer!$AU$25)-6)*Leverancer!BP$96/1000)</f>
        <v/>
      </c>
      <c r="AP104" s="114" t="str">
        <f ca="1">IF(AP$57="","",INDEX(Leverancer!BQ:BQ,ROW()-ROW(Leverancer!$AU$25)-6)*Leverancer!BQ$96/1000)</f>
        <v/>
      </c>
      <c r="AQ104" s="114" t="str">
        <f ca="1">IF(AQ$57="","",INDEX(Leverancer!BR:BR,ROW()-ROW(Leverancer!$AU$25)-6)*Leverancer!BR$96/1000)</f>
        <v/>
      </c>
      <c r="AR104" s="114" t="str">
        <f ca="1">IF(AR$57="","",INDEX(Leverancer!BS:BS,ROW()-ROW(Leverancer!$AU$25)-6)*Leverancer!BS$96/1000)</f>
        <v/>
      </c>
      <c r="AS104" s="114" t="str">
        <f ca="1">IF(AS$57="","",INDEX(Leverancer!BT:BT,ROW()-ROW(Leverancer!$AU$25)-6)*Leverancer!BT$96/1000)</f>
        <v/>
      </c>
      <c r="AT104" s="114" t="str">
        <f ca="1">IF(AT$57="","",INDEX(Leverancer!BU:BU,ROW()-ROW(Leverancer!$AU$25)-6)*Leverancer!BU$96/1000)</f>
        <v/>
      </c>
      <c r="AU104" s="114" t="str">
        <f ca="1">IF(AU$57="","",INDEX(Leverancer!BV:BV,ROW()-ROW(Leverancer!$AU$25)-6)*Leverancer!BV$96/1000)</f>
        <v/>
      </c>
      <c r="AV104" s="114" t="str">
        <f ca="1">IF(AV$57="","",INDEX(Leverancer!BW:BW,ROW()-ROW(Leverancer!$AU$25)-6)*Leverancer!BW$96/1000)</f>
        <v/>
      </c>
      <c r="AW104" s="114" t="str">
        <f ca="1">IF(AW$57="","",INDEX(Leverancer!BX:BX,ROW()-ROW(Leverancer!$AU$25)-6)*Leverancer!BX$96/1000)</f>
        <v/>
      </c>
      <c r="AX104" s="90"/>
      <c r="AY104" s="90"/>
      <c r="AZ104" s="87"/>
    </row>
    <row r="105" spans="14:52" ht="12.75" hidden="1" customHeight="1" outlineLevel="1" x14ac:dyDescent="0.2">
      <c r="N105" s="85"/>
      <c r="O105" s="90"/>
      <c r="P105" s="90"/>
      <c r="Q105" s="116" t="str">
        <f>INDEX(Leverancer!$AO$1:$AO$1061,ROW()-ROW(Leverancer!$AU$25)-6)&amp;": "&amp;INDEX(Leverancer!$AP$1:$AP$1061,ROW()-ROW(Leverancer!$AU$25)-6)</f>
        <v xml:space="preserve">L46: </v>
      </c>
      <c r="R105" s="114"/>
      <c r="S105" s="119">
        <f t="shared" ca="1" si="12"/>
        <v>0</v>
      </c>
      <c r="T105" s="114">
        <f ca="1">IF(T$57="","",INDEX(Leverancer!AU:AU,ROW()-ROW(Leverancer!$AU$25)-6)*Leverancer!AU$96/1000)</f>
        <v>0</v>
      </c>
      <c r="U105" s="114">
        <f ca="1">IF(U$57="","",INDEX(Leverancer!AV:AV,ROW()-ROW(Leverancer!$AU$25)-6)*Leverancer!AV$96/1000)</f>
        <v>0</v>
      </c>
      <c r="V105" s="114">
        <f ca="1">IF(V$57="","",INDEX(Leverancer!AW:AW,ROW()-ROW(Leverancer!$AU$25)-6)*Leverancer!AW$96/1000)</f>
        <v>0</v>
      </c>
      <c r="W105" s="114">
        <f ca="1">IF(W$57="","",INDEX(Leverancer!AX:AX,ROW()-ROW(Leverancer!$AU$25)-6)*Leverancer!AX$96/1000)</f>
        <v>0</v>
      </c>
      <c r="X105" s="114" t="str">
        <f ca="1">IF(X$57="","",INDEX(Leverancer!AY:AY,ROW()-ROW(Leverancer!$AU$25)-6)*Leverancer!AY$96/1000)</f>
        <v/>
      </c>
      <c r="Y105" s="114" t="str">
        <f ca="1">IF(Y$57="","",INDEX(Leverancer!AZ:AZ,ROW()-ROW(Leverancer!$AU$25)-6)*Leverancer!AZ$96/1000)</f>
        <v/>
      </c>
      <c r="Z105" s="114" t="str">
        <f ca="1">IF(Z$57="","",INDEX(Leverancer!BA:BA,ROW()-ROW(Leverancer!$AU$25)-6)*Leverancer!BA$96/1000)</f>
        <v/>
      </c>
      <c r="AA105" s="114" t="str">
        <f ca="1">IF(AA$57="","",INDEX(Leverancer!BB:BB,ROW()-ROW(Leverancer!$AU$25)-6)*Leverancer!BB$96/1000)</f>
        <v/>
      </c>
      <c r="AB105" s="114" t="str">
        <f ca="1">IF(AB$57="","",INDEX(Leverancer!BC:BC,ROW()-ROW(Leverancer!$AU$25)-6)*Leverancer!BC$96/1000)</f>
        <v/>
      </c>
      <c r="AC105" s="114" t="str">
        <f ca="1">IF(AC$57="","",INDEX(Leverancer!BD:BD,ROW()-ROW(Leverancer!$AU$25)-6)*Leverancer!BD$96/1000)</f>
        <v/>
      </c>
      <c r="AD105" s="114" t="str">
        <f ca="1">IF(AD$57="","",INDEX(Leverancer!BE:BE,ROW()-ROW(Leverancer!$AU$25)-6)*Leverancer!BE$96/1000)</f>
        <v/>
      </c>
      <c r="AE105" s="114" t="str">
        <f ca="1">IF(AE$57="","",INDEX(Leverancer!BF:BF,ROW()-ROW(Leverancer!$AU$25)-6)*Leverancer!BF$96/1000)</f>
        <v/>
      </c>
      <c r="AF105" s="114" t="str">
        <f ca="1">IF(AF$57="","",INDEX(Leverancer!BG:BG,ROW()-ROW(Leverancer!$AU$25)-6)*Leverancer!BG$96/1000)</f>
        <v/>
      </c>
      <c r="AG105" s="114" t="str">
        <f ca="1">IF(AG$57="","",INDEX(Leverancer!BH:BH,ROW()-ROW(Leverancer!$AU$25)-6)*Leverancer!BH$96/1000)</f>
        <v/>
      </c>
      <c r="AH105" s="114" t="str">
        <f ca="1">IF(AH$57="","",INDEX(Leverancer!BI:BI,ROW()-ROW(Leverancer!$AU$25)-6)*Leverancer!BI$96/1000)</f>
        <v/>
      </c>
      <c r="AI105" s="114" t="str">
        <f ca="1">IF(AI$57="","",INDEX(Leverancer!BJ:BJ,ROW()-ROW(Leverancer!$AU$25)-6)*Leverancer!BJ$96/1000)</f>
        <v/>
      </c>
      <c r="AJ105" s="114" t="str">
        <f ca="1">IF(AJ$57="","",INDEX(Leverancer!BK:BK,ROW()-ROW(Leverancer!$AU$25)-6)*Leverancer!BK$96/1000)</f>
        <v/>
      </c>
      <c r="AK105" s="114" t="str">
        <f ca="1">IF(AK$57="","",INDEX(Leverancer!BL:BL,ROW()-ROW(Leverancer!$AU$25)-6)*Leverancer!BL$96/1000)</f>
        <v/>
      </c>
      <c r="AL105" s="114" t="str">
        <f ca="1">IF(AL$57="","",INDEX(Leverancer!BM:BM,ROW()-ROW(Leverancer!$AU$25)-6)*Leverancer!BM$96/1000)</f>
        <v/>
      </c>
      <c r="AM105" s="114" t="str">
        <f ca="1">IF(AM$57="","",INDEX(Leverancer!BN:BN,ROW()-ROW(Leverancer!$AU$25)-6)*Leverancer!BN$96/1000)</f>
        <v/>
      </c>
      <c r="AN105" s="114" t="str">
        <f ca="1">IF(AN$57="","",INDEX(Leverancer!BO:BO,ROW()-ROW(Leverancer!$AU$25)-6)*Leverancer!BO$96/1000)</f>
        <v/>
      </c>
      <c r="AO105" s="114" t="str">
        <f ca="1">IF(AO$57="","",INDEX(Leverancer!BP:BP,ROW()-ROW(Leverancer!$AU$25)-6)*Leverancer!BP$96/1000)</f>
        <v/>
      </c>
      <c r="AP105" s="114" t="str">
        <f ca="1">IF(AP$57="","",INDEX(Leverancer!BQ:BQ,ROW()-ROW(Leverancer!$AU$25)-6)*Leverancer!BQ$96/1000)</f>
        <v/>
      </c>
      <c r="AQ105" s="114" t="str">
        <f ca="1">IF(AQ$57="","",INDEX(Leverancer!BR:BR,ROW()-ROW(Leverancer!$AU$25)-6)*Leverancer!BR$96/1000)</f>
        <v/>
      </c>
      <c r="AR105" s="114" t="str">
        <f ca="1">IF(AR$57="","",INDEX(Leverancer!BS:BS,ROW()-ROW(Leverancer!$AU$25)-6)*Leverancer!BS$96/1000)</f>
        <v/>
      </c>
      <c r="AS105" s="114" t="str">
        <f ca="1">IF(AS$57="","",INDEX(Leverancer!BT:BT,ROW()-ROW(Leverancer!$AU$25)-6)*Leverancer!BT$96/1000)</f>
        <v/>
      </c>
      <c r="AT105" s="114" t="str">
        <f ca="1">IF(AT$57="","",INDEX(Leverancer!BU:BU,ROW()-ROW(Leverancer!$AU$25)-6)*Leverancer!BU$96/1000)</f>
        <v/>
      </c>
      <c r="AU105" s="114" t="str">
        <f ca="1">IF(AU$57="","",INDEX(Leverancer!BV:BV,ROW()-ROW(Leverancer!$AU$25)-6)*Leverancer!BV$96/1000)</f>
        <v/>
      </c>
      <c r="AV105" s="114" t="str">
        <f ca="1">IF(AV$57="","",INDEX(Leverancer!BW:BW,ROW()-ROW(Leverancer!$AU$25)-6)*Leverancer!BW$96/1000)</f>
        <v/>
      </c>
      <c r="AW105" s="114" t="str">
        <f ca="1">IF(AW$57="","",INDEX(Leverancer!BX:BX,ROW()-ROW(Leverancer!$AU$25)-6)*Leverancer!BX$96/1000)</f>
        <v/>
      </c>
      <c r="AX105" s="90"/>
      <c r="AY105" s="90"/>
      <c r="AZ105" s="87"/>
    </row>
    <row r="106" spans="14:52" ht="12.75" hidden="1" customHeight="1" outlineLevel="1" x14ac:dyDescent="0.2">
      <c r="N106" s="85"/>
      <c r="O106" s="90"/>
      <c r="P106" s="90"/>
      <c r="Q106" s="116" t="str">
        <f>INDEX(Leverancer!$AO$1:$AO$1061,ROW()-ROW(Leverancer!$AU$25)-6)&amp;": "&amp;INDEX(Leverancer!$AP$1:$AP$1061,ROW()-ROW(Leverancer!$AU$25)-6)</f>
        <v xml:space="preserve">L47: </v>
      </c>
      <c r="R106" s="114"/>
      <c r="S106" s="119">
        <f t="shared" ca="1" si="12"/>
        <v>0</v>
      </c>
      <c r="T106" s="114">
        <f ca="1">IF(T$57="","",INDEX(Leverancer!AU:AU,ROW()-ROW(Leverancer!$AU$25)-6)*Leverancer!AU$96/1000)</f>
        <v>0</v>
      </c>
      <c r="U106" s="114">
        <f ca="1">IF(U$57="","",INDEX(Leverancer!AV:AV,ROW()-ROW(Leverancer!$AU$25)-6)*Leverancer!AV$96/1000)</f>
        <v>0</v>
      </c>
      <c r="V106" s="114">
        <f ca="1">IF(V$57="","",INDEX(Leverancer!AW:AW,ROW()-ROW(Leverancer!$AU$25)-6)*Leverancer!AW$96/1000)</f>
        <v>0</v>
      </c>
      <c r="W106" s="114">
        <f ca="1">IF(W$57="","",INDEX(Leverancer!AX:AX,ROW()-ROW(Leverancer!$AU$25)-6)*Leverancer!AX$96/1000)</f>
        <v>0</v>
      </c>
      <c r="X106" s="114" t="str">
        <f ca="1">IF(X$57="","",INDEX(Leverancer!AY:AY,ROW()-ROW(Leverancer!$AU$25)-6)*Leverancer!AY$96/1000)</f>
        <v/>
      </c>
      <c r="Y106" s="114" t="str">
        <f ca="1">IF(Y$57="","",INDEX(Leverancer!AZ:AZ,ROW()-ROW(Leverancer!$AU$25)-6)*Leverancer!AZ$96/1000)</f>
        <v/>
      </c>
      <c r="Z106" s="114" t="str">
        <f ca="1">IF(Z$57="","",INDEX(Leverancer!BA:BA,ROW()-ROW(Leverancer!$AU$25)-6)*Leverancer!BA$96/1000)</f>
        <v/>
      </c>
      <c r="AA106" s="114" t="str">
        <f ca="1">IF(AA$57="","",INDEX(Leverancer!BB:BB,ROW()-ROW(Leverancer!$AU$25)-6)*Leverancer!BB$96/1000)</f>
        <v/>
      </c>
      <c r="AB106" s="114" t="str">
        <f ca="1">IF(AB$57="","",INDEX(Leverancer!BC:BC,ROW()-ROW(Leverancer!$AU$25)-6)*Leverancer!BC$96/1000)</f>
        <v/>
      </c>
      <c r="AC106" s="114" t="str">
        <f ca="1">IF(AC$57="","",INDEX(Leverancer!BD:BD,ROW()-ROW(Leverancer!$AU$25)-6)*Leverancer!BD$96/1000)</f>
        <v/>
      </c>
      <c r="AD106" s="114" t="str">
        <f ca="1">IF(AD$57="","",INDEX(Leverancer!BE:BE,ROW()-ROW(Leverancer!$AU$25)-6)*Leverancer!BE$96/1000)</f>
        <v/>
      </c>
      <c r="AE106" s="114" t="str">
        <f ca="1">IF(AE$57="","",INDEX(Leverancer!BF:BF,ROW()-ROW(Leverancer!$AU$25)-6)*Leverancer!BF$96/1000)</f>
        <v/>
      </c>
      <c r="AF106" s="114" t="str">
        <f ca="1">IF(AF$57="","",INDEX(Leverancer!BG:BG,ROW()-ROW(Leverancer!$AU$25)-6)*Leverancer!BG$96/1000)</f>
        <v/>
      </c>
      <c r="AG106" s="114" t="str">
        <f ca="1">IF(AG$57="","",INDEX(Leverancer!BH:BH,ROW()-ROW(Leverancer!$AU$25)-6)*Leverancer!BH$96/1000)</f>
        <v/>
      </c>
      <c r="AH106" s="114" t="str">
        <f ca="1">IF(AH$57="","",INDEX(Leverancer!BI:BI,ROW()-ROW(Leverancer!$AU$25)-6)*Leverancer!BI$96/1000)</f>
        <v/>
      </c>
      <c r="AI106" s="114" t="str">
        <f ca="1">IF(AI$57="","",INDEX(Leverancer!BJ:BJ,ROW()-ROW(Leverancer!$AU$25)-6)*Leverancer!BJ$96/1000)</f>
        <v/>
      </c>
      <c r="AJ106" s="114" t="str">
        <f ca="1">IF(AJ$57="","",INDEX(Leverancer!BK:BK,ROW()-ROW(Leverancer!$AU$25)-6)*Leverancer!BK$96/1000)</f>
        <v/>
      </c>
      <c r="AK106" s="114" t="str">
        <f ca="1">IF(AK$57="","",INDEX(Leverancer!BL:BL,ROW()-ROW(Leverancer!$AU$25)-6)*Leverancer!BL$96/1000)</f>
        <v/>
      </c>
      <c r="AL106" s="114" t="str">
        <f ca="1">IF(AL$57="","",INDEX(Leverancer!BM:BM,ROW()-ROW(Leverancer!$AU$25)-6)*Leverancer!BM$96/1000)</f>
        <v/>
      </c>
      <c r="AM106" s="114" t="str">
        <f ca="1">IF(AM$57="","",INDEX(Leverancer!BN:BN,ROW()-ROW(Leverancer!$AU$25)-6)*Leverancer!BN$96/1000)</f>
        <v/>
      </c>
      <c r="AN106" s="114" t="str">
        <f ca="1">IF(AN$57="","",INDEX(Leverancer!BO:BO,ROW()-ROW(Leverancer!$AU$25)-6)*Leverancer!BO$96/1000)</f>
        <v/>
      </c>
      <c r="AO106" s="114" t="str">
        <f ca="1">IF(AO$57="","",INDEX(Leverancer!BP:BP,ROW()-ROW(Leverancer!$AU$25)-6)*Leverancer!BP$96/1000)</f>
        <v/>
      </c>
      <c r="AP106" s="114" t="str">
        <f ca="1">IF(AP$57="","",INDEX(Leverancer!BQ:BQ,ROW()-ROW(Leverancer!$AU$25)-6)*Leverancer!BQ$96/1000)</f>
        <v/>
      </c>
      <c r="AQ106" s="114" t="str">
        <f ca="1">IF(AQ$57="","",INDEX(Leverancer!BR:BR,ROW()-ROW(Leverancer!$AU$25)-6)*Leverancer!BR$96/1000)</f>
        <v/>
      </c>
      <c r="AR106" s="114" t="str">
        <f ca="1">IF(AR$57="","",INDEX(Leverancer!BS:BS,ROW()-ROW(Leverancer!$AU$25)-6)*Leverancer!BS$96/1000)</f>
        <v/>
      </c>
      <c r="AS106" s="114" t="str">
        <f ca="1">IF(AS$57="","",INDEX(Leverancer!BT:BT,ROW()-ROW(Leverancer!$AU$25)-6)*Leverancer!BT$96/1000)</f>
        <v/>
      </c>
      <c r="AT106" s="114" t="str">
        <f ca="1">IF(AT$57="","",INDEX(Leverancer!BU:BU,ROW()-ROW(Leverancer!$AU$25)-6)*Leverancer!BU$96/1000)</f>
        <v/>
      </c>
      <c r="AU106" s="114" t="str">
        <f ca="1">IF(AU$57="","",INDEX(Leverancer!BV:BV,ROW()-ROW(Leverancer!$AU$25)-6)*Leverancer!BV$96/1000)</f>
        <v/>
      </c>
      <c r="AV106" s="114" t="str">
        <f ca="1">IF(AV$57="","",INDEX(Leverancer!BW:BW,ROW()-ROW(Leverancer!$AU$25)-6)*Leverancer!BW$96/1000)</f>
        <v/>
      </c>
      <c r="AW106" s="114" t="str">
        <f ca="1">IF(AW$57="","",INDEX(Leverancer!BX:BX,ROW()-ROW(Leverancer!$AU$25)-6)*Leverancer!BX$96/1000)</f>
        <v/>
      </c>
      <c r="AX106" s="90"/>
      <c r="AY106" s="90"/>
      <c r="AZ106" s="87"/>
    </row>
    <row r="107" spans="14:52" ht="12.75" hidden="1" customHeight="1" outlineLevel="1" x14ac:dyDescent="0.2">
      <c r="N107" s="85"/>
      <c r="O107" s="90"/>
      <c r="P107" s="90"/>
      <c r="Q107" s="116" t="str">
        <f>INDEX(Leverancer!$AO$1:$AO$1061,ROW()-ROW(Leverancer!$AU$25)-6)&amp;": "&amp;INDEX(Leverancer!$AP$1:$AP$1061,ROW()-ROW(Leverancer!$AU$25)-6)</f>
        <v xml:space="preserve">L48: </v>
      </c>
      <c r="R107" s="114"/>
      <c r="S107" s="119">
        <f t="shared" ca="1" si="12"/>
        <v>0</v>
      </c>
      <c r="T107" s="114">
        <f ca="1">IF(T$57="","",INDEX(Leverancer!AU:AU,ROW()-ROW(Leverancer!$AU$25)-6)*Leverancer!AU$96/1000)</f>
        <v>0</v>
      </c>
      <c r="U107" s="114">
        <f ca="1">IF(U$57="","",INDEX(Leverancer!AV:AV,ROW()-ROW(Leverancer!$AU$25)-6)*Leverancer!AV$96/1000)</f>
        <v>0</v>
      </c>
      <c r="V107" s="114">
        <f ca="1">IF(V$57="","",INDEX(Leverancer!AW:AW,ROW()-ROW(Leverancer!$AU$25)-6)*Leverancer!AW$96/1000)</f>
        <v>0</v>
      </c>
      <c r="W107" s="114">
        <f ca="1">IF(W$57="","",INDEX(Leverancer!AX:AX,ROW()-ROW(Leverancer!$AU$25)-6)*Leverancer!AX$96/1000)</f>
        <v>0</v>
      </c>
      <c r="X107" s="114" t="str">
        <f ca="1">IF(X$57="","",INDEX(Leverancer!AY:AY,ROW()-ROW(Leverancer!$AU$25)-6)*Leverancer!AY$96/1000)</f>
        <v/>
      </c>
      <c r="Y107" s="114" t="str">
        <f ca="1">IF(Y$57="","",INDEX(Leverancer!AZ:AZ,ROW()-ROW(Leverancer!$AU$25)-6)*Leverancer!AZ$96/1000)</f>
        <v/>
      </c>
      <c r="Z107" s="114" t="str">
        <f ca="1">IF(Z$57="","",INDEX(Leverancer!BA:BA,ROW()-ROW(Leverancer!$AU$25)-6)*Leverancer!BA$96/1000)</f>
        <v/>
      </c>
      <c r="AA107" s="114" t="str">
        <f ca="1">IF(AA$57="","",INDEX(Leverancer!BB:BB,ROW()-ROW(Leverancer!$AU$25)-6)*Leverancer!BB$96/1000)</f>
        <v/>
      </c>
      <c r="AB107" s="114" t="str">
        <f ca="1">IF(AB$57="","",INDEX(Leverancer!BC:BC,ROW()-ROW(Leverancer!$AU$25)-6)*Leverancer!BC$96/1000)</f>
        <v/>
      </c>
      <c r="AC107" s="114" t="str">
        <f ca="1">IF(AC$57="","",INDEX(Leverancer!BD:BD,ROW()-ROW(Leverancer!$AU$25)-6)*Leverancer!BD$96/1000)</f>
        <v/>
      </c>
      <c r="AD107" s="114" t="str">
        <f ca="1">IF(AD$57="","",INDEX(Leverancer!BE:BE,ROW()-ROW(Leverancer!$AU$25)-6)*Leverancer!BE$96/1000)</f>
        <v/>
      </c>
      <c r="AE107" s="114" t="str">
        <f ca="1">IF(AE$57="","",INDEX(Leverancer!BF:BF,ROW()-ROW(Leverancer!$AU$25)-6)*Leverancer!BF$96/1000)</f>
        <v/>
      </c>
      <c r="AF107" s="114" t="str">
        <f ca="1">IF(AF$57="","",INDEX(Leverancer!BG:BG,ROW()-ROW(Leverancer!$AU$25)-6)*Leverancer!BG$96/1000)</f>
        <v/>
      </c>
      <c r="AG107" s="114" t="str">
        <f ca="1">IF(AG$57="","",INDEX(Leverancer!BH:BH,ROW()-ROW(Leverancer!$AU$25)-6)*Leverancer!BH$96/1000)</f>
        <v/>
      </c>
      <c r="AH107" s="114" t="str">
        <f ca="1">IF(AH$57="","",INDEX(Leverancer!BI:BI,ROW()-ROW(Leverancer!$AU$25)-6)*Leverancer!BI$96/1000)</f>
        <v/>
      </c>
      <c r="AI107" s="114" t="str">
        <f ca="1">IF(AI$57="","",INDEX(Leverancer!BJ:BJ,ROW()-ROW(Leverancer!$AU$25)-6)*Leverancer!BJ$96/1000)</f>
        <v/>
      </c>
      <c r="AJ107" s="114" t="str">
        <f ca="1">IF(AJ$57="","",INDEX(Leverancer!BK:BK,ROW()-ROW(Leverancer!$AU$25)-6)*Leverancer!BK$96/1000)</f>
        <v/>
      </c>
      <c r="AK107" s="114" t="str">
        <f ca="1">IF(AK$57="","",INDEX(Leverancer!BL:BL,ROW()-ROW(Leverancer!$AU$25)-6)*Leverancer!BL$96/1000)</f>
        <v/>
      </c>
      <c r="AL107" s="114" t="str">
        <f ca="1">IF(AL$57="","",INDEX(Leverancer!BM:BM,ROW()-ROW(Leverancer!$AU$25)-6)*Leverancer!BM$96/1000)</f>
        <v/>
      </c>
      <c r="AM107" s="114" t="str">
        <f ca="1">IF(AM$57="","",INDEX(Leverancer!BN:BN,ROW()-ROW(Leverancer!$AU$25)-6)*Leverancer!BN$96/1000)</f>
        <v/>
      </c>
      <c r="AN107" s="114" t="str">
        <f ca="1">IF(AN$57="","",INDEX(Leverancer!BO:BO,ROW()-ROW(Leverancer!$AU$25)-6)*Leverancer!BO$96/1000)</f>
        <v/>
      </c>
      <c r="AO107" s="114" t="str">
        <f ca="1">IF(AO$57="","",INDEX(Leverancer!BP:BP,ROW()-ROW(Leverancer!$AU$25)-6)*Leverancer!BP$96/1000)</f>
        <v/>
      </c>
      <c r="AP107" s="114" t="str">
        <f ca="1">IF(AP$57="","",INDEX(Leverancer!BQ:BQ,ROW()-ROW(Leverancer!$AU$25)-6)*Leverancer!BQ$96/1000)</f>
        <v/>
      </c>
      <c r="AQ107" s="114" t="str">
        <f ca="1">IF(AQ$57="","",INDEX(Leverancer!BR:BR,ROW()-ROW(Leverancer!$AU$25)-6)*Leverancer!BR$96/1000)</f>
        <v/>
      </c>
      <c r="AR107" s="114" t="str">
        <f ca="1">IF(AR$57="","",INDEX(Leverancer!BS:BS,ROW()-ROW(Leverancer!$AU$25)-6)*Leverancer!BS$96/1000)</f>
        <v/>
      </c>
      <c r="AS107" s="114" t="str">
        <f ca="1">IF(AS$57="","",INDEX(Leverancer!BT:BT,ROW()-ROW(Leverancer!$AU$25)-6)*Leverancer!BT$96/1000)</f>
        <v/>
      </c>
      <c r="AT107" s="114" t="str">
        <f ca="1">IF(AT$57="","",INDEX(Leverancer!BU:BU,ROW()-ROW(Leverancer!$AU$25)-6)*Leverancer!BU$96/1000)</f>
        <v/>
      </c>
      <c r="AU107" s="114" t="str">
        <f ca="1">IF(AU$57="","",INDEX(Leverancer!BV:BV,ROW()-ROW(Leverancer!$AU$25)-6)*Leverancer!BV$96/1000)</f>
        <v/>
      </c>
      <c r="AV107" s="114" t="str">
        <f ca="1">IF(AV$57="","",INDEX(Leverancer!BW:BW,ROW()-ROW(Leverancer!$AU$25)-6)*Leverancer!BW$96/1000)</f>
        <v/>
      </c>
      <c r="AW107" s="114" t="str">
        <f ca="1">IF(AW$57="","",INDEX(Leverancer!BX:BX,ROW()-ROW(Leverancer!$AU$25)-6)*Leverancer!BX$96/1000)</f>
        <v/>
      </c>
      <c r="AX107" s="90"/>
      <c r="AY107" s="90"/>
      <c r="AZ107" s="87"/>
    </row>
    <row r="108" spans="14:52" ht="12.75" hidden="1" customHeight="1" outlineLevel="1" x14ac:dyDescent="0.2">
      <c r="N108" s="85"/>
      <c r="O108" s="90"/>
      <c r="P108" s="90"/>
      <c r="Q108" s="116" t="str">
        <f>INDEX(Leverancer!$AO$1:$AO$1061,ROW()-ROW(Leverancer!$AU$25)-6)&amp;": "&amp;INDEX(Leverancer!$AP$1:$AP$1061,ROW()-ROW(Leverancer!$AU$25)-6)</f>
        <v xml:space="preserve">L49: </v>
      </c>
      <c r="R108" s="114"/>
      <c r="S108" s="119">
        <f t="shared" ca="1" si="12"/>
        <v>0</v>
      </c>
      <c r="T108" s="114">
        <f ca="1">IF(T$57="","",INDEX(Leverancer!AU:AU,ROW()-ROW(Leverancer!$AU$25)-6)*Leverancer!AU$96/1000)</f>
        <v>0</v>
      </c>
      <c r="U108" s="114">
        <f ca="1">IF(U$57="","",INDEX(Leverancer!AV:AV,ROW()-ROW(Leverancer!$AU$25)-6)*Leverancer!AV$96/1000)</f>
        <v>0</v>
      </c>
      <c r="V108" s="114">
        <f ca="1">IF(V$57="","",INDEX(Leverancer!AW:AW,ROW()-ROW(Leverancer!$AU$25)-6)*Leverancer!AW$96/1000)</f>
        <v>0</v>
      </c>
      <c r="W108" s="114">
        <f ca="1">IF(W$57="","",INDEX(Leverancer!AX:AX,ROW()-ROW(Leverancer!$AU$25)-6)*Leverancer!AX$96/1000)</f>
        <v>0</v>
      </c>
      <c r="X108" s="114" t="str">
        <f ca="1">IF(X$57="","",INDEX(Leverancer!AY:AY,ROW()-ROW(Leverancer!$AU$25)-6)*Leverancer!AY$96/1000)</f>
        <v/>
      </c>
      <c r="Y108" s="114" t="str">
        <f ca="1">IF(Y$57="","",INDEX(Leverancer!AZ:AZ,ROW()-ROW(Leverancer!$AU$25)-6)*Leverancer!AZ$96/1000)</f>
        <v/>
      </c>
      <c r="Z108" s="114" t="str">
        <f ca="1">IF(Z$57="","",INDEX(Leverancer!BA:BA,ROW()-ROW(Leverancer!$AU$25)-6)*Leverancer!BA$96/1000)</f>
        <v/>
      </c>
      <c r="AA108" s="114" t="str">
        <f ca="1">IF(AA$57="","",INDEX(Leverancer!BB:BB,ROW()-ROW(Leverancer!$AU$25)-6)*Leverancer!BB$96/1000)</f>
        <v/>
      </c>
      <c r="AB108" s="114" t="str">
        <f ca="1">IF(AB$57="","",INDEX(Leverancer!BC:BC,ROW()-ROW(Leverancer!$AU$25)-6)*Leverancer!BC$96/1000)</f>
        <v/>
      </c>
      <c r="AC108" s="114" t="str">
        <f ca="1">IF(AC$57="","",INDEX(Leverancer!BD:BD,ROW()-ROW(Leverancer!$AU$25)-6)*Leverancer!BD$96/1000)</f>
        <v/>
      </c>
      <c r="AD108" s="114" t="str">
        <f ca="1">IF(AD$57="","",INDEX(Leverancer!BE:BE,ROW()-ROW(Leverancer!$AU$25)-6)*Leverancer!BE$96/1000)</f>
        <v/>
      </c>
      <c r="AE108" s="114" t="str">
        <f ca="1">IF(AE$57="","",INDEX(Leverancer!BF:BF,ROW()-ROW(Leverancer!$AU$25)-6)*Leverancer!BF$96/1000)</f>
        <v/>
      </c>
      <c r="AF108" s="114" t="str">
        <f ca="1">IF(AF$57="","",INDEX(Leverancer!BG:BG,ROW()-ROW(Leverancer!$AU$25)-6)*Leverancer!BG$96/1000)</f>
        <v/>
      </c>
      <c r="AG108" s="114" t="str">
        <f ca="1">IF(AG$57="","",INDEX(Leverancer!BH:BH,ROW()-ROW(Leverancer!$AU$25)-6)*Leverancer!BH$96/1000)</f>
        <v/>
      </c>
      <c r="AH108" s="114" t="str">
        <f ca="1">IF(AH$57="","",INDEX(Leverancer!BI:BI,ROW()-ROW(Leverancer!$AU$25)-6)*Leverancer!BI$96/1000)</f>
        <v/>
      </c>
      <c r="AI108" s="114" t="str">
        <f ca="1">IF(AI$57="","",INDEX(Leverancer!BJ:BJ,ROW()-ROW(Leverancer!$AU$25)-6)*Leverancer!BJ$96/1000)</f>
        <v/>
      </c>
      <c r="AJ108" s="114" t="str">
        <f ca="1">IF(AJ$57="","",INDEX(Leverancer!BK:BK,ROW()-ROW(Leverancer!$AU$25)-6)*Leverancer!BK$96/1000)</f>
        <v/>
      </c>
      <c r="AK108" s="114" t="str">
        <f ca="1">IF(AK$57="","",INDEX(Leverancer!BL:BL,ROW()-ROW(Leverancer!$AU$25)-6)*Leverancer!BL$96/1000)</f>
        <v/>
      </c>
      <c r="AL108" s="114" t="str">
        <f ca="1">IF(AL$57="","",INDEX(Leverancer!BM:BM,ROW()-ROW(Leverancer!$AU$25)-6)*Leverancer!BM$96/1000)</f>
        <v/>
      </c>
      <c r="AM108" s="114" t="str">
        <f ca="1">IF(AM$57="","",INDEX(Leverancer!BN:BN,ROW()-ROW(Leverancer!$AU$25)-6)*Leverancer!BN$96/1000)</f>
        <v/>
      </c>
      <c r="AN108" s="114" t="str">
        <f ca="1">IF(AN$57="","",INDEX(Leverancer!BO:BO,ROW()-ROW(Leverancer!$AU$25)-6)*Leverancer!BO$96/1000)</f>
        <v/>
      </c>
      <c r="AO108" s="114" t="str">
        <f ca="1">IF(AO$57="","",INDEX(Leverancer!BP:BP,ROW()-ROW(Leverancer!$AU$25)-6)*Leverancer!BP$96/1000)</f>
        <v/>
      </c>
      <c r="AP108" s="114" t="str">
        <f ca="1">IF(AP$57="","",INDEX(Leverancer!BQ:BQ,ROW()-ROW(Leverancer!$AU$25)-6)*Leverancer!BQ$96/1000)</f>
        <v/>
      </c>
      <c r="AQ108" s="114" t="str">
        <f ca="1">IF(AQ$57="","",INDEX(Leverancer!BR:BR,ROW()-ROW(Leverancer!$AU$25)-6)*Leverancer!BR$96/1000)</f>
        <v/>
      </c>
      <c r="AR108" s="114" t="str">
        <f ca="1">IF(AR$57="","",INDEX(Leverancer!BS:BS,ROW()-ROW(Leverancer!$AU$25)-6)*Leverancer!BS$96/1000)</f>
        <v/>
      </c>
      <c r="AS108" s="114" t="str">
        <f ca="1">IF(AS$57="","",INDEX(Leverancer!BT:BT,ROW()-ROW(Leverancer!$AU$25)-6)*Leverancer!BT$96/1000)</f>
        <v/>
      </c>
      <c r="AT108" s="114" t="str">
        <f ca="1">IF(AT$57="","",INDEX(Leverancer!BU:BU,ROW()-ROW(Leverancer!$AU$25)-6)*Leverancer!BU$96/1000)</f>
        <v/>
      </c>
      <c r="AU108" s="114" t="str">
        <f ca="1">IF(AU$57="","",INDEX(Leverancer!BV:BV,ROW()-ROW(Leverancer!$AU$25)-6)*Leverancer!BV$96/1000)</f>
        <v/>
      </c>
      <c r="AV108" s="114" t="str">
        <f ca="1">IF(AV$57="","",INDEX(Leverancer!BW:BW,ROW()-ROW(Leverancer!$AU$25)-6)*Leverancer!BW$96/1000)</f>
        <v/>
      </c>
      <c r="AW108" s="114" t="str">
        <f ca="1">IF(AW$57="","",INDEX(Leverancer!BX:BX,ROW()-ROW(Leverancer!$AU$25)-6)*Leverancer!BX$96/1000)</f>
        <v/>
      </c>
      <c r="AX108" s="90"/>
      <c r="AY108" s="90"/>
      <c r="AZ108" s="87"/>
    </row>
    <row r="109" spans="14:52" ht="12.75" hidden="1" customHeight="1" outlineLevel="1" x14ac:dyDescent="0.2">
      <c r="N109" s="85"/>
      <c r="O109" s="90"/>
      <c r="P109" s="90"/>
      <c r="Q109" s="116" t="str">
        <f>INDEX(Leverancer!$AO$1:$AO$1061,ROW()-ROW(Leverancer!$AU$25)-6)&amp;": "&amp;INDEX(Leverancer!$AP$1:$AP$1061,ROW()-ROW(Leverancer!$AU$25)-6)</f>
        <v xml:space="preserve">L50: </v>
      </c>
      <c r="R109" s="114"/>
      <c r="S109" s="119">
        <f t="shared" ca="1" si="12"/>
        <v>0</v>
      </c>
      <c r="T109" s="114">
        <f ca="1">IF(T$57="","",INDEX(Leverancer!AU:AU,ROW()-ROW(Leverancer!$AU$25)-6)*Leverancer!AU$96/1000)</f>
        <v>0</v>
      </c>
      <c r="U109" s="114">
        <f ca="1">IF(U$57="","",INDEX(Leverancer!AV:AV,ROW()-ROW(Leverancer!$AU$25)-6)*Leverancer!AV$96/1000)</f>
        <v>0</v>
      </c>
      <c r="V109" s="114">
        <f ca="1">IF(V$57="","",INDEX(Leverancer!AW:AW,ROW()-ROW(Leverancer!$AU$25)-6)*Leverancer!AW$96/1000)</f>
        <v>0</v>
      </c>
      <c r="W109" s="114">
        <f ca="1">IF(W$57="","",INDEX(Leverancer!AX:AX,ROW()-ROW(Leverancer!$AU$25)-6)*Leverancer!AX$96/1000)</f>
        <v>0</v>
      </c>
      <c r="X109" s="114" t="str">
        <f ca="1">IF(X$57="","",INDEX(Leverancer!AY:AY,ROW()-ROW(Leverancer!$AU$25)-6)*Leverancer!AY$96/1000)</f>
        <v/>
      </c>
      <c r="Y109" s="114" t="str">
        <f ca="1">IF(Y$57="","",INDEX(Leverancer!AZ:AZ,ROW()-ROW(Leverancer!$AU$25)-6)*Leverancer!AZ$96/1000)</f>
        <v/>
      </c>
      <c r="Z109" s="114" t="str">
        <f ca="1">IF(Z$57="","",INDEX(Leverancer!BA:BA,ROW()-ROW(Leverancer!$AU$25)-6)*Leverancer!BA$96/1000)</f>
        <v/>
      </c>
      <c r="AA109" s="114" t="str">
        <f ca="1">IF(AA$57="","",INDEX(Leverancer!BB:BB,ROW()-ROW(Leverancer!$AU$25)-6)*Leverancer!BB$96/1000)</f>
        <v/>
      </c>
      <c r="AB109" s="114" t="str">
        <f ca="1">IF(AB$57="","",INDEX(Leverancer!BC:BC,ROW()-ROW(Leverancer!$AU$25)-6)*Leverancer!BC$96/1000)</f>
        <v/>
      </c>
      <c r="AC109" s="114" t="str">
        <f ca="1">IF(AC$57="","",INDEX(Leverancer!BD:BD,ROW()-ROW(Leverancer!$AU$25)-6)*Leverancer!BD$96/1000)</f>
        <v/>
      </c>
      <c r="AD109" s="114" t="str">
        <f ca="1">IF(AD$57="","",INDEX(Leverancer!BE:BE,ROW()-ROW(Leverancer!$AU$25)-6)*Leverancer!BE$96/1000)</f>
        <v/>
      </c>
      <c r="AE109" s="114" t="str">
        <f ca="1">IF(AE$57="","",INDEX(Leverancer!BF:BF,ROW()-ROW(Leverancer!$AU$25)-6)*Leverancer!BF$96/1000)</f>
        <v/>
      </c>
      <c r="AF109" s="114" t="str">
        <f ca="1">IF(AF$57="","",INDEX(Leverancer!BG:BG,ROW()-ROW(Leverancer!$AU$25)-6)*Leverancer!BG$96/1000)</f>
        <v/>
      </c>
      <c r="AG109" s="114" t="str">
        <f ca="1">IF(AG$57="","",INDEX(Leverancer!BH:BH,ROW()-ROW(Leverancer!$AU$25)-6)*Leverancer!BH$96/1000)</f>
        <v/>
      </c>
      <c r="AH109" s="114" t="str">
        <f ca="1">IF(AH$57="","",INDEX(Leverancer!BI:BI,ROW()-ROW(Leverancer!$AU$25)-6)*Leverancer!BI$96/1000)</f>
        <v/>
      </c>
      <c r="AI109" s="114" t="str">
        <f ca="1">IF(AI$57="","",INDEX(Leverancer!BJ:BJ,ROW()-ROW(Leverancer!$AU$25)-6)*Leverancer!BJ$96/1000)</f>
        <v/>
      </c>
      <c r="AJ109" s="114" t="str">
        <f ca="1">IF(AJ$57="","",INDEX(Leverancer!BK:BK,ROW()-ROW(Leverancer!$AU$25)-6)*Leverancer!BK$96/1000)</f>
        <v/>
      </c>
      <c r="AK109" s="114" t="str">
        <f ca="1">IF(AK$57="","",INDEX(Leverancer!BL:BL,ROW()-ROW(Leverancer!$AU$25)-6)*Leverancer!BL$96/1000)</f>
        <v/>
      </c>
      <c r="AL109" s="114" t="str">
        <f ca="1">IF(AL$57="","",INDEX(Leverancer!BM:BM,ROW()-ROW(Leverancer!$AU$25)-6)*Leverancer!BM$96/1000)</f>
        <v/>
      </c>
      <c r="AM109" s="114" t="str">
        <f ca="1">IF(AM$57="","",INDEX(Leverancer!BN:BN,ROW()-ROW(Leverancer!$AU$25)-6)*Leverancer!BN$96/1000)</f>
        <v/>
      </c>
      <c r="AN109" s="114" t="str">
        <f ca="1">IF(AN$57="","",INDEX(Leverancer!BO:BO,ROW()-ROW(Leverancer!$AU$25)-6)*Leverancer!BO$96/1000)</f>
        <v/>
      </c>
      <c r="AO109" s="114" t="str">
        <f ca="1">IF(AO$57="","",INDEX(Leverancer!BP:BP,ROW()-ROW(Leverancer!$AU$25)-6)*Leverancer!BP$96/1000)</f>
        <v/>
      </c>
      <c r="AP109" s="114" t="str">
        <f ca="1">IF(AP$57="","",INDEX(Leverancer!BQ:BQ,ROW()-ROW(Leverancer!$AU$25)-6)*Leverancer!BQ$96/1000)</f>
        <v/>
      </c>
      <c r="AQ109" s="114" t="str">
        <f ca="1">IF(AQ$57="","",INDEX(Leverancer!BR:BR,ROW()-ROW(Leverancer!$AU$25)-6)*Leverancer!BR$96/1000)</f>
        <v/>
      </c>
      <c r="AR109" s="114" t="str">
        <f ca="1">IF(AR$57="","",INDEX(Leverancer!BS:BS,ROW()-ROW(Leverancer!$AU$25)-6)*Leverancer!BS$96/1000)</f>
        <v/>
      </c>
      <c r="AS109" s="114" t="str">
        <f ca="1">IF(AS$57="","",INDEX(Leverancer!BT:BT,ROW()-ROW(Leverancer!$AU$25)-6)*Leverancer!BT$96/1000)</f>
        <v/>
      </c>
      <c r="AT109" s="114" t="str">
        <f ca="1">IF(AT$57="","",INDEX(Leverancer!BU:BU,ROW()-ROW(Leverancer!$AU$25)-6)*Leverancer!BU$96/1000)</f>
        <v/>
      </c>
      <c r="AU109" s="114" t="str">
        <f ca="1">IF(AU$57="","",INDEX(Leverancer!BV:BV,ROW()-ROW(Leverancer!$AU$25)-6)*Leverancer!BV$96/1000)</f>
        <v/>
      </c>
      <c r="AV109" s="114" t="str">
        <f ca="1">IF(AV$57="","",INDEX(Leverancer!BW:BW,ROW()-ROW(Leverancer!$AU$25)-6)*Leverancer!BW$96/1000)</f>
        <v/>
      </c>
      <c r="AW109" s="114" t="str">
        <f ca="1">IF(AW$57="","",INDEX(Leverancer!BX:BX,ROW()-ROW(Leverancer!$AU$25)-6)*Leverancer!BX$96/1000)</f>
        <v/>
      </c>
      <c r="AX109" s="90"/>
      <c r="AY109" s="90"/>
      <c r="AZ109" s="87"/>
    </row>
    <row r="110" spans="14:52" ht="12.75" hidden="1" customHeight="1" outlineLevel="1" x14ac:dyDescent="0.2">
      <c r="N110" s="85"/>
      <c r="O110" s="90"/>
      <c r="P110" s="90"/>
      <c r="Q110" s="116" t="str">
        <f>INDEX(Leverancer!$AO$1:$AO$1061,ROW()-ROW(Leverancer!$AU$25)-6)&amp;": "&amp;INDEX(Leverancer!$AP$1:$AP$1061,ROW()-ROW(Leverancer!$AU$25)-6)</f>
        <v xml:space="preserve">L51: </v>
      </c>
      <c r="R110" s="114"/>
      <c r="S110" s="119">
        <f t="shared" ca="1" si="12"/>
        <v>0</v>
      </c>
      <c r="T110" s="114">
        <f ca="1">IF(T$57="","",INDEX(Leverancer!AU:AU,ROW()-ROW(Leverancer!$AU$25)-6)*Leverancer!AU$96/1000)</f>
        <v>0</v>
      </c>
      <c r="U110" s="114">
        <f ca="1">IF(U$57="","",INDEX(Leverancer!AV:AV,ROW()-ROW(Leverancer!$AU$25)-6)*Leverancer!AV$96/1000)</f>
        <v>0</v>
      </c>
      <c r="V110" s="114">
        <f ca="1">IF(V$57="","",INDEX(Leverancer!AW:AW,ROW()-ROW(Leverancer!$AU$25)-6)*Leverancer!AW$96/1000)</f>
        <v>0</v>
      </c>
      <c r="W110" s="114">
        <f ca="1">IF(W$57="","",INDEX(Leverancer!AX:AX,ROW()-ROW(Leverancer!$AU$25)-6)*Leverancer!AX$96/1000)</f>
        <v>0</v>
      </c>
      <c r="X110" s="114" t="str">
        <f ca="1">IF(X$57="","",INDEX(Leverancer!AY:AY,ROW()-ROW(Leverancer!$AU$25)-6)*Leverancer!AY$96/1000)</f>
        <v/>
      </c>
      <c r="Y110" s="114" t="str">
        <f ca="1">IF(Y$57="","",INDEX(Leverancer!AZ:AZ,ROW()-ROW(Leverancer!$AU$25)-6)*Leverancer!AZ$96/1000)</f>
        <v/>
      </c>
      <c r="Z110" s="114" t="str">
        <f ca="1">IF(Z$57="","",INDEX(Leverancer!BA:BA,ROW()-ROW(Leverancer!$AU$25)-6)*Leverancer!BA$96/1000)</f>
        <v/>
      </c>
      <c r="AA110" s="114" t="str">
        <f ca="1">IF(AA$57="","",INDEX(Leverancer!BB:BB,ROW()-ROW(Leverancer!$AU$25)-6)*Leverancer!BB$96/1000)</f>
        <v/>
      </c>
      <c r="AB110" s="114" t="str">
        <f ca="1">IF(AB$57="","",INDEX(Leverancer!BC:BC,ROW()-ROW(Leverancer!$AU$25)-6)*Leverancer!BC$96/1000)</f>
        <v/>
      </c>
      <c r="AC110" s="114" t="str">
        <f ca="1">IF(AC$57="","",INDEX(Leverancer!BD:BD,ROW()-ROW(Leverancer!$AU$25)-6)*Leverancer!BD$96/1000)</f>
        <v/>
      </c>
      <c r="AD110" s="114" t="str">
        <f ca="1">IF(AD$57="","",INDEX(Leverancer!BE:BE,ROW()-ROW(Leverancer!$AU$25)-6)*Leverancer!BE$96/1000)</f>
        <v/>
      </c>
      <c r="AE110" s="114" t="str">
        <f ca="1">IF(AE$57="","",INDEX(Leverancer!BF:BF,ROW()-ROW(Leverancer!$AU$25)-6)*Leverancer!BF$96/1000)</f>
        <v/>
      </c>
      <c r="AF110" s="114" t="str">
        <f ca="1">IF(AF$57="","",INDEX(Leverancer!BG:BG,ROW()-ROW(Leverancer!$AU$25)-6)*Leverancer!BG$96/1000)</f>
        <v/>
      </c>
      <c r="AG110" s="114" t="str">
        <f ca="1">IF(AG$57="","",INDEX(Leverancer!BH:BH,ROW()-ROW(Leverancer!$AU$25)-6)*Leverancer!BH$96/1000)</f>
        <v/>
      </c>
      <c r="AH110" s="114" t="str">
        <f ca="1">IF(AH$57="","",INDEX(Leverancer!BI:BI,ROW()-ROW(Leverancer!$AU$25)-6)*Leverancer!BI$96/1000)</f>
        <v/>
      </c>
      <c r="AI110" s="114" t="str">
        <f ca="1">IF(AI$57="","",INDEX(Leverancer!BJ:BJ,ROW()-ROW(Leverancer!$AU$25)-6)*Leverancer!BJ$96/1000)</f>
        <v/>
      </c>
      <c r="AJ110" s="114" t="str">
        <f ca="1">IF(AJ$57="","",INDEX(Leverancer!BK:BK,ROW()-ROW(Leverancer!$AU$25)-6)*Leverancer!BK$96/1000)</f>
        <v/>
      </c>
      <c r="AK110" s="114" t="str">
        <f ca="1">IF(AK$57="","",INDEX(Leverancer!BL:BL,ROW()-ROW(Leverancer!$AU$25)-6)*Leverancer!BL$96/1000)</f>
        <v/>
      </c>
      <c r="AL110" s="114" t="str">
        <f ca="1">IF(AL$57="","",INDEX(Leverancer!BM:BM,ROW()-ROW(Leverancer!$AU$25)-6)*Leverancer!BM$96/1000)</f>
        <v/>
      </c>
      <c r="AM110" s="114" t="str">
        <f ca="1">IF(AM$57="","",INDEX(Leverancer!BN:BN,ROW()-ROW(Leverancer!$AU$25)-6)*Leverancer!BN$96/1000)</f>
        <v/>
      </c>
      <c r="AN110" s="114" t="str">
        <f ca="1">IF(AN$57="","",INDEX(Leverancer!BO:BO,ROW()-ROW(Leverancer!$AU$25)-6)*Leverancer!BO$96/1000)</f>
        <v/>
      </c>
      <c r="AO110" s="114" t="str">
        <f ca="1">IF(AO$57="","",INDEX(Leverancer!BP:BP,ROW()-ROW(Leverancer!$AU$25)-6)*Leverancer!BP$96/1000)</f>
        <v/>
      </c>
      <c r="AP110" s="114" t="str">
        <f ca="1">IF(AP$57="","",INDEX(Leverancer!BQ:BQ,ROW()-ROW(Leverancer!$AU$25)-6)*Leverancer!BQ$96/1000)</f>
        <v/>
      </c>
      <c r="AQ110" s="114" t="str">
        <f ca="1">IF(AQ$57="","",INDEX(Leverancer!BR:BR,ROW()-ROW(Leverancer!$AU$25)-6)*Leverancer!BR$96/1000)</f>
        <v/>
      </c>
      <c r="AR110" s="114" t="str">
        <f ca="1">IF(AR$57="","",INDEX(Leverancer!BS:BS,ROW()-ROW(Leverancer!$AU$25)-6)*Leverancer!BS$96/1000)</f>
        <v/>
      </c>
      <c r="AS110" s="114" t="str">
        <f ca="1">IF(AS$57="","",INDEX(Leverancer!BT:BT,ROW()-ROW(Leverancer!$AU$25)-6)*Leverancer!BT$96/1000)</f>
        <v/>
      </c>
      <c r="AT110" s="114" t="str">
        <f ca="1">IF(AT$57="","",INDEX(Leverancer!BU:BU,ROW()-ROW(Leverancer!$AU$25)-6)*Leverancer!BU$96/1000)</f>
        <v/>
      </c>
      <c r="AU110" s="114" t="str">
        <f ca="1">IF(AU$57="","",INDEX(Leverancer!BV:BV,ROW()-ROW(Leverancer!$AU$25)-6)*Leverancer!BV$96/1000)</f>
        <v/>
      </c>
      <c r="AV110" s="114" t="str">
        <f ca="1">IF(AV$57="","",INDEX(Leverancer!BW:BW,ROW()-ROW(Leverancer!$AU$25)-6)*Leverancer!BW$96/1000)</f>
        <v/>
      </c>
      <c r="AW110" s="114" t="str">
        <f ca="1">IF(AW$57="","",INDEX(Leverancer!BX:BX,ROW()-ROW(Leverancer!$AU$25)-6)*Leverancer!BX$96/1000)</f>
        <v/>
      </c>
      <c r="AX110" s="90"/>
      <c r="AY110" s="90"/>
      <c r="AZ110" s="87"/>
    </row>
    <row r="111" spans="14:52" ht="12.75" hidden="1" customHeight="1" outlineLevel="1" x14ac:dyDescent="0.2">
      <c r="N111" s="85"/>
      <c r="O111" s="90"/>
      <c r="P111" s="90"/>
      <c r="Q111" s="116" t="str">
        <f>INDEX(Leverancer!$AO$1:$AO$1061,ROW()-ROW(Leverancer!$AU$25)-6)&amp;": "&amp;INDEX(Leverancer!$AP$1:$AP$1061,ROW()-ROW(Leverancer!$AU$25)-6)</f>
        <v xml:space="preserve">L52: </v>
      </c>
      <c r="R111" s="114"/>
      <c r="S111" s="119">
        <f t="shared" ca="1" si="12"/>
        <v>0</v>
      </c>
      <c r="T111" s="114">
        <f ca="1">IF(T$57="","",INDEX(Leverancer!AU:AU,ROW()-ROW(Leverancer!$AU$25)-6)*Leverancer!AU$96/1000)</f>
        <v>0</v>
      </c>
      <c r="U111" s="114">
        <f ca="1">IF(U$57="","",INDEX(Leverancer!AV:AV,ROW()-ROW(Leverancer!$AU$25)-6)*Leverancer!AV$96/1000)</f>
        <v>0</v>
      </c>
      <c r="V111" s="114">
        <f ca="1">IF(V$57="","",INDEX(Leverancer!AW:AW,ROW()-ROW(Leverancer!$AU$25)-6)*Leverancer!AW$96/1000)</f>
        <v>0</v>
      </c>
      <c r="W111" s="114">
        <f ca="1">IF(W$57="","",INDEX(Leverancer!AX:AX,ROW()-ROW(Leverancer!$AU$25)-6)*Leverancer!AX$96/1000)</f>
        <v>0</v>
      </c>
      <c r="X111" s="114" t="str">
        <f ca="1">IF(X$57="","",INDEX(Leverancer!AY:AY,ROW()-ROW(Leverancer!$AU$25)-6)*Leverancer!AY$96/1000)</f>
        <v/>
      </c>
      <c r="Y111" s="114" t="str">
        <f ca="1">IF(Y$57="","",INDEX(Leverancer!AZ:AZ,ROW()-ROW(Leverancer!$AU$25)-6)*Leverancer!AZ$96/1000)</f>
        <v/>
      </c>
      <c r="Z111" s="114" t="str">
        <f ca="1">IF(Z$57="","",INDEX(Leverancer!BA:BA,ROW()-ROW(Leverancer!$AU$25)-6)*Leverancer!BA$96/1000)</f>
        <v/>
      </c>
      <c r="AA111" s="114" t="str">
        <f ca="1">IF(AA$57="","",INDEX(Leverancer!BB:BB,ROW()-ROW(Leverancer!$AU$25)-6)*Leverancer!BB$96/1000)</f>
        <v/>
      </c>
      <c r="AB111" s="114" t="str">
        <f ca="1">IF(AB$57="","",INDEX(Leverancer!BC:BC,ROW()-ROW(Leverancer!$AU$25)-6)*Leverancer!BC$96/1000)</f>
        <v/>
      </c>
      <c r="AC111" s="114" t="str">
        <f ca="1">IF(AC$57="","",INDEX(Leverancer!BD:BD,ROW()-ROW(Leverancer!$AU$25)-6)*Leverancer!BD$96/1000)</f>
        <v/>
      </c>
      <c r="AD111" s="114" t="str">
        <f ca="1">IF(AD$57="","",INDEX(Leverancer!BE:BE,ROW()-ROW(Leverancer!$AU$25)-6)*Leverancer!BE$96/1000)</f>
        <v/>
      </c>
      <c r="AE111" s="114" t="str">
        <f ca="1">IF(AE$57="","",INDEX(Leverancer!BF:BF,ROW()-ROW(Leverancer!$AU$25)-6)*Leverancer!BF$96/1000)</f>
        <v/>
      </c>
      <c r="AF111" s="114" t="str">
        <f ca="1">IF(AF$57="","",INDEX(Leverancer!BG:BG,ROW()-ROW(Leverancer!$AU$25)-6)*Leverancer!BG$96/1000)</f>
        <v/>
      </c>
      <c r="AG111" s="114" t="str">
        <f ca="1">IF(AG$57="","",INDEX(Leverancer!BH:BH,ROW()-ROW(Leverancer!$AU$25)-6)*Leverancer!BH$96/1000)</f>
        <v/>
      </c>
      <c r="AH111" s="114" t="str">
        <f ca="1">IF(AH$57="","",INDEX(Leverancer!BI:BI,ROW()-ROW(Leverancer!$AU$25)-6)*Leverancer!BI$96/1000)</f>
        <v/>
      </c>
      <c r="AI111" s="114" t="str">
        <f ca="1">IF(AI$57="","",INDEX(Leverancer!BJ:BJ,ROW()-ROW(Leverancer!$AU$25)-6)*Leverancer!BJ$96/1000)</f>
        <v/>
      </c>
      <c r="AJ111" s="114" t="str">
        <f ca="1">IF(AJ$57="","",INDEX(Leverancer!BK:BK,ROW()-ROW(Leverancer!$AU$25)-6)*Leverancer!BK$96/1000)</f>
        <v/>
      </c>
      <c r="AK111" s="114" t="str">
        <f ca="1">IF(AK$57="","",INDEX(Leverancer!BL:BL,ROW()-ROW(Leverancer!$AU$25)-6)*Leverancer!BL$96/1000)</f>
        <v/>
      </c>
      <c r="AL111" s="114" t="str">
        <f ca="1">IF(AL$57="","",INDEX(Leverancer!BM:BM,ROW()-ROW(Leverancer!$AU$25)-6)*Leverancer!BM$96/1000)</f>
        <v/>
      </c>
      <c r="AM111" s="114" t="str">
        <f ca="1">IF(AM$57="","",INDEX(Leverancer!BN:BN,ROW()-ROW(Leverancer!$AU$25)-6)*Leverancer!BN$96/1000)</f>
        <v/>
      </c>
      <c r="AN111" s="114" t="str">
        <f ca="1">IF(AN$57="","",INDEX(Leverancer!BO:BO,ROW()-ROW(Leverancer!$AU$25)-6)*Leverancer!BO$96/1000)</f>
        <v/>
      </c>
      <c r="AO111" s="114" t="str">
        <f ca="1">IF(AO$57="","",INDEX(Leverancer!BP:BP,ROW()-ROW(Leverancer!$AU$25)-6)*Leverancer!BP$96/1000)</f>
        <v/>
      </c>
      <c r="AP111" s="114" t="str">
        <f ca="1">IF(AP$57="","",INDEX(Leverancer!BQ:BQ,ROW()-ROW(Leverancer!$AU$25)-6)*Leverancer!BQ$96/1000)</f>
        <v/>
      </c>
      <c r="AQ111" s="114" t="str">
        <f ca="1">IF(AQ$57="","",INDEX(Leverancer!BR:BR,ROW()-ROW(Leverancer!$AU$25)-6)*Leverancer!BR$96/1000)</f>
        <v/>
      </c>
      <c r="AR111" s="114" t="str">
        <f ca="1">IF(AR$57="","",INDEX(Leverancer!BS:BS,ROW()-ROW(Leverancer!$AU$25)-6)*Leverancer!BS$96/1000)</f>
        <v/>
      </c>
      <c r="AS111" s="114" t="str">
        <f ca="1">IF(AS$57="","",INDEX(Leverancer!BT:BT,ROW()-ROW(Leverancer!$AU$25)-6)*Leverancer!BT$96/1000)</f>
        <v/>
      </c>
      <c r="AT111" s="114" t="str">
        <f ca="1">IF(AT$57="","",INDEX(Leverancer!BU:BU,ROW()-ROW(Leverancer!$AU$25)-6)*Leverancer!BU$96/1000)</f>
        <v/>
      </c>
      <c r="AU111" s="114" t="str">
        <f ca="1">IF(AU$57="","",INDEX(Leverancer!BV:BV,ROW()-ROW(Leverancer!$AU$25)-6)*Leverancer!BV$96/1000)</f>
        <v/>
      </c>
      <c r="AV111" s="114" t="str">
        <f ca="1">IF(AV$57="","",INDEX(Leverancer!BW:BW,ROW()-ROW(Leverancer!$AU$25)-6)*Leverancer!BW$96/1000)</f>
        <v/>
      </c>
      <c r="AW111" s="114" t="str">
        <f ca="1">IF(AW$57="","",INDEX(Leverancer!BX:BX,ROW()-ROW(Leverancer!$AU$25)-6)*Leverancer!BX$96/1000)</f>
        <v/>
      </c>
      <c r="AX111" s="90"/>
      <c r="AY111" s="90"/>
      <c r="AZ111" s="87"/>
    </row>
    <row r="112" spans="14:52" ht="12.75" hidden="1" customHeight="1" outlineLevel="1" x14ac:dyDescent="0.2">
      <c r="N112" s="85"/>
      <c r="O112" s="90"/>
      <c r="P112" s="90"/>
      <c r="Q112" s="116" t="str">
        <f>INDEX(Leverancer!$AO$1:$AO$1061,ROW()-ROW(Leverancer!$AU$25)-6)&amp;": "&amp;INDEX(Leverancer!$AP$1:$AP$1061,ROW()-ROW(Leverancer!$AU$25)-6)</f>
        <v xml:space="preserve">L53: </v>
      </c>
      <c r="R112" s="114"/>
      <c r="S112" s="119">
        <f t="shared" ca="1" si="12"/>
        <v>0</v>
      </c>
      <c r="T112" s="114">
        <f ca="1">IF(T$57="","",INDEX(Leverancer!AU:AU,ROW()-ROW(Leverancer!$AU$25)-6)*Leverancer!AU$96/1000)</f>
        <v>0</v>
      </c>
      <c r="U112" s="114">
        <f ca="1">IF(U$57="","",INDEX(Leverancer!AV:AV,ROW()-ROW(Leverancer!$AU$25)-6)*Leverancer!AV$96/1000)</f>
        <v>0</v>
      </c>
      <c r="V112" s="114">
        <f ca="1">IF(V$57="","",INDEX(Leverancer!AW:AW,ROW()-ROW(Leverancer!$AU$25)-6)*Leverancer!AW$96/1000)</f>
        <v>0</v>
      </c>
      <c r="W112" s="114">
        <f ca="1">IF(W$57="","",INDEX(Leverancer!AX:AX,ROW()-ROW(Leverancer!$AU$25)-6)*Leverancer!AX$96/1000)</f>
        <v>0</v>
      </c>
      <c r="X112" s="114" t="str">
        <f ca="1">IF(X$57="","",INDEX(Leverancer!AY:AY,ROW()-ROW(Leverancer!$AU$25)-6)*Leverancer!AY$96/1000)</f>
        <v/>
      </c>
      <c r="Y112" s="114" t="str">
        <f ca="1">IF(Y$57="","",INDEX(Leverancer!AZ:AZ,ROW()-ROW(Leverancer!$AU$25)-6)*Leverancer!AZ$96/1000)</f>
        <v/>
      </c>
      <c r="Z112" s="114" t="str">
        <f ca="1">IF(Z$57="","",INDEX(Leverancer!BA:BA,ROW()-ROW(Leverancer!$AU$25)-6)*Leverancer!BA$96/1000)</f>
        <v/>
      </c>
      <c r="AA112" s="114" t="str">
        <f ca="1">IF(AA$57="","",INDEX(Leverancer!BB:BB,ROW()-ROW(Leverancer!$AU$25)-6)*Leverancer!BB$96/1000)</f>
        <v/>
      </c>
      <c r="AB112" s="114" t="str">
        <f ca="1">IF(AB$57="","",INDEX(Leverancer!BC:BC,ROW()-ROW(Leverancer!$AU$25)-6)*Leverancer!BC$96/1000)</f>
        <v/>
      </c>
      <c r="AC112" s="114" t="str">
        <f ca="1">IF(AC$57="","",INDEX(Leverancer!BD:BD,ROW()-ROW(Leverancer!$AU$25)-6)*Leverancer!BD$96/1000)</f>
        <v/>
      </c>
      <c r="AD112" s="114" t="str">
        <f ca="1">IF(AD$57="","",INDEX(Leverancer!BE:BE,ROW()-ROW(Leverancer!$AU$25)-6)*Leverancer!BE$96/1000)</f>
        <v/>
      </c>
      <c r="AE112" s="114" t="str">
        <f ca="1">IF(AE$57="","",INDEX(Leverancer!BF:BF,ROW()-ROW(Leverancer!$AU$25)-6)*Leverancer!BF$96/1000)</f>
        <v/>
      </c>
      <c r="AF112" s="114" t="str">
        <f ca="1">IF(AF$57="","",INDEX(Leverancer!BG:BG,ROW()-ROW(Leverancer!$AU$25)-6)*Leverancer!BG$96/1000)</f>
        <v/>
      </c>
      <c r="AG112" s="114" t="str">
        <f ca="1">IF(AG$57="","",INDEX(Leverancer!BH:BH,ROW()-ROW(Leverancer!$AU$25)-6)*Leverancer!BH$96/1000)</f>
        <v/>
      </c>
      <c r="AH112" s="114" t="str">
        <f ca="1">IF(AH$57="","",INDEX(Leverancer!BI:BI,ROW()-ROW(Leverancer!$AU$25)-6)*Leverancer!BI$96/1000)</f>
        <v/>
      </c>
      <c r="AI112" s="114" t="str">
        <f ca="1">IF(AI$57="","",INDEX(Leverancer!BJ:BJ,ROW()-ROW(Leverancer!$AU$25)-6)*Leverancer!BJ$96/1000)</f>
        <v/>
      </c>
      <c r="AJ112" s="114" t="str">
        <f ca="1">IF(AJ$57="","",INDEX(Leverancer!BK:BK,ROW()-ROW(Leverancer!$AU$25)-6)*Leverancer!BK$96/1000)</f>
        <v/>
      </c>
      <c r="AK112" s="114" t="str">
        <f ca="1">IF(AK$57="","",INDEX(Leverancer!BL:BL,ROW()-ROW(Leverancer!$AU$25)-6)*Leverancer!BL$96/1000)</f>
        <v/>
      </c>
      <c r="AL112" s="114" t="str">
        <f ca="1">IF(AL$57="","",INDEX(Leverancer!BM:BM,ROW()-ROW(Leverancer!$AU$25)-6)*Leverancer!BM$96/1000)</f>
        <v/>
      </c>
      <c r="AM112" s="114" t="str">
        <f ca="1">IF(AM$57="","",INDEX(Leverancer!BN:BN,ROW()-ROW(Leverancer!$AU$25)-6)*Leverancer!BN$96/1000)</f>
        <v/>
      </c>
      <c r="AN112" s="114" t="str">
        <f ca="1">IF(AN$57="","",INDEX(Leverancer!BO:BO,ROW()-ROW(Leverancer!$AU$25)-6)*Leverancer!BO$96/1000)</f>
        <v/>
      </c>
      <c r="AO112" s="114" t="str">
        <f ca="1">IF(AO$57="","",INDEX(Leverancer!BP:BP,ROW()-ROW(Leverancer!$AU$25)-6)*Leverancer!BP$96/1000)</f>
        <v/>
      </c>
      <c r="AP112" s="114" t="str">
        <f ca="1">IF(AP$57="","",INDEX(Leverancer!BQ:BQ,ROW()-ROW(Leverancer!$AU$25)-6)*Leverancer!BQ$96/1000)</f>
        <v/>
      </c>
      <c r="AQ112" s="114" t="str">
        <f ca="1">IF(AQ$57="","",INDEX(Leverancer!BR:BR,ROW()-ROW(Leverancer!$AU$25)-6)*Leverancer!BR$96/1000)</f>
        <v/>
      </c>
      <c r="AR112" s="114" t="str">
        <f ca="1">IF(AR$57="","",INDEX(Leverancer!BS:BS,ROW()-ROW(Leverancer!$AU$25)-6)*Leverancer!BS$96/1000)</f>
        <v/>
      </c>
      <c r="AS112" s="114" t="str">
        <f ca="1">IF(AS$57="","",INDEX(Leverancer!BT:BT,ROW()-ROW(Leverancer!$AU$25)-6)*Leverancer!BT$96/1000)</f>
        <v/>
      </c>
      <c r="AT112" s="114" t="str">
        <f ca="1">IF(AT$57="","",INDEX(Leverancer!BU:BU,ROW()-ROW(Leverancer!$AU$25)-6)*Leverancer!BU$96/1000)</f>
        <v/>
      </c>
      <c r="AU112" s="114" t="str">
        <f ca="1">IF(AU$57="","",INDEX(Leverancer!BV:BV,ROW()-ROW(Leverancer!$AU$25)-6)*Leverancer!BV$96/1000)</f>
        <v/>
      </c>
      <c r="AV112" s="114" t="str">
        <f ca="1">IF(AV$57="","",INDEX(Leverancer!BW:BW,ROW()-ROW(Leverancer!$AU$25)-6)*Leverancer!BW$96/1000)</f>
        <v/>
      </c>
      <c r="AW112" s="114" t="str">
        <f ca="1">IF(AW$57="","",INDEX(Leverancer!BX:BX,ROW()-ROW(Leverancer!$AU$25)-6)*Leverancer!BX$96/1000)</f>
        <v/>
      </c>
      <c r="AX112" s="90"/>
      <c r="AY112" s="90"/>
      <c r="AZ112" s="87"/>
    </row>
    <row r="113" spans="1:52" ht="12.75" hidden="1" customHeight="1" outlineLevel="1" x14ac:dyDescent="0.2">
      <c r="N113" s="85"/>
      <c r="O113" s="90"/>
      <c r="P113" s="90"/>
      <c r="Q113" s="116" t="str">
        <f>INDEX(Leverancer!$AO$1:$AO$1061,ROW()-ROW(Leverancer!$AU$25)-6)&amp;": "&amp;INDEX(Leverancer!$AP$1:$AP$1061,ROW()-ROW(Leverancer!$AU$25)-6)</f>
        <v xml:space="preserve">L54: </v>
      </c>
      <c r="R113" s="114"/>
      <c r="S113" s="119">
        <f t="shared" ca="1" si="12"/>
        <v>0</v>
      </c>
      <c r="T113" s="114">
        <f ca="1">IF(T$57="","",INDEX(Leverancer!AU:AU,ROW()-ROW(Leverancer!$AU$25)-6)*Leverancer!AU$96/1000)</f>
        <v>0</v>
      </c>
      <c r="U113" s="114">
        <f ca="1">IF(U$57="","",INDEX(Leverancer!AV:AV,ROW()-ROW(Leverancer!$AU$25)-6)*Leverancer!AV$96/1000)</f>
        <v>0</v>
      </c>
      <c r="V113" s="114">
        <f ca="1">IF(V$57="","",INDEX(Leverancer!AW:AW,ROW()-ROW(Leverancer!$AU$25)-6)*Leverancer!AW$96/1000)</f>
        <v>0</v>
      </c>
      <c r="W113" s="114">
        <f ca="1">IF(W$57="","",INDEX(Leverancer!AX:AX,ROW()-ROW(Leverancer!$AU$25)-6)*Leverancer!AX$96/1000)</f>
        <v>0</v>
      </c>
      <c r="X113" s="114" t="str">
        <f ca="1">IF(X$57="","",INDEX(Leverancer!AY:AY,ROW()-ROW(Leverancer!$AU$25)-6)*Leverancer!AY$96/1000)</f>
        <v/>
      </c>
      <c r="Y113" s="114" t="str">
        <f ca="1">IF(Y$57="","",INDEX(Leverancer!AZ:AZ,ROW()-ROW(Leverancer!$AU$25)-6)*Leverancer!AZ$96/1000)</f>
        <v/>
      </c>
      <c r="Z113" s="114" t="str">
        <f ca="1">IF(Z$57="","",INDEX(Leverancer!BA:BA,ROW()-ROW(Leverancer!$AU$25)-6)*Leverancer!BA$96/1000)</f>
        <v/>
      </c>
      <c r="AA113" s="114" t="str">
        <f ca="1">IF(AA$57="","",INDEX(Leverancer!BB:BB,ROW()-ROW(Leverancer!$AU$25)-6)*Leverancer!BB$96/1000)</f>
        <v/>
      </c>
      <c r="AB113" s="114" t="str">
        <f ca="1">IF(AB$57="","",INDEX(Leverancer!BC:BC,ROW()-ROW(Leverancer!$AU$25)-6)*Leverancer!BC$96/1000)</f>
        <v/>
      </c>
      <c r="AC113" s="114" t="str">
        <f ca="1">IF(AC$57="","",INDEX(Leverancer!BD:BD,ROW()-ROW(Leverancer!$AU$25)-6)*Leverancer!BD$96/1000)</f>
        <v/>
      </c>
      <c r="AD113" s="114" t="str">
        <f ca="1">IF(AD$57="","",INDEX(Leverancer!BE:BE,ROW()-ROW(Leverancer!$AU$25)-6)*Leverancer!BE$96/1000)</f>
        <v/>
      </c>
      <c r="AE113" s="114" t="str">
        <f ca="1">IF(AE$57="","",INDEX(Leverancer!BF:BF,ROW()-ROW(Leverancer!$AU$25)-6)*Leverancer!BF$96/1000)</f>
        <v/>
      </c>
      <c r="AF113" s="114" t="str">
        <f ca="1">IF(AF$57="","",INDEX(Leverancer!BG:BG,ROW()-ROW(Leverancer!$AU$25)-6)*Leverancer!BG$96/1000)</f>
        <v/>
      </c>
      <c r="AG113" s="114" t="str">
        <f ca="1">IF(AG$57="","",INDEX(Leverancer!BH:BH,ROW()-ROW(Leverancer!$AU$25)-6)*Leverancer!BH$96/1000)</f>
        <v/>
      </c>
      <c r="AH113" s="114" t="str">
        <f ca="1">IF(AH$57="","",INDEX(Leverancer!BI:BI,ROW()-ROW(Leverancer!$AU$25)-6)*Leverancer!BI$96/1000)</f>
        <v/>
      </c>
      <c r="AI113" s="114" t="str">
        <f ca="1">IF(AI$57="","",INDEX(Leverancer!BJ:BJ,ROW()-ROW(Leverancer!$AU$25)-6)*Leverancer!BJ$96/1000)</f>
        <v/>
      </c>
      <c r="AJ113" s="114" t="str">
        <f ca="1">IF(AJ$57="","",INDEX(Leverancer!BK:BK,ROW()-ROW(Leverancer!$AU$25)-6)*Leverancer!BK$96/1000)</f>
        <v/>
      </c>
      <c r="AK113" s="114" t="str">
        <f ca="1">IF(AK$57="","",INDEX(Leverancer!BL:BL,ROW()-ROW(Leverancer!$AU$25)-6)*Leverancer!BL$96/1000)</f>
        <v/>
      </c>
      <c r="AL113" s="114" t="str">
        <f ca="1">IF(AL$57="","",INDEX(Leverancer!BM:BM,ROW()-ROW(Leverancer!$AU$25)-6)*Leverancer!BM$96/1000)</f>
        <v/>
      </c>
      <c r="AM113" s="114" t="str">
        <f ca="1">IF(AM$57="","",INDEX(Leverancer!BN:BN,ROW()-ROW(Leverancer!$AU$25)-6)*Leverancer!BN$96/1000)</f>
        <v/>
      </c>
      <c r="AN113" s="114" t="str">
        <f ca="1">IF(AN$57="","",INDEX(Leverancer!BO:BO,ROW()-ROW(Leverancer!$AU$25)-6)*Leverancer!BO$96/1000)</f>
        <v/>
      </c>
      <c r="AO113" s="114" t="str">
        <f ca="1">IF(AO$57="","",INDEX(Leverancer!BP:BP,ROW()-ROW(Leverancer!$AU$25)-6)*Leverancer!BP$96/1000)</f>
        <v/>
      </c>
      <c r="AP113" s="114" t="str">
        <f ca="1">IF(AP$57="","",INDEX(Leverancer!BQ:BQ,ROW()-ROW(Leverancer!$AU$25)-6)*Leverancer!BQ$96/1000)</f>
        <v/>
      </c>
      <c r="AQ113" s="114" t="str">
        <f ca="1">IF(AQ$57="","",INDEX(Leverancer!BR:BR,ROW()-ROW(Leverancer!$AU$25)-6)*Leverancer!BR$96/1000)</f>
        <v/>
      </c>
      <c r="AR113" s="114" t="str">
        <f ca="1">IF(AR$57="","",INDEX(Leverancer!BS:BS,ROW()-ROW(Leverancer!$AU$25)-6)*Leverancer!BS$96/1000)</f>
        <v/>
      </c>
      <c r="AS113" s="114" t="str">
        <f ca="1">IF(AS$57="","",INDEX(Leverancer!BT:BT,ROW()-ROW(Leverancer!$AU$25)-6)*Leverancer!BT$96/1000)</f>
        <v/>
      </c>
      <c r="AT113" s="114" t="str">
        <f ca="1">IF(AT$57="","",INDEX(Leverancer!BU:BU,ROW()-ROW(Leverancer!$AU$25)-6)*Leverancer!BU$96/1000)</f>
        <v/>
      </c>
      <c r="AU113" s="114" t="str">
        <f ca="1">IF(AU$57="","",INDEX(Leverancer!BV:BV,ROW()-ROW(Leverancer!$AU$25)-6)*Leverancer!BV$96/1000)</f>
        <v/>
      </c>
      <c r="AV113" s="114" t="str">
        <f ca="1">IF(AV$57="","",INDEX(Leverancer!BW:BW,ROW()-ROW(Leverancer!$AU$25)-6)*Leverancer!BW$96/1000)</f>
        <v/>
      </c>
      <c r="AW113" s="114" t="str">
        <f ca="1">IF(AW$57="","",INDEX(Leverancer!BX:BX,ROW()-ROW(Leverancer!$AU$25)-6)*Leverancer!BX$96/1000)</f>
        <v/>
      </c>
      <c r="AX113" s="90"/>
      <c r="AY113" s="90"/>
      <c r="AZ113" s="87"/>
    </row>
    <row r="114" spans="1:52" ht="12.75" hidden="1" customHeight="1" outlineLevel="1" x14ac:dyDescent="0.2">
      <c r="N114" s="85"/>
      <c r="O114" s="90"/>
      <c r="P114" s="90"/>
      <c r="Q114" s="116" t="str">
        <f>INDEX(Leverancer!$AO$1:$AO$1061,ROW()-ROW(Leverancer!$AU$25)-6)&amp;": "&amp;INDEX(Leverancer!$AP$1:$AP$1061,ROW()-ROW(Leverancer!$AU$25)-6)</f>
        <v xml:space="preserve">L55: </v>
      </c>
      <c r="R114" s="114"/>
      <c r="S114" s="119">
        <f t="shared" ca="1" si="12"/>
        <v>0</v>
      </c>
      <c r="T114" s="114">
        <f ca="1">IF(T$57="","",INDEX(Leverancer!AU:AU,ROW()-ROW(Leverancer!$AU$25)-6)*Leverancer!AU$96/1000)</f>
        <v>0</v>
      </c>
      <c r="U114" s="114">
        <f ca="1">IF(U$57="","",INDEX(Leverancer!AV:AV,ROW()-ROW(Leverancer!$AU$25)-6)*Leverancer!AV$96/1000)</f>
        <v>0</v>
      </c>
      <c r="V114" s="114">
        <f ca="1">IF(V$57="","",INDEX(Leverancer!AW:AW,ROW()-ROW(Leverancer!$AU$25)-6)*Leverancer!AW$96/1000)</f>
        <v>0</v>
      </c>
      <c r="W114" s="114">
        <f ca="1">IF(W$57="","",INDEX(Leverancer!AX:AX,ROW()-ROW(Leverancer!$AU$25)-6)*Leverancer!AX$96/1000)</f>
        <v>0</v>
      </c>
      <c r="X114" s="114" t="str">
        <f ca="1">IF(X$57="","",INDEX(Leverancer!AY:AY,ROW()-ROW(Leverancer!$AU$25)-6)*Leverancer!AY$96/1000)</f>
        <v/>
      </c>
      <c r="Y114" s="114" t="str">
        <f ca="1">IF(Y$57="","",INDEX(Leverancer!AZ:AZ,ROW()-ROW(Leverancer!$AU$25)-6)*Leverancer!AZ$96/1000)</f>
        <v/>
      </c>
      <c r="Z114" s="114" t="str">
        <f ca="1">IF(Z$57="","",INDEX(Leverancer!BA:BA,ROW()-ROW(Leverancer!$AU$25)-6)*Leverancer!BA$96/1000)</f>
        <v/>
      </c>
      <c r="AA114" s="114" t="str">
        <f ca="1">IF(AA$57="","",INDEX(Leverancer!BB:BB,ROW()-ROW(Leverancer!$AU$25)-6)*Leverancer!BB$96/1000)</f>
        <v/>
      </c>
      <c r="AB114" s="114" t="str">
        <f ca="1">IF(AB$57="","",INDEX(Leverancer!BC:BC,ROW()-ROW(Leverancer!$AU$25)-6)*Leverancer!BC$96/1000)</f>
        <v/>
      </c>
      <c r="AC114" s="114" t="str">
        <f ca="1">IF(AC$57="","",INDEX(Leverancer!BD:BD,ROW()-ROW(Leverancer!$AU$25)-6)*Leverancer!BD$96/1000)</f>
        <v/>
      </c>
      <c r="AD114" s="114" t="str">
        <f ca="1">IF(AD$57="","",INDEX(Leverancer!BE:BE,ROW()-ROW(Leverancer!$AU$25)-6)*Leverancer!BE$96/1000)</f>
        <v/>
      </c>
      <c r="AE114" s="114" t="str">
        <f ca="1">IF(AE$57="","",INDEX(Leverancer!BF:BF,ROW()-ROW(Leverancer!$AU$25)-6)*Leverancer!BF$96/1000)</f>
        <v/>
      </c>
      <c r="AF114" s="114" t="str">
        <f ca="1">IF(AF$57="","",INDEX(Leverancer!BG:BG,ROW()-ROW(Leverancer!$AU$25)-6)*Leverancer!BG$96/1000)</f>
        <v/>
      </c>
      <c r="AG114" s="114" t="str">
        <f ca="1">IF(AG$57="","",INDEX(Leverancer!BH:BH,ROW()-ROW(Leverancer!$AU$25)-6)*Leverancer!BH$96/1000)</f>
        <v/>
      </c>
      <c r="AH114" s="114" t="str">
        <f ca="1">IF(AH$57="","",INDEX(Leverancer!BI:BI,ROW()-ROW(Leverancer!$AU$25)-6)*Leverancer!BI$96/1000)</f>
        <v/>
      </c>
      <c r="AI114" s="114" t="str">
        <f ca="1">IF(AI$57="","",INDEX(Leverancer!BJ:BJ,ROW()-ROW(Leverancer!$AU$25)-6)*Leverancer!BJ$96/1000)</f>
        <v/>
      </c>
      <c r="AJ114" s="114" t="str">
        <f ca="1">IF(AJ$57="","",INDEX(Leverancer!BK:BK,ROW()-ROW(Leverancer!$AU$25)-6)*Leverancer!BK$96/1000)</f>
        <v/>
      </c>
      <c r="AK114" s="114" t="str">
        <f ca="1">IF(AK$57="","",INDEX(Leverancer!BL:BL,ROW()-ROW(Leverancer!$AU$25)-6)*Leverancer!BL$96/1000)</f>
        <v/>
      </c>
      <c r="AL114" s="114" t="str">
        <f ca="1">IF(AL$57="","",INDEX(Leverancer!BM:BM,ROW()-ROW(Leverancer!$AU$25)-6)*Leverancer!BM$96/1000)</f>
        <v/>
      </c>
      <c r="AM114" s="114" t="str">
        <f ca="1">IF(AM$57="","",INDEX(Leverancer!BN:BN,ROW()-ROW(Leverancer!$AU$25)-6)*Leverancer!BN$96/1000)</f>
        <v/>
      </c>
      <c r="AN114" s="114" t="str">
        <f ca="1">IF(AN$57="","",INDEX(Leverancer!BO:BO,ROW()-ROW(Leverancer!$AU$25)-6)*Leverancer!BO$96/1000)</f>
        <v/>
      </c>
      <c r="AO114" s="114" t="str">
        <f ca="1">IF(AO$57="","",INDEX(Leverancer!BP:BP,ROW()-ROW(Leverancer!$AU$25)-6)*Leverancer!BP$96/1000)</f>
        <v/>
      </c>
      <c r="AP114" s="114" t="str">
        <f ca="1">IF(AP$57="","",INDEX(Leverancer!BQ:BQ,ROW()-ROW(Leverancer!$AU$25)-6)*Leverancer!BQ$96/1000)</f>
        <v/>
      </c>
      <c r="AQ114" s="114" t="str">
        <f ca="1">IF(AQ$57="","",INDEX(Leverancer!BR:BR,ROW()-ROW(Leverancer!$AU$25)-6)*Leverancer!BR$96/1000)</f>
        <v/>
      </c>
      <c r="AR114" s="114" t="str">
        <f ca="1">IF(AR$57="","",INDEX(Leverancer!BS:BS,ROW()-ROW(Leverancer!$AU$25)-6)*Leverancer!BS$96/1000)</f>
        <v/>
      </c>
      <c r="AS114" s="114" t="str">
        <f ca="1">IF(AS$57="","",INDEX(Leverancer!BT:BT,ROW()-ROW(Leverancer!$AU$25)-6)*Leverancer!BT$96/1000)</f>
        <v/>
      </c>
      <c r="AT114" s="114" t="str">
        <f ca="1">IF(AT$57="","",INDEX(Leverancer!BU:BU,ROW()-ROW(Leverancer!$AU$25)-6)*Leverancer!BU$96/1000)</f>
        <v/>
      </c>
      <c r="AU114" s="114" t="str">
        <f ca="1">IF(AU$57="","",INDEX(Leverancer!BV:BV,ROW()-ROW(Leverancer!$AU$25)-6)*Leverancer!BV$96/1000)</f>
        <v/>
      </c>
      <c r="AV114" s="114" t="str">
        <f ca="1">IF(AV$57="","",INDEX(Leverancer!BW:BW,ROW()-ROW(Leverancer!$AU$25)-6)*Leverancer!BW$96/1000)</f>
        <v/>
      </c>
      <c r="AW114" s="114" t="str">
        <f ca="1">IF(AW$57="","",INDEX(Leverancer!BX:BX,ROW()-ROW(Leverancer!$AU$25)-6)*Leverancer!BX$96/1000)</f>
        <v/>
      </c>
      <c r="AX114" s="90"/>
      <c r="AY114" s="90"/>
      <c r="AZ114" s="87"/>
    </row>
    <row r="115" spans="1:52" ht="12.75" hidden="1" customHeight="1" outlineLevel="1" x14ac:dyDescent="0.2">
      <c r="N115" s="85"/>
      <c r="O115" s="90"/>
      <c r="P115" s="90"/>
      <c r="Q115" s="116" t="str">
        <f>INDEX(Leverancer!$AO$1:$AO$1061,ROW()-ROW(Leverancer!$AU$25)-6)&amp;": "&amp;INDEX(Leverancer!$AP$1:$AP$1061,ROW()-ROW(Leverancer!$AU$25)-6)</f>
        <v xml:space="preserve">L56: </v>
      </c>
      <c r="R115" s="114"/>
      <c r="S115" s="119">
        <f t="shared" ca="1" si="12"/>
        <v>0</v>
      </c>
      <c r="T115" s="114">
        <f ca="1">IF(T$57="","",INDEX(Leverancer!AU:AU,ROW()-ROW(Leverancer!$AU$25)-6)*Leverancer!AU$96/1000)</f>
        <v>0</v>
      </c>
      <c r="U115" s="114">
        <f ca="1">IF(U$57="","",INDEX(Leverancer!AV:AV,ROW()-ROW(Leverancer!$AU$25)-6)*Leverancer!AV$96/1000)</f>
        <v>0</v>
      </c>
      <c r="V115" s="114">
        <f ca="1">IF(V$57="","",INDEX(Leverancer!AW:AW,ROW()-ROW(Leverancer!$AU$25)-6)*Leverancer!AW$96/1000)</f>
        <v>0</v>
      </c>
      <c r="W115" s="114">
        <f ca="1">IF(W$57="","",INDEX(Leverancer!AX:AX,ROW()-ROW(Leverancer!$AU$25)-6)*Leverancer!AX$96/1000)</f>
        <v>0</v>
      </c>
      <c r="X115" s="114" t="str">
        <f ca="1">IF(X$57="","",INDEX(Leverancer!AY:AY,ROW()-ROW(Leverancer!$AU$25)-6)*Leverancer!AY$96/1000)</f>
        <v/>
      </c>
      <c r="Y115" s="114" t="str">
        <f ca="1">IF(Y$57="","",INDEX(Leverancer!AZ:AZ,ROW()-ROW(Leverancer!$AU$25)-6)*Leverancer!AZ$96/1000)</f>
        <v/>
      </c>
      <c r="Z115" s="114" t="str">
        <f ca="1">IF(Z$57="","",INDEX(Leverancer!BA:BA,ROW()-ROW(Leverancer!$AU$25)-6)*Leverancer!BA$96/1000)</f>
        <v/>
      </c>
      <c r="AA115" s="114" t="str">
        <f ca="1">IF(AA$57="","",INDEX(Leverancer!BB:BB,ROW()-ROW(Leverancer!$AU$25)-6)*Leverancer!BB$96/1000)</f>
        <v/>
      </c>
      <c r="AB115" s="114" t="str">
        <f ca="1">IF(AB$57="","",INDEX(Leverancer!BC:BC,ROW()-ROW(Leverancer!$AU$25)-6)*Leverancer!BC$96/1000)</f>
        <v/>
      </c>
      <c r="AC115" s="114" t="str">
        <f ca="1">IF(AC$57="","",INDEX(Leverancer!BD:BD,ROW()-ROW(Leverancer!$AU$25)-6)*Leverancer!BD$96/1000)</f>
        <v/>
      </c>
      <c r="AD115" s="114" t="str">
        <f ca="1">IF(AD$57="","",INDEX(Leverancer!BE:BE,ROW()-ROW(Leverancer!$AU$25)-6)*Leverancer!BE$96/1000)</f>
        <v/>
      </c>
      <c r="AE115" s="114" t="str">
        <f ca="1">IF(AE$57="","",INDEX(Leverancer!BF:BF,ROW()-ROW(Leverancer!$AU$25)-6)*Leverancer!BF$96/1000)</f>
        <v/>
      </c>
      <c r="AF115" s="114" t="str">
        <f ca="1">IF(AF$57="","",INDEX(Leverancer!BG:BG,ROW()-ROW(Leverancer!$AU$25)-6)*Leverancer!BG$96/1000)</f>
        <v/>
      </c>
      <c r="AG115" s="114" t="str">
        <f ca="1">IF(AG$57="","",INDEX(Leverancer!BH:BH,ROW()-ROW(Leverancer!$AU$25)-6)*Leverancer!BH$96/1000)</f>
        <v/>
      </c>
      <c r="AH115" s="114" t="str">
        <f ca="1">IF(AH$57="","",INDEX(Leverancer!BI:BI,ROW()-ROW(Leverancer!$AU$25)-6)*Leverancer!BI$96/1000)</f>
        <v/>
      </c>
      <c r="AI115" s="114" t="str">
        <f ca="1">IF(AI$57="","",INDEX(Leverancer!BJ:BJ,ROW()-ROW(Leverancer!$AU$25)-6)*Leverancer!BJ$96/1000)</f>
        <v/>
      </c>
      <c r="AJ115" s="114" t="str">
        <f ca="1">IF(AJ$57="","",INDEX(Leverancer!BK:BK,ROW()-ROW(Leverancer!$AU$25)-6)*Leverancer!BK$96/1000)</f>
        <v/>
      </c>
      <c r="AK115" s="114" t="str">
        <f ca="1">IF(AK$57="","",INDEX(Leverancer!BL:BL,ROW()-ROW(Leverancer!$AU$25)-6)*Leverancer!BL$96/1000)</f>
        <v/>
      </c>
      <c r="AL115" s="114" t="str">
        <f ca="1">IF(AL$57="","",INDEX(Leverancer!BM:BM,ROW()-ROW(Leverancer!$AU$25)-6)*Leverancer!BM$96/1000)</f>
        <v/>
      </c>
      <c r="AM115" s="114" t="str">
        <f ca="1">IF(AM$57="","",INDEX(Leverancer!BN:BN,ROW()-ROW(Leverancer!$AU$25)-6)*Leverancer!BN$96/1000)</f>
        <v/>
      </c>
      <c r="AN115" s="114" t="str">
        <f ca="1">IF(AN$57="","",INDEX(Leverancer!BO:BO,ROW()-ROW(Leverancer!$AU$25)-6)*Leverancer!BO$96/1000)</f>
        <v/>
      </c>
      <c r="AO115" s="114" t="str">
        <f ca="1">IF(AO$57="","",INDEX(Leverancer!BP:BP,ROW()-ROW(Leverancer!$AU$25)-6)*Leverancer!BP$96/1000)</f>
        <v/>
      </c>
      <c r="AP115" s="114" t="str">
        <f ca="1">IF(AP$57="","",INDEX(Leverancer!BQ:BQ,ROW()-ROW(Leverancer!$AU$25)-6)*Leverancer!BQ$96/1000)</f>
        <v/>
      </c>
      <c r="AQ115" s="114" t="str">
        <f ca="1">IF(AQ$57="","",INDEX(Leverancer!BR:BR,ROW()-ROW(Leverancer!$AU$25)-6)*Leverancer!BR$96/1000)</f>
        <v/>
      </c>
      <c r="AR115" s="114" t="str">
        <f ca="1">IF(AR$57="","",INDEX(Leverancer!BS:BS,ROW()-ROW(Leverancer!$AU$25)-6)*Leverancer!BS$96/1000)</f>
        <v/>
      </c>
      <c r="AS115" s="114" t="str">
        <f ca="1">IF(AS$57="","",INDEX(Leverancer!BT:BT,ROW()-ROW(Leverancer!$AU$25)-6)*Leverancer!BT$96/1000)</f>
        <v/>
      </c>
      <c r="AT115" s="114" t="str">
        <f ca="1">IF(AT$57="","",INDEX(Leverancer!BU:BU,ROW()-ROW(Leverancer!$AU$25)-6)*Leverancer!BU$96/1000)</f>
        <v/>
      </c>
      <c r="AU115" s="114" t="str">
        <f ca="1">IF(AU$57="","",INDEX(Leverancer!BV:BV,ROW()-ROW(Leverancer!$AU$25)-6)*Leverancer!BV$96/1000)</f>
        <v/>
      </c>
      <c r="AV115" s="114" t="str">
        <f ca="1">IF(AV$57="","",INDEX(Leverancer!BW:BW,ROW()-ROW(Leverancer!$AU$25)-6)*Leverancer!BW$96/1000)</f>
        <v/>
      </c>
      <c r="AW115" s="114" t="str">
        <f ca="1">IF(AW$57="","",INDEX(Leverancer!BX:BX,ROW()-ROW(Leverancer!$AU$25)-6)*Leverancer!BX$96/1000)</f>
        <v/>
      </c>
      <c r="AX115" s="90"/>
      <c r="AY115" s="90"/>
      <c r="AZ115" s="87"/>
    </row>
    <row r="116" spans="1:52" ht="12.75" hidden="1" customHeight="1" outlineLevel="1" x14ac:dyDescent="0.2">
      <c r="N116" s="85"/>
      <c r="O116" s="90"/>
      <c r="P116" s="90"/>
      <c r="Q116" s="116" t="str">
        <f>INDEX(Leverancer!$AO$1:$AO$1061,ROW()-ROW(Leverancer!$AU$25)-6)&amp;": "&amp;INDEX(Leverancer!$AP$1:$AP$1061,ROW()-ROW(Leverancer!$AU$25)-6)</f>
        <v xml:space="preserve">L57: </v>
      </c>
      <c r="R116" s="114"/>
      <c r="S116" s="119">
        <f t="shared" ca="1" si="12"/>
        <v>0</v>
      </c>
      <c r="T116" s="114">
        <f ca="1">IF(T$57="","",INDEX(Leverancer!AU:AU,ROW()-ROW(Leverancer!$AU$25)-6)*Leverancer!AU$96/1000)</f>
        <v>0</v>
      </c>
      <c r="U116" s="114">
        <f ca="1">IF(U$57="","",INDEX(Leverancer!AV:AV,ROW()-ROW(Leverancer!$AU$25)-6)*Leverancer!AV$96/1000)</f>
        <v>0</v>
      </c>
      <c r="V116" s="114">
        <f ca="1">IF(V$57="","",INDEX(Leverancer!AW:AW,ROW()-ROW(Leverancer!$AU$25)-6)*Leverancer!AW$96/1000)</f>
        <v>0</v>
      </c>
      <c r="W116" s="114">
        <f ca="1">IF(W$57="","",INDEX(Leverancer!AX:AX,ROW()-ROW(Leverancer!$AU$25)-6)*Leverancer!AX$96/1000)</f>
        <v>0</v>
      </c>
      <c r="X116" s="114" t="str">
        <f ca="1">IF(X$57="","",INDEX(Leverancer!AY:AY,ROW()-ROW(Leverancer!$AU$25)-6)*Leverancer!AY$96/1000)</f>
        <v/>
      </c>
      <c r="Y116" s="114" t="str">
        <f ca="1">IF(Y$57="","",INDEX(Leverancer!AZ:AZ,ROW()-ROW(Leverancer!$AU$25)-6)*Leverancer!AZ$96/1000)</f>
        <v/>
      </c>
      <c r="Z116" s="114" t="str">
        <f ca="1">IF(Z$57="","",INDEX(Leverancer!BA:BA,ROW()-ROW(Leverancer!$AU$25)-6)*Leverancer!BA$96/1000)</f>
        <v/>
      </c>
      <c r="AA116" s="114" t="str">
        <f ca="1">IF(AA$57="","",INDEX(Leverancer!BB:BB,ROW()-ROW(Leverancer!$AU$25)-6)*Leverancer!BB$96/1000)</f>
        <v/>
      </c>
      <c r="AB116" s="114" t="str">
        <f ca="1">IF(AB$57="","",INDEX(Leverancer!BC:BC,ROW()-ROW(Leverancer!$AU$25)-6)*Leverancer!BC$96/1000)</f>
        <v/>
      </c>
      <c r="AC116" s="114" t="str">
        <f ca="1">IF(AC$57="","",INDEX(Leverancer!BD:BD,ROW()-ROW(Leverancer!$AU$25)-6)*Leverancer!BD$96/1000)</f>
        <v/>
      </c>
      <c r="AD116" s="114" t="str">
        <f ca="1">IF(AD$57="","",INDEX(Leverancer!BE:BE,ROW()-ROW(Leverancer!$AU$25)-6)*Leverancer!BE$96/1000)</f>
        <v/>
      </c>
      <c r="AE116" s="114" t="str">
        <f ca="1">IF(AE$57="","",INDEX(Leverancer!BF:BF,ROW()-ROW(Leverancer!$AU$25)-6)*Leverancer!BF$96/1000)</f>
        <v/>
      </c>
      <c r="AF116" s="114" t="str">
        <f ca="1">IF(AF$57="","",INDEX(Leverancer!BG:BG,ROW()-ROW(Leverancer!$AU$25)-6)*Leverancer!BG$96/1000)</f>
        <v/>
      </c>
      <c r="AG116" s="114" t="str">
        <f ca="1">IF(AG$57="","",INDEX(Leverancer!BH:BH,ROW()-ROW(Leverancer!$AU$25)-6)*Leverancer!BH$96/1000)</f>
        <v/>
      </c>
      <c r="AH116" s="114" t="str">
        <f ca="1">IF(AH$57="","",INDEX(Leverancer!BI:BI,ROW()-ROW(Leverancer!$AU$25)-6)*Leverancer!BI$96/1000)</f>
        <v/>
      </c>
      <c r="AI116" s="114" t="str">
        <f ca="1">IF(AI$57="","",INDEX(Leverancer!BJ:BJ,ROW()-ROW(Leverancer!$AU$25)-6)*Leverancer!BJ$96/1000)</f>
        <v/>
      </c>
      <c r="AJ116" s="114" t="str">
        <f ca="1">IF(AJ$57="","",INDEX(Leverancer!BK:BK,ROW()-ROW(Leverancer!$AU$25)-6)*Leverancer!BK$96/1000)</f>
        <v/>
      </c>
      <c r="AK116" s="114" t="str">
        <f ca="1">IF(AK$57="","",INDEX(Leverancer!BL:BL,ROW()-ROW(Leverancer!$AU$25)-6)*Leverancer!BL$96/1000)</f>
        <v/>
      </c>
      <c r="AL116" s="114" t="str">
        <f ca="1">IF(AL$57="","",INDEX(Leverancer!BM:BM,ROW()-ROW(Leverancer!$AU$25)-6)*Leverancer!BM$96/1000)</f>
        <v/>
      </c>
      <c r="AM116" s="114" t="str">
        <f ca="1">IF(AM$57="","",INDEX(Leverancer!BN:BN,ROW()-ROW(Leverancer!$AU$25)-6)*Leverancer!BN$96/1000)</f>
        <v/>
      </c>
      <c r="AN116" s="114" t="str">
        <f ca="1">IF(AN$57="","",INDEX(Leverancer!BO:BO,ROW()-ROW(Leverancer!$AU$25)-6)*Leverancer!BO$96/1000)</f>
        <v/>
      </c>
      <c r="AO116" s="114" t="str">
        <f ca="1">IF(AO$57="","",INDEX(Leverancer!BP:BP,ROW()-ROW(Leverancer!$AU$25)-6)*Leverancer!BP$96/1000)</f>
        <v/>
      </c>
      <c r="AP116" s="114" t="str">
        <f ca="1">IF(AP$57="","",INDEX(Leverancer!BQ:BQ,ROW()-ROW(Leverancer!$AU$25)-6)*Leverancer!BQ$96/1000)</f>
        <v/>
      </c>
      <c r="AQ116" s="114" t="str">
        <f ca="1">IF(AQ$57="","",INDEX(Leverancer!BR:BR,ROW()-ROW(Leverancer!$AU$25)-6)*Leverancer!BR$96/1000)</f>
        <v/>
      </c>
      <c r="AR116" s="114" t="str">
        <f ca="1">IF(AR$57="","",INDEX(Leverancer!BS:BS,ROW()-ROW(Leverancer!$AU$25)-6)*Leverancer!BS$96/1000)</f>
        <v/>
      </c>
      <c r="AS116" s="114" t="str">
        <f ca="1">IF(AS$57="","",INDEX(Leverancer!BT:BT,ROW()-ROW(Leverancer!$AU$25)-6)*Leverancer!BT$96/1000)</f>
        <v/>
      </c>
      <c r="AT116" s="114" t="str">
        <f ca="1">IF(AT$57="","",INDEX(Leverancer!BU:BU,ROW()-ROW(Leverancer!$AU$25)-6)*Leverancer!BU$96/1000)</f>
        <v/>
      </c>
      <c r="AU116" s="114" t="str">
        <f ca="1">IF(AU$57="","",INDEX(Leverancer!BV:BV,ROW()-ROW(Leverancer!$AU$25)-6)*Leverancer!BV$96/1000)</f>
        <v/>
      </c>
      <c r="AV116" s="114" t="str">
        <f ca="1">IF(AV$57="","",INDEX(Leverancer!BW:BW,ROW()-ROW(Leverancer!$AU$25)-6)*Leverancer!BW$96/1000)</f>
        <v/>
      </c>
      <c r="AW116" s="114" t="str">
        <f ca="1">IF(AW$57="","",INDEX(Leverancer!BX:BX,ROW()-ROW(Leverancer!$AU$25)-6)*Leverancer!BX$96/1000)</f>
        <v/>
      </c>
      <c r="AX116" s="90"/>
      <c r="AY116" s="90"/>
      <c r="AZ116" s="87"/>
    </row>
    <row r="117" spans="1:52" ht="12.75" hidden="1" customHeight="1" outlineLevel="1" x14ac:dyDescent="0.2">
      <c r="N117" s="85"/>
      <c r="O117" s="90"/>
      <c r="P117" s="90"/>
      <c r="Q117" s="116" t="str">
        <f>INDEX(Leverancer!$AO$1:$AO$1061,ROW()-ROW(Leverancer!$AU$25)-6)&amp;": "&amp;INDEX(Leverancer!$AP$1:$AP$1061,ROW()-ROW(Leverancer!$AU$25)-6)</f>
        <v xml:space="preserve">L58: </v>
      </c>
      <c r="R117" s="114"/>
      <c r="S117" s="119">
        <f t="shared" ca="1" si="12"/>
        <v>0</v>
      </c>
      <c r="T117" s="114">
        <f ca="1">IF(T$57="","",INDEX(Leverancer!AU:AU,ROW()-ROW(Leverancer!$AU$25)-6)*Leverancer!AU$96/1000)</f>
        <v>0</v>
      </c>
      <c r="U117" s="114">
        <f ca="1">IF(U$57="","",INDEX(Leverancer!AV:AV,ROW()-ROW(Leverancer!$AU$25)-6)*Leverancer!AV$96/1000)</f>
        <v>0</v>
      </c>
      <c r="V117" s="114">
        <f ca="1">IF(V$57="","",INDEX(Leverancer!AW:AW,ROW()-ROW(Leverancer!$AU$25)-6)*Leverancer!AW$96/1000)</f>
        <v>0</v>
      </c>
      <c r="W117" s="114">
        <f ca="1">IF(W$57="","",INDEX(Leverancer!AX:AX,ROW()-ROW(Leverancer!$AU$25)-6)*Leverancer!AX$96/1000)</f>
        <v>0</v>
      </c>
      <c r="X117" s="114" t="str">
        <f ca="1">IF(X$57="","",INDEX(Leverancer!AY:AY,ROW()-ROW(Leverancer!$AU$25)-6)*Leverancer!AY$96/1000)</f>
        <v/>
      </c>
      <c r="Y117" s="114" t="str">
        <f ca="1">IF(Y$57="","",INDEX(Leverancer!AZ:AZ,ROW()-ROW(Leverancer!$AU$25)-6)*Leverancer!AZ$96/1000)</f>
        <v/>
      </c>
      <c r="Z117" s="114" t="str">
        <f ca="1">IF(Z$57="","",INDEX(Leverancer!BA:BA,ROW()-ROW(Leverancer!$AU$25)-6)*Leverancer!BA$96/1000)</f>
        <v/>
      </c>
      <c r="AA117" s="114" t="str">
        <f ca="1">IF(AA$57="","",INDEX(Leverancer!BB:BB,ROW()-ROW(Leverancer!$AU$25)-6)*Leverancer!BB$96/1000)</f>
        <v/>
      </c>
      <c r="AB117" s="114" t="str">
        <f ca="1">IF(AB$57="","",INDEX(Leverancer!BC:BC,ROW()-ROW(Leverancer!$AU$25)-6)*Leverancer!BC$96/1000)</f>
        <v/>
      </c>
      <c r="AC117" s="114" t="str">
        <f ca="1">IF(AC$57="","",INDEX(Leverancer!BD:BD,ROW()-ROW(Leverancer!$AU$25)-6)*Leverancer!BD$96/1000)</f>
        <v/>
      </c>
      <c r="AD117" s="114" t="str">
        <f ca="1">IF(AD$57="","",INDEX(Leverancer!BE:BE,ROW()-ROW(Leverancer!$AU$25)-6)*Leverancer!BE$96/1000)</f>
        <v/>
      </c>
      <c r="AE117" s="114" t="str">
        <f ca="1">IF(AE$57="","",INDEX(Leverancer!BF:BF,ROW()-ROW(Leverancer!$AU$25)-6)*Leverancer!BF$96/1000)</f>
        <v/>
      </c>
      <c r="AF117" s="114" t="str">
        <f ca="1">IF(AF$57="","",INDEX(Leverancer!BG:BG,ROW()-ROW(Leverancer!$AU$25)-6)*Leverancer!BG$96/1000)</f>
        <v/>
      </c>
      <c r="AG117" s="114" t="str">
        <f ca="1">IF(AG$57="","",INDEX(Leverancer!BH:BH,ROW()-ROW(Leverancer!$AU$25)-6)*Leverancer!BH$96/1000)</f>
        <v/>
      </c>
      <c r="AH117" s="114" t="str">
        <f ca="1">IF(AH$57="","",INDEX(Leverancer!BI:BI,ROW()-ROW(Leverancer!$AU$25)-6)*Leverancer!BI$96/1000)</f>
        <v/>
      </c>
      <c r="AI117" s="114" t="str">
        <f ca="1">IF(AI$57="","",INDEX(Leverancer!BJ:BJ,ROW()-ROW(Leverancer!$AU$25)-6)*Leverancer!BJ$96/1000)</f>
        <v/>
      </c>
      <c r="AJ117" s="114" t="str">
        <f ca="1">IF(AJ$57="","",INDEX(Leverancer!BK:BK,ROW()-ROW(Leverancer!$AU$25)-6)*Leverancer!BK$96/1000)</f>
        <v/>
      </c>
      <c r="AK117" s="114" t="str">
        <f ca="1">IF(AK$57="","",INDEX(Leverancer!BL:BL,ROW()-ROW(Leverancer!$AU$25)-6)*Leverancer!BL$96/1000)</f>
        <v/>
      </c>
      <c r="AL117" s="114" t="str">
        <f ca="1">IF(AL$57="","",INDEX(Leverancer!BM:BM,ROW()-ROW(Leverancer!$AU$25)-6)*Leverancer!BM$96/1000)</f>
        <v/>
      </c>
      <c r="AM117" s="114" t="str">
        <f ca="1">IF(AM$57="","",INDEX(Leverancer!BN:BN,ROW()-ROW(Leverancer!$AU$25)-6)*Leverancer!BN$96/1000)</f>
        <v/>
      </c>
      <c r="AN117" s="114" t="str">
        <f ca="1">IF(AN$57="","",INDEX(Leverancer!BO:BO,ROW()-ROW(Leverancer!$AU$25)-6)*Leverancer!BO$96/1000)</f>
        <v/>
      </c>
      <c r="AO117" s="114" t="str">
        <f ca="1">IF(AO$57="","",INDEX(Leverancer!BP:BP,ROW()-ROW(Leverancer!$AU$25)-6)*Leverancer!BP$96/1000)</f>
        <v/>
      </c>
      <c r="AP117" s="114" t="str">
        <f ca="1">IF(AP$57="","",INDEX(Leverancer!BQ:BQ,ROW()-ROW(Leverancer!$AU$25)-6)*Leverancer!BQ$96/1000)</f>
        <v/>
      </c>
      <c r="AQ117" s="114" t="str">
        <f ca="1">IF(AQ$57="","",INDEX(Leverancer!BR:BR,ROW()-ROW(Leverancer!$AU$25)-6)*Leverancer!BR$96/1000)</f>
        <v/>
      </c>
      <c r="AR117" s="114" t="str">
        <f ca="1">IF(AR$57="","",INDEX(Leverancer!BS:BS,ROW()-ROW(Leverancer!$AU$25)-6)*Leverancer!BS$96/1000)</f>
        <v/>
      </c>
      <c r="AS117" s="114" t="str">
        <f ca="1">IF(AS$57="","",INDEX(Leverancer!BT:BT,ROW()-ROW(Leverancer!$AU$25)-6)*Leverancer!BT$96/1000)</f>
        <v/>
      </c>
      <c r="AT117" s="114" t="str">
        <f ca="1">IF(AT$57="","",INDEX(Leverancer!BU:BU,ROW()-ROW(Leverancer!$AU$25)-6)*Leverancer!BU$96/1000)</f>
        <v/>
      </c>
      <c r="AU117" s="114" t="str">
        <f ca="1">IF(AU$57="","",INDEX(Leverancer!BV:BV,ROW()-ROW(Leverancer!$AU$25)-6)*Leverancer!BV$96/1000)</f>
        <v/>
      </c>
      <c r="AV117" s="114" t="str">
        <f ca="1">IF(AV$57="","",INDEX(Leverancer!BW:BW,ROW()-ROW(Leverancer!$AU$25)-6)*Leverancer!BW$96/1000)</f>
        <v/>
      </c>
      <c r="AW117" s="114" t="str">
        <f ca="1">IF(AW$57="","",INDEX(Leverancer!BX:BX,ROW()-ROW(Leverancer!$AU$25)-6)*Leverancer!BX$96/1000)</f>
        <v/>
      </c>
      <c r="AX117" s="90"/>
      <c r="AY117" s="90"/>
      <c r="AZ117" s="87"/>
    </row>
    <row r="118" spans="1:52" ht="12.75" hidden="1" customHeight="1" outlineLevel="1" x14ac:dyDescent="0.2">
      <c r="N118" s="85"/>
      <c r="O118" s="90"/>
      <c r="P118" s="90"/>
      <c r="Q118" s="116" t="str">
        <f>INDEX(Leverancer!$AO$1:$AO$1061,ROW()-ROW(Leverancer!$AU$25)-6)&amp;": "&amp;INDEX(Leverancer!$AP$1:$AP$1061,ROW()-ROW(Leverancer!$AU$25)-6)</f>
        <v xml:space="preserve">L59: </v>
      </c>
      <c r="R118" s="114"/>
      <c r="S118" s="119">
        <f t="shared" ca="1" si="12"/>
        <v>0</v>
      </c>
      <c r="T118" s="114">
        <f ca="1">IF(T$57="","",INDEX(Leverancer!AU:AU,ROW()-ROW(Leverancer!$AU$25)-6)*Leverancer!AU$96/1000)</f>
        <v>0</v>
      </c>
      <c r="U118" s="114">
        <f ca="1">IF(U$57="","",INDEX(Leverancer!AV:AV,ROW()-ROW(Leverancer!$AU$25)-6)*Leverancer!AV$96/1000)</f>
        <v>0</v>
      </c>
      <c r="V118" s="114">
        <f ca="1">IF(V$57="","",INDEX(Leverancer!AW:AW,ROW()-ROW(Leverancer!$AU$25)-6)*Leverancer!AW$96/1000)</f>
        <v>0</v>
      </c>
      <c r="W118" s="114">
        <f ca="1">IF(W$57="","",INDEX(Leverancer!AX:AX,ROW()-ROW(Leverancer!$AU$25)-6)*Leverancer!AX$96/1000)</f>
        <v>0</v>
      </c>
      <c r="X118" s="114" t="str">
        <f ca="1">IF(X$57="","",INDEX(Leverancer!AY:AY,ROW()-ROW(Leverancer!$AU$25)-6)*Leverancer!AY$96/1000)</f>
        <v/>
      </c>
      <c r="Y118" s="114" t="str">
        <f ca="1">IF(Y$57="","",INDEX(Leverancer!AZ:AZ,ROW()-ROW(Leverancer!$AU$25)-6)*Leverancer!AZ$96/1000)</f>
        <v/>
      </c>
      <c r="Z118" s="114" t="str">
        <f ca="1">IF(Z$57="","",INDEX(Leverancer!BA:BA,ROW()-ROW(Leverancer!$AU$25)-6)*Leverancer!BA$96/1000)</f>
        <v/>
      </c>
      <c r="AA118" s="114" t="str">
        <f ca="1">IF(AA$57="","",INDEX(Leverancer!BB:BB,ROW()-ROW(Leverancer!$AU$25)-6)*Leverancer!BB$96/1000)</f>
        <v/>
      </c>
      <c r="AB118" s="114" t="str">
        <f ca="1">IF(AB$57="","",INDEX(Leverancer!BC:BC,ROW()-ROW(Leverancer!$AU$25)-6)*Leverancer!BC$96/1000)</f>
        <v/>
      </c>
      <c r="AC118" s="114" t="str">
        <f ca="1">IF(AC$57="","",INDEX(Leverancer!BD:BD,ROW()-ROW(Leverancer!$AU$25)-6)*Leverancer!BD$96/1000)</f>
        <v/>
      </c>
      <c r="AD118" s="114" t="str">
        <f ca="1">IF(AD$57="","",INDEX(Leverancer!BE:BE,ROW()-ROW(Leverancer!$AU$25)-6)*Leverancer!BE$96/1000)</f>
        <v/>
      </c>
      <c r="AE118" s="114" t="str">
        <f ca="1">IF(AE$57="","",INDEX(Leverancer!BF:BF,ROW()-ROW(Leverancer!$AU$25)-6)*Leverancer!BF$96/1000)</f>
        <v/>
      </c>
      <c r="AF118" s="114" t="str">
        <f ca="1">IF(AF$57="","",INDEX(Leverancer!BG:BG,ROW()-ROW(Leverancer!$AU$25)-6)*Leverancer!BG$96/1000)</f>
        <v/>
      </c>
      <c r="AG118" s="114" t="str">
        <f ca="1">IF(AG$57="","",INDEX(Leverancer!BH:BH,ROW()-ROW(Leverancer!$AU$25)-6)*Leverancer!BH$96/1000)</f>
        <v/>
      </c>
      <c r="AH118" s="114" t="str">
        <f ca="1">IF(AH$57="","",INDEX(Leverancer!BI:BI,ROW()-ROW(Leverancer!$AU$25)-6)*Leverancer!BI$96/1000)</f>
        <v/>
      </c>
      <c r="AI118" s="114" t="str">
        <f ca="1">IF(AI$57="","",INDEX(Leverancer!BJ:BJ,ROW()-ROW(Leverancer!$AU$25)-6)*Leverancer!BJ$96/1000)</f>
        <v/>
      </c>
      <c r="AJ118" s="114" t="str">
        <f ca="1">IF(AJ$57="","",INDEX(Leverancer!BK:BK,ROW()-ROW(Leverancer!$AU$25)-6)*Leverancer!BK$96/1000)</f>
        <v/>
      </c>
      <c r="AK118" s="114" t="str">
        <f ca="1">IF(AK$57="","",INDEX(Leverancer!BL:BL,ROW()-ROW(Leverancer!$AU$25)-6)*Leverancer!BL$96/1000)</f>
        <v/>
      </c>
      <c r="AL118" s="114" t="str">
        <f ca="1">IF(AL$57="","",INDEX(Leverancer!BM:BM,ROW()-ROW(Leverancer!$AU$25)-6)*Leverancer!BM$96/1000)</f>
        <v/>
      </c>
      <c r="AM118" s="114" t="str">
        <f ca="1">IF(AM$57="","",INDEX(Leverancer!BN:BN,ROW()-ROW(Leverancer!$AU$25)-6)*Leverancer!BN$96/1000)</f>
        <v/>
      </c>
      <c r="AN118" s="114" t="str">
        <f ca="1">IF(AN$57="","",INDEX(Leverancer!BO:BO,ROW()-ROW(Leverancer!$AU$25)-6)*Leverancer!BO$96/1000)</f>
        <v/>
      </c>
      <c r="AO118" s="114" t="str">
        <f ca="1">IF(AO$57="","",INDEX(Leverancer!BP:BP,ROW()-ROW(Leverancer!$AU$25)-6)*Leverancer!BP$96/1000)</f>
        <v/>
      </c>
      <c r="AP118" s="114" t="str">
        <f ca="1">IF(AP$57="","",INDEX(Leverancer!BQ:BQ,ROW()-ROW(Leverancer!$AU$25)-6)*Leverancer!BQ$96/1000)</f>
        <v/>
      </c>
      <c r="AQ118" s="114" t="str">
        <f ca="1">IF(AQ$57="","",INDEX(Leverancer!BR:BR,ROW()-ROW(Leverancer!$AU$25)-6)*Leverancer!BR$96/1000)</f>
        <v/>
      </c>
      <c r="AR118" s="114" t="str">
        <f ca="1">IF(AR$57="","",INDEX(Leverancer!BS:BS,ROW()-ROW(Leverancer!$AU$25)-6)*Leverancer!BS$96/1000)</f>
        <v/>
      </c>
      <c r="AS118" s="114" t="str">
        <f ca="1">IF(AS$57="","",INDEX(Leverancer!BT:BT,ROW()-ROW(Leverancer!$AU$25)-6)*Leverancer!BT$96/1000)</f>
        <v/>
      </c>
      <c r="AT118" s="114" t="str">
        <f ca="1">IF(AT$57="","",INDEX(Leverancer!BU:BU,ROW()-ROW(Leverancer!$AU$25)-6)*Leverancer!BU$96/1000)</f>
        <v/>
      </c>
      <c r="AU118" s="114" t="str">
        <f ca="1">IF(AU$57="","",INDEX(Leverancer!BV:BV,ROW()-ROW(Leverancer!$AU$25)-6)*Leverancer!BV$96/1000)</f>
        <v/>
      </c>
      <c r="AV118" s="114" t="str">
        <f ca="1">IF(AV$57="","",INDEX(Leverancer!BW:BW,ROW()-ROW(Leverancer!$AU$25)-6)*Leverancer!BW$96/1000)</f>
        <v/>
      </c>
      <c r="AW118" s="114" t="str">
        <f ca="1">IF(AW$57="","",INDEX(Leverancer!BX:BX,ROW()-ROW(Leverancer!$AU$25)-6)*Leverancer!BX$96/1000)</f>
        <v/>
      </c>
      <c r="AX118" s="90"/>
      <c r="AY118" s="90"/>
      <c r="AZ118" s="87"/>
    </row>
    <row r="119" spans="1:52" ht="12.75" hidden="1" customHeight="1" outlineLevel="1" x14ac:dyDescent="0.2">
      <c r="N119" s="85"/>
      <c r="O119" s="90"/>
      <c r="P119" s="90"/>
      <c r="Q119" s="116" t="str">
        <f>INDEX(Leverancer!$AO$1:$AO$1061,ROW()-ROW(Leverancer!$AU$25)-6)&amp;": "&amp;INDEX(Leverancer!$AP$1:$AP$1061,ROW()-ROW(Leverancer!$AU$25)-6)</f>
        <v xml:space="preserve">L60: </v>
      </c>
      <c r="R119" s="114"/>
      <c r="S119" s="119">
        <f t="shared" ca="1" si="12"/>
        <v>0</v>
      </c>
      <c r="T119" s="114">
        <f ca="1">IF(T$57="","",INDEX(Leverancer!AU:AU,ROW()-ROW(Leverancer!$AU$25)-6)*Leverancer!AU$96/1000)</f>
        <v>0</v>
      </c>
      <c r="U119" s="114">
        <f ca="1">IF(U$57="","",INDEX(Leverancer!AV:AV,ROW()-ROW(Leverancer!$AU$25)-6)*Leverancer!AV$96/1000)</f>
        <v>0</v>
      </c>
      <c r="V119" s="114">
        <f ca="1">IF(V$57="","",INDEX(Leverancer!AW:AW,ROW()-ROW(Leverancer!$AU$25)-6)*Leverancer!AW$96/1000)</f>
        <v>0</v>
      </c>
      <c r="W119" s="114">
        <f ca="1">IF(W$57="","",INDEX(Leverancer!AX:AX,ROW()-ROW(Leverancer!$AU$25)-6)*Leverancer!AX$96/1000)</f>
        <v>0</v>
      </c>
      <c r="X119" s="114" t="str">
        <f ca="1">IF(X$57="","",INDEX(Leverancer!AY:AY,ROW()-ROW(Leverancer!$AU$25)-6)*Leverancer!AY$96/1000)</f>
        <v/>
      </c>
      <c r="Y119" s="114" t="str">
        <f ca="1">IF(Y$57="","",INDEX(Leverancer!AZ:AZ,ROW()-ROW(Leverancer!$AU$25)-6)*Leverancer!AZ$96/1000)</f>
        <v/>
      </c>
      <c r="Z119" s="114" t="str">
        <f ca="1">IF(Z$57="","",INDEX(Leverancer!BA:BA,ROW()-ROW(Leverancer!$AU$25)-6)*Leverancer!BA$96/1000)</f>
        <v/>
      </c>
      <c r="AA119" s="114" t="str">
        <f ca="1">IF(AA$57="","",INDEX(Leverancer!BB:BB,ROW()-ROW(Leverancer!$AU$25)-6)*Leverancer!BB$96/1000)</f>
        <v/>
      </c>
      <c r="AB119" s="114" t="str">
        <f ca="1">IF(AB$57="","",INDEX(Leverancer!BC:BC,ROW()-ROW(Leverancer!$AU$25)-6)*Leverancer!BC$96/1000)</f>
        <v/>
      </c>
      <c r="AC119" s="114" t="str">
        <f ca="1">IF(AC$57="","",INDEX(Leverancer!BD:BD,ROW()-ROW(Leverancer!$AU$25)-6)*Leverancer!BD$96/1000)</f>
        <v/>
      </c>
      <c r="AD119" s="114" t="str">
        <f ca="1">IF(AD$57="","",INDEX(Leverancer!BE:BE,ROW()-ROW(Leverancer!$AU$25)-6)*Leverancer!BE$96/1000)</f>
        <v/>
      </c>
      <c r="AE119" s="114" t="str">
        <f ca="1">IF(AE$57="","",INDEX(Leverancer!BF:BF,ROW()-ROW(Leverancer!$AU$25)-6)*Leverancer!BF$96/1000)</f>
        <v/>
      </c>
      <c r="AF119" s="114" t="str">
        <f ca="1">IF(AF$57="","",INDEX(Leverancer!BG:BG,ROW()-ROW(Leverancer!$AU$25)-6)*Leverancer!BG$96/1000)</f>
        <v/>
      </c>
      <c r="AG119" s="114" t="str">
        <f ca="1">IF(AG$57="","",INDEX(Leverancer!BH:BH,ROW()-ROW(Leverancer!$AU$25)-6)*Leverancer!BH$96/1000)</f>
        <v/>
      </c>
      <c r="AH119" s="114" t="str">
        <f ca="1">IF(AH$57="","",INDEX(Leverancer!BI:BI,ROW()-ROW(Leverancer!$AU$25)-6)*Leverancer!BI$96/1000)</f>
        <v/>
      </c>
      <c r="AI119" s="114" t="str">
        <f ca="1">IF(AI$57="","",INDEX(Leverancer!BJ:BJ,ROW()-ROW(Leverancer!$AU$25)-6)*Leverancer!BJ$96/1000)</f>
        <v/>
      </c>
      <c r="AJ119" s="114" t="str">
        <f ca="1">IF(AJ$57="","",INDEX(Leverancer!BK:BK,ROW()-ROW(Leverancer!$AU$25)-6)*Leverancer!BK$96/1000)</f>
        <v/>
      </c>
      <c r="AK119" s="114" t="str">
        <f ca="1">IF(AK$57="","",INDEX(Leverancer!BL:BL,ROW()-ROW(Leverancer!$AU$25)-6)*Leverancer!BL$96/1000)</f>
        <v/>
      </c>
      <c r="AL119" s="114" t="str">
        <f ca="1">IF(AL$57="","",INDEX(Leverancer!BM:BM,ROW()-ROW(Leverancer!$AU$25)-6)*Leverancer!BM$96/1000)</f>
        <v/>
      </c>
      <c r="AM119" s="114" t="str">
        <f ca="1">IF(AM$57="","",INDEX(Leverancer!BN:BN,ROW()-ROW(Leverancer!$AU$25)-6)*Leverancer!BN$96/1000)</f>
        <v/>
      </c>
      <c r="AN119" s="114" t="str">
        <f ca="1">IF(AN$57="","",INDEX(Leverancer!BO:BO,ROW()-ROW(Leverancer!$AU$25)-6)*Leverancer!BO$96/1000)</f>
        <v/>
      </c>
      <c r="AO119" s="114" t="str">
        <f ca="1">IF(AO$57="","",INDEX(Leverancer!BP:BP,ROW()-ROW(Leverancer!$AU$25)-6)*Leverancer!BP$96/1000)</f>
        <v/>
      </c>
      <c r="AP119" s="114" t="str">
        <f ca="1">IF(AP$57="","",INDEX(Leverancer!BQ:BQ,ROW()-ROW(Leverancer!$AU$25)-6)*Leverancer!BQ$96/1000)</f>
        <v/>
      </c>
      <c r="AQ119" s="114" t="str">
        <f ca="1">IF(AQ$57="","",INDEX(Leverancer!BR:BR,ROW()-ROW(Leverancer!$AU$25)-6)*Leverancer!BR$96/1000)</f>
        <v/>
      </c>
      <c r="AR119" s="114" t="str">
        <f ca="1">IF(AR$57="","",INDEX(Leverancer!BS:BS,ROW()-ROW(Leverancer!$AU$25)-6)*Leverancer!BS$96/1000)</f>
        <v/>
      </c>
      <c r="AS119" s="114" t="str">
        <f ca="1">IF(AS$57="","",INDEX(Leverancer!BT:BT,ROW()-ROW(Leverancer!$AU$25)-6)*Leverancer!BT$96/1000)</f>
        <v/>
      </c>
      <c r="AT119" s="114" t="str">
        <f ca="1">IF(AT$57="","",INDEX(Leverancer!BU:BU,ROW()-ROW(Leverancer!$AU$25)-6)*Leverancer!BU$96/1000)</f>
        <v/>
      </c>
      <c r="AU119" s="114" t="str">
        <f ca="1">IF(AU$57="","",INDEX(Leverancer!BV:BV,ROW()-ROW(Leverancer!$AU$25)-6)*Leverancer!BV$96/1000)</f>
        <v/>
      </c>
      <c r="AV119" s="114" t="str">
        <f ca="1">IF(AV$57="","",INDEX(Leverancer!BW:BW,ROW()-ROW(Leverancer!$AU$25)-6)*Leverancer!BW$96/1000)</f>
        <v/>
      </c>
      <c r="AW119" s="114" t="str">
        <f ca="1">IF(AW$57="","",INDEX(Leverancer!BX:BX,ROW()-ROW(Leverancer!$AU$25)-6)*Leverancer!BX$96/1000)</f>
        <v/>
      </c>
      <c r="AX119" s="90"/>
      <c r="AY119" s="90"/>
      <c r="AZ119" s="87"/>
    </row>
    <row r="120" spans="1:52" ht="12.75" customHeight="1" collapsed="1" x14ac:dyDescent="0.2">
      <c r="N120" s="85"/>
      <c r="O120" s="90"/>
      <c r="P120" s="90"/>
      <c r="Q120" s="117" t="str">
        <f>INDEX(g_lang_val,MATCH("le_2_5",g_lang_key,0))</f>
        <v>Risikopulje</v>
      </c>
      <c r="R120" s="122">
        <f ca="1">IF(S$121&lt;&gt;0,S120/(S69+S58+S120),0)</f>
        <v>0</v>
      </c>
      <c r="S120" s="119">
        <f ca="1">SUM(T120:BG120)</f>
        <v>0</v>
      </c>
      <c r="T120" s="120">
        <f ca="1">IF(T$57="","",INDEX(Leverancer!AU104:BX104,1)/1000)</f>
        <v>0</v>
      </c>
      <c r="U120" s="120">
        <f ca="1">IF(U$57="","",INDEX(Leverancer!AV104:BY104,1)/1000)</f>
        <v>0</v>
      </c>
      <c r="V120" s="120">
        <f ca="1">IF(V$57="","",INDEX(Leverancer!AW104:BZ104,1)/1000)</f>
        <v>0</v>
      </c>
      <c r="W120" s="120">
        <f ca="1">IF(W$57="","",INDEX(Leverancer!AX104:CA104,1)/1000)</f>
        <v>0</v>
      </c>
      <c r="X120" s="120" t="str">
        <f ca="1">IF(X$57="","",INDEX(Leverancer!AY104:CB104,1)/1000)</f>
        <v/>
      </c>
      <c r="Y120" s="120" t="str">
        <f ca="1">IF(Y$57="","",INDEX(Leverancer!AZ104:CC104,1)/1000)</f>
        <v/>
      </c>
      <c r="Z120" s="120" t="str">
        <f ca="1">IF(Z$57="","",INDEX(Leverancer!BA104:CD104,1)/1000)</f>
        <v/>
      </c>
      <c r="AA120" s="120" t="str">
        <f ca="1">IF(AA$57="","",INDEX(Leverancer!BB104:CE104,1)/1000)</f>
        <v/>
      </c>
      <c r="AB120" s="120" t="str">
        <f ca="1">IF(AB$57="","",INDEX(Leverancer!BC104:CF104,1)/1000)</f>
        <v/>
      </c>
      <c r="AC120" s="120" t="str">
        <f ca="1">IF(AC$57="","",INDEX(Leverancer!BD104:CG104,1)/1000)</f>
        <v/>
      </c>
      <c r="AD120" s="120" t="str">
        <f ca="1">IF(AD$57="","",INDEX(Leverancer!BE104:CH104,1)/1000)</f>
        <v/>
      </c>
      <c r="AE120" s="120" t="str">
        <f ca="1">IF(AE$57="","",INDEX(Leverancer!BF104:CI104,1)/1000)</f>
        <v/>
      </c>
      <c r="AF120" s="120" t="str">
        <f ca="1">IF(AF$57="","",INDEX(Leverancer!BG104:CJ104,1)/1000)</f>
        <v/>
      </c>
      <c r="AG120" s="120" t="str">
        <f ca="1">IF(AG$57="","",INDEX(Leverancer!BH104:CK104,1)/1000)</f>
        <v/>
      </c>
      <c r="AH120" s="120" t="str">
        <f ca="1">IF(AH$57="","",INDEX(Leverancer!BI104:CL104,1)/1000)</f>
        <v/>
      </c>
      <c r="AI120" s="120" t="str">
        <f ca="1">IF(AI$57="","",INDEX(Leverancer!BJ104:CM104,1)/1000)</f>
        <v/>
      </c>
      <c r="AJ120" s="120" t="str">
        <f ca="1">IF(AJ$57="","",INDEX(Leverancer!BK104:CN104,1)/1000)</f>
        <v/>
      </c>
      <c r="AK120" s="120" t="str">
        <f ca="1">IF(AK$57="","",INDEX(Leverancer!BL104:CO104,1)/1000)</f>
        <v/>
      </c>
      <c r="AL120" s="120" t="str">
        <f ca="1">IF(AL$57="","",INDEX(Leverancer!BM104:CP104,1)/1000)</f>
        <v/>
      </c>
      <c r="AM120" s="120" t="str">
        <f ca="1">IF(AM$57="","",INDEX(Leverancer!BN104:CQ104,1)/1000)</f>
        <v/>
      </c>
      <c r="AN120" s="120" t="str">
        <f ca="1">IF(AN$57="","",INDEX(Leverancer!BO104:CR104,1)/1000)</f>
        <v/>
      </c>
      <c r="AO120" s="120" t="str">
        <f ca="1">IF(AO$57="","",INDEX(Leverancer!BP104:CS104,1)/1000)</f>
        <v/>
      </c>
      <c r="AP120" s="120" t="str">
        <f ca="1">IF(AP$57="","",INDEX(Leverancer!BQ104:CT104,1)/1000)</f>
        <v/>
      </c>
      <c r="AQ120" s="120" t="str">
        <f ca="1">IF(AQ$57="","",INDEX(Leverancer!BR104:CU104,1)/1000)</f>
        <v/>
      </c>
      <c r="AR120" s="120" t="str">
        <f ca="1">IF(AR$57="","",INDEX(Leverancer!BS104:CV104,1)/1000)</f>
        <v/>
      </c>
      <c r="AS120" s="120" t="str">
        <f ca="1">IF(AS$57="","",INDEX(Leverancer!BT104:CW104,1)/1000)</f>
        <v/>
      </c>
      <c r="AT120" s="120" t="str">
        <f ca="1">IF(AT$57="","",INDEX(Leverancer!BU104:CX104,1)/1000)</f>
        <v/>
      </c>
      <c r="AU120" s="120" t="str">
        <f ca="1">IF(AU$57="","",INDEX(Leverancer!BV104:CY104,1)/1000)</f>
        <v/>
      </c>
      <c r="AV120" s="120" t="str">
        <f ca="1">IF(AV$57="","",INDEX(Leverancer!BW104:CZ104,1)/1000)</f>
        <v/>
      </c>
      <c r="AW120" s="120" t="str">
        <f ca="1">IF(AW$57="","",INDEX(Leverancer!BX104:DA104,1)/1000)</f>
        <v/>
      </c>
      <c r="AX120" s="90"/>
      <c r="AY120" s="90"/>
      <c r="AZ120" s="87"/>
    </row>
    <row r="121" spans="1:52" ht="12.75" customHeight="1" x14ac:dyDescent="0.2">
      <c r="N121" s="85"/>
      <c r="O121" s="90"/>
      <c r="P121" s="90"/>
      <c r="Q121" s="117" t="str">
        <f>INDEX(g_lang_val,MATCH("tb_2_1_4",g_lang_key,0))</f>
        <v>Total, ekskl. renter</v>
      </c>
      <c r="R121" s="122">
        <f ca="1">R58+R69+R120</f>
        <v>0</v>
      </c>
      <c r="S121" s="119">
        <f ca="1">SUM(T121:BG121)</f>
        <v>0</v>
      </c>
      <c r="T121" s="120">
        <f ca="1">IF(T$57="","",T58+T69+T120)</f>
        <v>0</v>
      </c>
      <c r="U121" s="120">
        <f ca="1">IF(U$57="","",U58+U69+U120)</f>
        <v>0</v>
      </c>
      <c r="V121" s="120">
        <f ca="1">IF(V$57="","",V58+V69+V120)</f>
        <v>0</v>
      </c>
      <c r="W121" s="120">
        <f t="shared" ref="W121:AW121" ca="1" si="13">IF(W$57="","",W58+W69+W120)</f>
        <v>0</v>
      </c>
      <c r="X121" s="120" t="str">
        <f t="shared" ca="1" si="13"/>
        <v/>
      </c>
      <c r="Y121" s="120" t="str">
        <f t="shared" ca="1" si="13"/>
        <v/>
      </c>
      <c r="Z121" s="120" t="str">
        <f t="shared" ca="1" si="13"/>
        <v/>
      </c>
      <c r="AA121" s="120" t="str">
        <f t="shared" ca="1" si="13"/>
        <v/>
      </c>
      <c r="AB121" s="120" t="str">
        <f t="shared" ca="1" si="13"/>
        <v/>
      </c>
      <c r="AC121" s="120" t="str">
        <f t="shared" ca="1" si="13"/>
        <v/>
      </c>
      <c r="AD121" s="120" t="str">
        <f t="shared" ca="1" si="13"/>
        <v/>
      </c>
      <c r="AE121" s="120" t="str">
        <f t="shared" ca="1" si="13"/>
        <v/>
      </c>
      <c r="AF121" s="120" t="str">
        <f t="shared" ca="1" si="13"/>
        <v/>
      </c>
      <c r="AG121" s="120" t="str">
        <f t="shared" ca="1" si="13"/>
        <v/>
      </c>
      <c r="AH121" s="120" t="str">
        <f t="shared" ca="1" si="13"/>
        <v/>
      </c>
      <c r="AI121" s="120" t="str">
        <f t="shared" ca="1" si="13"/>
        <v/>
      </c>
      <c r="AJ121" s="120" t="str">
        <f t="shared" ca="1" si="13"/>
        <v/>
      </c>
      <c r="AK121" s="120" t="str">
        <f t="shared" ca="1" si="13"/>
        <v/>
      </c>
      <c r="AL121" s="120" t="str">
        <f t="shared" ca="1" si="13"/>
        <v/>
      </c>
      <c r="AM121" s="120" t="str">
        <f t="shared" ca="1" si="13"/>
        <v/>
      </c>
      <c r="AN121" s="120" t="str">
        <f t="shared" ca="1" si="13"/>
        <v/>
      </c>
      <c r="AO121" s="120" t="str">
        <f t="shared" ca="1" si="13"/>
        <v/>
      </c>
      <c r="AP121" s="120" t="str">
        <f t="shared" ca="1" si="13"/>
        <v/>
      </c>
      <c r="AQ121" s="120" t="str">
        <f t="shared" ca="1" si="13"/>
        <v/>
      </c>
      <c r="AR121" s="120" t="str">
        <f t="shared" ca="1" si="13"/>
        <v/>
      </c>
      <c r="AS121" s="120" t="str">
        <f t="shared" ca="1" si="13"/>
        <v/>
      </c>
      <c r="AT121" s="120" t="str">
        <f t="shared" ca="1" si="13"/>
        <v/>
      </c>
      <c r="AU121" s="120" t="str">
        <f t="shared" ca="1" si="13"/>
        <v/>
      </c>
      <c r="AV121" s="120" t="str">
        <f t="shared" ca="1" si="13"/>
        <v/>
      </c>
      <c r="AW121" s="120" t="str">
        <f t="shared" ca="1" si="13"/>
        <v/>
      </c>
      <c r="AX121" s="90"/>
      <c r="AY121" s="90"/>
      <c r="AZ121" s="87"/>
    </row>
    <row r="122" spans="1:52" ht="12.75" hidden="1" customHeight="1" x14ac:dyDescent="0.2">
      <c r="N122" s="85"/>
      <c r="O122" s="90"/>
      <c r="P122" s="90"/>
      <c r="Q122" s="123" t="s">
        <v>131</v>
      </c>
      <c r="R122" s="122" t="e">
        <f ca="1">S122/S121</f>
        <v>#DIV/0!</v>
      </c>
      <c r="S122" s="119">
        <f t="shared" ref="S122" ca="1" si="14">SUM(T122:AM122)</f>
        <v>0</v>
      </c>
      <c r="T122" s="120">
        <f>SUMIF($B:$B,1,T:T)</f>
        <v>0</v>
      </c>
      <c r="U122" s="120">
        <f>SUMIF($B:$B,1,U:U)</f>
        <v>0</v>
      </c>
      <c r="V122" s="114">
        <f ca="1">IF(V$57="","",INDEX(Leverancer!AW:AW,ROW()-ROW(Leverancer!$AU$25)-6)*Leverancer!AW$96/1000)</f>
        <v>0</v>
      </c>
      <c r="W122" s="120">
        <f>SUMIF($B:$B,1,W:W)</f>
        <v>0</v>
      </c>
      <c r="X122" s="124"/>
      <c r="Y122" s="124"/>
      <c r="Z122" s="124"/>
      <c r="AA122" s="124"/>
      <c r="AB122" s="124"/>
      <c r="AC122" s="124"/>
      <c r="AD122" s="124"/>
      <c r="AE122" s="124"/>
      <c r="AF122" s="124"/>
      <c r="AG122" s="124"/>
      <c r="AH122" s="124"/>
      <c r="AI122" s="124"/>
      <c r="AJ122" s="124"/>
      <c r="AK122" s="124"/>
      <c r="AL122" s="124"/>
      <c r="AM122" s="124"/>
      <c r="AN122" s="90"/>
      <c r="AO122" s="90"/>
      <c r="AP122" s="90"/>
      <c r="AQ122" s="90"/>
      <c r="AR122" s="90"/>
      <c r="AS122" s="90"/>
      <c r="AT122" s="90"/>
      <c r="AU122" s="90"/>
      <c r="AV122" s="90"/>
      <c r="AW122" s="90"/>
      <c r="AX122" s="90"/>
      <c r="AY122" s="90"/>
      <c r="AZ122" s="87"/>
    </row>
    <row r="123" spans="1:52" ht="12.75" customHeight="1" x14ac:dyDescent="0.2">
      <c r="N123" s="85"/>
      <c r="O123" s="102"/>
      <c r="P123" s="102"/>
      <c r="Q123" s="102"/>
      <c r="R123" s="102"/>
      <c r="S123" s="102"/>
      <c r="T123" s="102"/>
      <c r="U123" s="102"/>
      <c r="V123" s="102"/>
      <c r="W123" s="102"/>
      <c r="X123" s="102"/>
      <c r="Y123" s="102"/>
      <c r="Z123" s="102"/>
      <c r="AA123" s="102"/>
      <c r="AB123" s="102"/>
      <c r="AC123" s="102"/>
      <c r="AD123" s="102"/>
      <c r="AE123" s="102"/>
      <c r="AF123" s="102"/>
      <c r="AG123" s="102"/>
      <c r="AH123" s="102"/>
      <c r="AI123" s="102"/>
      <c r="AJ123" s="102"/>
      <c r="AK123" s="102"/>
      <c r="AL123" s="102"/>
      <c r="AM123" s="102"/>
      <c r="AN123" s="102"/>
      <c r="AO123" s="102"/>
      <c r="AP123" s="102"/>
      <c r="AQ123" s="102"/>
      <c r="AR123" s="102"/>
      <c r="AS123" s="102"/>
      <c r="AT123" s="102"/>
      <c r="AU123" s="102"/>
      <c r="AV123" s="102"/>
      <c r="AW123" s="102"/>
      <c r="AX123" s="102"/>
      <c r="AY123" s="102"/>
      <c r="AZ123" s="87"/>
    </row>
    <row r="124" spans="1:52" ht="25.5" customHeight="1" thickBot="1" x14ac:dyDescent="0.25">
      <c r="N124" s="104"/>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c r="AL124" s="105"/>
      <c r="AM124" s="105"/>
      <c r="AN124" s="105"/>
      <c r="AO124" s="105"/>
      <c r="AP124" s="105"/>
      <c r="AQ124" s="105"/>
      <c r="AR124" s="105"/>
      <c r="AS124" s="105"/>
      <c r="AT124" s="105"/>
      <c r="AU124" s="105"/>
      <c r="AV124" s="105"/>
      <c r="AW124" s="105"/>
      <c r="AX124" s="105"/>
      <c r="AY124" s="105"/>
      <c r="AZ124" s="106"/>
    </row>
    <row r="125" spans="1:52" ht="32.25" customHeight="1" thickTop="1" x14ac:dyDescent="0.2">
      <c r="A125" s="84">
        <v>248</v>
      </c>
      <c r="B125" s="84">
        <v>248</v>
      </c>
      <c r="C125" s="84">
        <v>222</v>
      </c>
      <c r="N125" s="181"/>
      <c r="O125" s="182" t="str">
        <f>INDEX(g_lang_val,MATCH("le_3_2",g_lang_key,0))</f>
        <v>Drifts-, vedligeholds- og udviklingsomkostninger</v>
      </c>
      <c r="P125" s="182"/>
      <c r="Q125" s="182"/>
      <c r="R125" s="182"/>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2"/>
      <c r="AZ125" s="183"/>
    </row>
    <row r="126" spans="1:52" ht="12.75" customHeight="1" x14ac:dyDescent="0.2">
      <c r="N126" s="85"/>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7"/>
    </row>
    <row r="127" spans="1:52" ht="22.9" customHeight="1" x14ac:dyDescent="0.2">
      <c r="N127" s="85"/>
      <c r="O127" s="88"/>
      <c r="P127" s="88"/>
      <c r="Q127" s="107" t="str">
        <f>INDEX(g_lang_val,MATCH("tb_1_1",g_lang_key,0)) &amp; " 5"</f>
        <v>Tabel 5</v>
      </c>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c r="AQ127" s="88"/>
      <c r="AR127" s="88"/>
      <c r="AS127" s="88"/>
      <c r="AT127" s="88"/>
      <c r="AU127" s="88"/>
      <c r="AV127" s="88"/>
      <c r="AW127" s="88"/>
      <c r="AX127" s="88"/>
      <c r="AY127" s="88"/>
      <c r="AZ127" s="87"/>
    </row>
    <row r="128" spans="1:52" ht="31.15" customHeight="1" x14ac:dyDescent="0.2">
      <c r="N128" s="85"/>
      <c r="O128" s="90"/>
      <c r="P128" s="90"/>
      <c r="Q128" s="108" t="str">
        <f>INDEX(g_lang_val,MATCH("le_3_2",g_lang_key,0))</f>
        <v>Drifts-, vedligeholds- og udviklingsomkostninger</v>
      </c>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87"/>
    </row>
    <row r="129" spans="14:52" ht="12.75" customHeight="1" thickBot="1" x14ac:dyDescent="0.25">
      <c r="N129" s="85"/>
      <c r="O129" s="90"/>
      <c r="P129" s="90"/>
      <c r="Q129" s="93" t="str">
        <f ca="1">INDEX(g_lang_val,MATCH("tb_1_1_1_1",g_lang_key,0)) &amp;g_reporting_year&amp;INDEX(g_lang_val,MATCH("tb_1_1_1_2",g_lang_key,0))</f>
        <v>Mio. kr. 2026-pl</v>
      </c>
      <c r="R129" s="121"/>
      <c r="S129" s="94" t="str">
        <f>INDEX(g_lang_val,MATCH("le_2_2",g_lang_key,0))</f>
        <v xml:space="preserve">Total </v>
      </c>
      <c r="T129" s="110">
        <f t="shared" ref="T129:AW129" ca="1" si="15">T37</f>
        <v>2026</v>
      </c>
      <c r="U129" s="110">
        <f t="shared" ca="1" si="15"/>
        <v>2027</v>
      </c>
      <c r="V129" s="110">
        <f t="shared" ca="1" si="15"/>
        <v>2028</v>
      </c>
      <c r="W129" s="110">
        <f t="shared" ca="1" si="15"/>
        <v>2029</v>
      </c>
      <c r="X129" s="110" t="str">
        <f t="shared" ca="1" si="15"/>
        <v/>
      </c>
      <c r="Y129" s="110" t="str">
        <f t="shared" ca="1" si="15"/>
        <v/>
      </c>
      <c r="Z129" s="110" t="str">
        <f t="shared" ca="1" si="15"/>
        <v/>
      </c>
      <c r="AA129" s="110" t="str">
        <f t="shared" ca="1" si="15"/>
        <v/>
      </c>
      <c r="AB129" s="110" t="str">
        <f t="shared" ca="1" si="15"/>
        <v/>
      </c>
      <c r="AC129" s="110" t="str">
        <f t="shared" ca="1" si="15"/>
        <v/>
      </c>
      <c r="AD129" s="110" t="str">
        <f t="shared" ca="1" si="15"/>
        <v/>
      </c>
      <c r="AE129" s="110" t="str">
        <f t="shared" ca="1" si="15"/>
        <v/>
      </c>
      <c r="AF129" s="110" t="str">
        <f t="shared" ca="1" si="15"/>
        <v/>
      </c>
      <c r="AG129" s="110" t="str">
        <f t="shared" ca="1" si="15"/>
        <v/>
      </c>
      <c r="AH129" s="110" t="str">
        <f t="shared" ca="1" si="15"/>
        <v/>
      </c>
      <c r="AI129" s="110" t="str">
        <f t="shared" ca="1" si="15"/>
        <v/>
      </c>
      <c r="AJ129" s="110" t="str">
        <f t="shared" ca="1" si="15"/>
        <v/>
      </c>
      <c r="AK129" s="110" t="str">
        <f t="shared" ca="1" si="15"/>
        <v/>
      </c>
      <c r="AL129" s="110" t="str">
        <f t="shared" ca="1" si="15"/>
        <v/>
      </c>
      <c r="AM129" s="110" t="str">
        <f t="shared" ca="1" si="15"/>
        <v/>
      </c>
      <c r="AN129" s="110" t="str">
        <f t="shared" ca="1" si="15"/>
        <v/>
      </c>
      <c r="AO129" s="110" t="str">
        <f t="shared" ca="1" si="15"/>
        <v/>
      </c>
      <c r="AP129" s="110" t="str">
        <f t="shared" ca="1" si="15"/>
        <v/>
      </c>
      <c r="AQ129" s="110" t="str">
        <f t="shared" ca="1" si="15"/>
        <v/>
      </c>
      <c r="AR129" s="110" t="str">
        <f t="shared" ca="1" si="15"/>
        <v/>
      </c>
      <c r="AS129" s="110" t="str">
        <f t="shared" ca="1" si="15"/>
        <v/>
      </c>
      <c r="AT129" s="110" t="str">
        <f t="shared" ca="1" si="15"/>
        <v/>
      </c>
      <c r="AU129" s="110" t="str">
        <f t="shared" ca="1" si="15"/>
        <v/>
      </c>
      <c r="AV129" s="110" t="str">
        <f t="shared" ca="1" si="15"/>
        <v/>
      </c>
      <c r="AW129" s="110" t="str">
        <f t="shared" ca="1" si="15"/>
        <v/>
      </c>
      <c r="AX129" s="90"/>
      <c r="AY129" s="90"/>
      <c r="AZ129" s="87"/>
    </row>
    <row r="130" spans="14:52" ht="12.75" customHeight="1" thickTop="1" x14ac:dyDescent="0.2">
      <c r="N130" s="85"/>
      <c r="O130" s="90"/>
      <c r="P130" s="90"/>
      <c r="Q130" s="116" t="str">
        <f>INDEX(Leverancer!$AO$1:$AO$1061,ROW()-ROW($Q$130) + ROW(Leverancer!$AO$116))&amp;": "&amp;INDEX(Leverancer!$AP$1:$AP$1061,ROW()-ROW($Q$130) + ROW(Leverancer!$AO$116))</f>
        <v xml:space="preserve">D1: </v>
      </c>
      <c r="R130" s="118"/>
      <c r="S130" s="142">
        <f ca="1">SUM(T130:BG130)</f>
        <v>0</v>
      </c>
      <c r="T130" s="114">
        <f ca="1">IF(T$37="","",INDEX(Leverancer!AU$1:AU$1061,ROW()-ROW($Q$129) + ROW(Leverancer!$AO$115))*Leverancer!AU$143/1000)</f>
        <v>0</v>
      </c>
      <c r="U130" s="114">
        <f ca="1">IF(U$37="","",INDEX(Leverancer!AV$1:AV$1061,ROW()-ROW($Q$129) + ROW(Leverancer!$AO$115))*Leverancer!AV$143/1000)</f>
        <v>0</v>
      </c>
      <c r="V130" s="114">
        <f ca="1">IF(V$37="","",INDEX(Leverancer!AW$1:AW$1061,ROW()-ROW($Q$129) + ROW(Leverancer!$AO$115))*Leverancer!AW$143/1000)</f>
        <v>0</v>
      </c>
      <c r="W130" s="114">
        <f ca="1">IF(W$37="","",INDEX(Leverancer!AX$1:AX$1061,ROW()-ROW($Q$129) + ROW(Leverancer!$AO$115))*Leverancer!AX$143/1000)</f>
        <v>0</v>
      </c>
      <c r="X130" s="114" t="str">
        <f ca="1">IF(X$37="","",INDEX(Leverancer!AY$1:AY$1061,ROW()-ROW($Q$129) + ROW(Leverancer!$AO$115))*Leverancer!AY$143/1000)</f>
        <v/>
      </c>
      <c r="Y130" s="114" t="str">
        <f ca="1">IF(Y$37="","",INDEX(Leverancer!AZ$1:AZ$1061,ROW()-ROW($Q$129) + ROW(Leverancer!$AO$115))*Leverancer!AZ$143/1000)</f>
        <v/>
      </c>
      <c r="Z130" s="114" t="str">
        <f ca="1">IF(Z$37="","",INDEX(Leverancer!BA$1:BA$1061,ROW()-ROW($Q$129) + ROW(Leverancer!$AO$115))*Leverancer!BA$143/1000)</f>
        <v/>
      </c>
      <c r="AA130" s="114" t="str">
        <f ca="1">IF(AA$37="","",INDEX(Leverancer!BB$1:BB$1061,ROW()-ROW($Q$129) + ROW(Leverancer!$AO$115))*Leverancer!BB$143/1000)</f>
        <v/>
      </c>
      <c r="AB130" s="114" t="str">
        <f ca="1">IF(AB$37="","",INDEX(Leverancer!BC$1:BC$1061,ROW()-ROW($Q$129) + ROW(Leverancer!$AO$115))*Leverancer!BC$143/1000)</f>
        <v/>
      </c>
      <c r="AC130" s="114" t="str">
        <f ca="1">IF(AC$37="","",INDEX(Leverancer!BD$1:BD$1061,ROW()-ROW($Q$129) + ROW(Leverancer!$AO$115))*Leverancer!BD$143/1000)</f>
        <v/>
      </c>
      <c r="AD130" s="114" t="str">
        <f ca="1">IF(AD$37="","",INDEX(Leverancer!BE$1:BE$1061,ROW()-ROW($Q$129) + ROW(Leverancer!$AO$115))*Leverancer!BE$143/1000)</f>
        <v/>
      </c>
      <c r="AE130" s="114" t="str">
        <f ca="1">IF(AE$37="","",INDEX(Leverancer!BF$1:BF$1061,ROW()-ROW($Q$129) + ROW(Leverancer!$AO$115))*Leverancer!BF$143/1000)</f>
        <v/>
      </c>
      <c r="AF130" s="114" t="str">
        <f ca="1">IF(AF$37="","",INDEX(Leverancer!BG$1:BG$1061,ROW()-ROW($Q$129) + ROW(Leverancer!$AO$115))*Leverancer!BG$143/1000)</f>
        <v/>
      </c>
      <c r="AG130" s="114" t="str">
        <f ca="1">IF(AG$37="","",INDEX(Leverancer!BH$1:BH$1061,ROW()-ROW($Q$129) + ROW(Leverancer!$AO$115))*Leverancer!BH$143/1000)</f>
        <v/>
      </c>
      <c r="AH130" s="114" t="str">
        <f ca="1">IF(AH$37="","",INDEX(Leverancer!BI$1:BI$1061,ROW()-ROW($Q$129) + ROW(Leverancer!$AO$115))*Leverancer!BI$143/1000)</f>
        <v/>
      </c>
      <c r="AI130" s="114" t="str">
        <f ca="1">IF(AI$37="","",INDEX(Leverancer!BJ$1:BJ$1061,ROW()-ROW($Q$129) + ROW(Leverancer!$AO$115))*Leverancer!BJ$143/1000)</f>
        <v/>
      </c>
      <c r="AJ130" s="114" t="str">
        <f ca="1">IF(AJ$37="","",INDEX(Leverancer!BK$1:BK$1061,ROW()-ROW($Q$129) + ROW(Leverancer!$AO$115))*Leverancer!BK$143/1000)</f>
        <v/>
      </c>
      <c r="AK130" s="114" t="str">
        <f ca="1">IF(AK$37="","",INDEX(Leverancer!BL$1:BL$1061,ROW()-ROW($Q$129) + ROW(Leverancer!$AO$115))*Leverancer!BL$143/1000)</f>
        <v/>
      </c>
      <c r="AL130" s="114" t="str">
        <f ca="1">IF(AL$37="","",INDEX(Leverancer!BM$1:BM$1061,ROW()-ROW($Q$129) + ROW(Leverancer!$AO$115))*Leverancer!BM$143/1000)</f>
        <v/>
      </c>
      <c r="AM130" s="114" t="str">
        <f ca="1">IF(AM$37="","",INDEX(Leverancer!BN$1:BN$1061,ROW()-ROW($Q$129) + ROW(Leverancer!$AO$115))*Leverancer!BN$143/1000)</f>
        <v/>
      </c>
      <c r="AN130" s="114" t="str">
        <f ca="1">IF(AN$37="","",INDEX(Leverancer!BO$1:BO$1061,ROW()-ROW($Q$129) + ROW(Leverancer!$AO$115))*Leverancer!BO$143/1000)</f>
        <v/>
      </c>
      <c r="AO130" s="114" t="str">
        <f ca="1">IF(AO$37="","",INDEX(Leverancer!BP$1:BP$1061,ROW()-ROW($Q$129) + ROW(Leverancer!$AO$115))*Leverancer!BP$143/1000)</f>
        <v/>
      </c>
      <c r="AP130" s="114" t="str">
        <f ca="1">IF(AP$37="","",INDEX(Leverancer!BQ$1:BQ$1061,ROW()-ROW($Q$129) + ROW(Leverancer!$AO$115))*Leverancer!BQ$143/1000)</f>
        <v/>
      </c>
      <c r="AQ130" s="114" t="str">
        <f ca="1">IF(AQ$37="","",INDEX(Leverancer!BR$1:BR$1061,ROW()-ROW($Q$129) + ROW(Leverancer!$AO$115))*Leverancer!BR$143/1000)</f>
        <v/>
      </c>
      <c r="AR130" s="114" t="str">
        <f ca="1">IF(AR$37="","",INDEX(Leverancer!BS$1:BS$1061,ROW()-ROW($Q$129) + ROW(Leverancer!$AO$115))*Leverancer!BS$143/1000)</f>
        <v/>
      </c>
      <c r="AS130" s="114" t="str">
        <f ca="1">IF(AS$37="","",INDEX(Leverancer!BT$1:BT$1061,ROW()-ROW($Q$129) + ROW(Leverancer!$AO$115))*Leverancer!BT$143/1000)</f>
        <v/>
      </c>
      <c r="AT130" s="114" t="str">
        <f ca="1">IF(AT$37="","",INDEX(Leverancer!BU$1:BU$1061,ROW()-ROW($Q$129) + ROW(Leverancer!$AO$115))*Leverancer!BU$143/1000)</f>
        <v/>
      </c>
      <c r="AU130" s="114" t="str">
        <f ca="1">IF(AU$37="","",INDEX(Leverancer!BV$1:BV$1061,ROW()-ROW($Q$129) + ROW(Leverancer!$AO$115))*Leverancer!BV$143/1000)</f>
        <v/>
      </c>
      <c r="AV130" s="114" t="str">
        <f ca="1">IF(AV$37="","",INDEX(Leverancer!BW$1:BW$1061,ROW()-ROW($Q$129) + ROW(Leverancer!$AO$115))*Leverancer!BW$143/1000)</f>
        <v/>
      </c>
      <c r="AW130" s="114" t="str">
        <f ca="1">IF(AW$37="","",INDEX(Leverancer!BX$1:BX$1061,ROW()-ROW($Q$129) + ROW(Leverancer!$AO$115))*Leverancer!BX$143/1000)</f>
        <v/>
      </c>
      <c r="AX130" s="90"/>
      <c r="AY130" s="90"/>
      <c r="AZ130" s="87"/>
    </row>
    <row r="131" spans="14:52" ht="12.75" customHeight="1" x14ac:dyDescent="0.2">
      <c r="N131" s="85"/>
      <c r="O131" s="90"/>
      <c r="P131" s="90"/>
      <c r="Q131" s="116" t="str">
        <f>INDEX(Leverancer!$AO$1:$AO$1061,ROW()-ROW($Q$130) + ROW(Leverancer!$AO$116))&amp;": "&amp;INDEX(Leverancer!$AP$1:$AP$1061,ROW()-ROW($Q$130) + ROW(Leverancer!$AO$116))</f>
        <v xml:space="preserve">D2: </v>
      </c>
      <c r="R131" s="118"/>
      <c r="S131" s="142">
        <f t="shared" ref="S131:S149" ca="1" si="16">SUM(T131:BG131)</f>
        <v>0</v>
      </c>
      <c r="T131" s="114">
        <f ca="1">IF(T$37="","",INDEX(Leverancer!AU$1:AU$1061,ROW()-ROW($Q$129) + ROW(Leverancer!$AO$115))*Leverancer!AU$143/1000)</f>
        <v>0</v>
      </c>
      <c r="U131" s="114">
        <f ca="1">IF(U$37="","",INDEX(Leverancer!AV$1:AV$1061,ROW()-ROW($Q$129) + ROW(Leverancer!$AO$115))*Leverancer!AV$143/1000)</f>
        <v>0</v>
      </c>
      <c r="V131" s="114">
        <f ca="1">IF(V$37="","",INDEX(Leverancer!AW$1:AW$1061,ROW()-ROW($Q$129) + ROW(Leverancer!$AO$115))*Leverancer!AW$143/1000)</f>
        <v>0</v>
      </c>
      <c r="W131" s="114">
        <f ca="1">IF(W$37="","",INDEX(Leverancer!AX$1:AX$1061,ROW()-ROW($Q$129) + ROW(Leverancer!$AO$115))*Leverancer!AX$143/1000)</f>
        <v>0</v>
      </c>
      <c r="X131" s="114" t="str">
        <f ca="1">IF(X$37="","",INDEX(Leverancer!AY$1:AY$1061,ROW()-ROW($Q$129) + ROW(Leverancer!$AO$115))*Leverancer!AY$143/1000)</f>
        <v/>
      </c>
      <c r="Y131" s="114" t="str">
        <f ca="1">IF(Y$37="","",INDEX(Leverancer!AZ$1:AZ$1061,ROW()-ROW($Q$129) + ROW(Leverancer!$AO$115))*Leverancer!AZ$143/1000)</f>
        <v/>
      </c>
      <c r="Z131" s="114" t="str">
        <f ca="1">IF(Z$37="","",INDEX(Leverancer!BA$1:BA$1061,ROW()-ROW($Q$129) + ROW(Leverancer!$AO$115))*Leverancer!BA$143/1000)</f>
        <v/>
      </c>
      <c r="AA131" s="114" t="str">
        <f ca="1">IF(AA$37="","",INDEX(Leverancer!BB$1:BB$1061,ROW()-ROW($Q$129) + ROW(Leverancer!$AO$115))*Leverancer!BB$143/1000)</f>
        <v/>
      </c>
      <c r="AB131" s="114" t="str">
        <f ca="1">IF(AB$37="","",INDEX(Leverancer!BC$1:BC$1061,ROW()-ROW($Q$129) + ROW(Leverancer!$AO$115))*Leverancer!BC$143/1000)</f>
        <v/>
      </c>
      <c r="AC131" s="114" t="str">
        <f ca="1">IF(AC$37="","",INDEX(Leverancer!BD$1:BD$1061,ROW()-ROW($Q$129) + ROW(Leverancer!$AO$115))*Leverancer!BD$143/1000)</f>
        <v/>
      </c>
      <c r="AD131" s="114" t="str">
        <f ca="1">IF(AD$37="","",INDEX(Leverancer!BE$1:BE$1061,ROW()-ROW($Q$129) + ROW(Leverancer!$AO$115))*Leverancer!BE$143/1000)</f>
        <v/>
      </c>
      <c r="AE131" s="114" t="str">
        <f ca="1">IF(AE$37="","",INDEX(Leverancer!BF$1:BF$1061,ROW()-ROW($Q$129) + ROW(Leverancer!$AO$115))*Leverancer!BF$143/1000)</f>
        <v/>
      </c>
      <c r="AF131" s="114" t="str">
        <f ca="1">IF(AF$37="","",INDEX(Leverancer!BG$1:BG$1061,ROW()-ROW($Q$129) + ROW(Leverancer!$AO$115))*Leverancer!BG$143/1000)</f>
        <v/>
      </c>
      <c r="AG131" s="114" t="str">
        <f ca="1">IF(AG$37="","",INDEX(Leverancer!BH$1:BH$1061,ROW()-ROW($Q$129) + ROW(Leverancer!$AO$115))*Leverancer!BH$143/1000)</f>
        <v/>
      </c>
      <c r="AH131" s="114" t="str">
        <f ca="1">IF(AH$37="","",INDEX(Leverancer!BI$1:BI$1061,ROW()-ROW($Q$129) + ROW(Leverancer!$AO$115))*Leverancer!BI$143/1000)</f>
        <v/>
      </c>
      <c r="AI131" s="114" t="str">
        <f ca="1">IF(AI$37="","",INDEX(Leverancer!BJ$1:BJ$1061,ROW()-ROW($Q$129) + ROW(Leverancer!$AO$115))*Leverancer!BJ$143/1000)</f>
        <v/>
      </c>
      <c r="AJ131" s="114" t="str">
        <f ca="1">IF(AJ$37="","",INDEX(Leverancer!BK$1:BK$1061,ROW()-ROW($Q$129) + ROW(Leverancer!$AO$115))*Leverancer!BK$143/1000)</f>
        <v/>
      </c>
      <c r="AK131" s="114" t="str">
        <f ca="1">IF(AK$37="","",INDEX(Leverancer!BL$1:BL$1061,ROW()-ROW($Q$129) + ROW(Leverancer!$AO$115))*Leverancer!BL$143/1000)</f>
        <v/>
      </c>
      <c r="AL131" s="114" t="str">
        <f ca="1">IF(AL$37="","",INDEX(Leverancer!BM$1:BM$1061,ROW()-ROW($Q$129) + ROW(Leverancer!$AO$115))*Leverancer!BM$143/1000)</f>
        <v/>
      </c>
      <c r="AM131" s="114" t="str">
        <f ca="1">IF(AM$37="","",INDEX(Leverancer!BN$1:BN$1061,ROW()-ROW($Q$129) + ROW(Leverancer!$AO$115))*Leverancer!BN$143/1000)</f>
        <v/>
      </c>
      <c r="AN131" s="114" t="str">
        <f ca="1">IF(AN$37="","",INDEX(Leverancer!BO$1:BO$1061,ROW()-ROW($Q$129) + ROW(Leverancer!$AO$115))*Leverancer!BO$143/1000)</f>
        <v/>
      </c>
      <c r="AO131" s="114" t="str">
        <f ca="1">IF(AO$37="","",INDEX(Leverancer!BP$1:BP$1061,ROW()-ROW($Q$129) + ROW(Leverancer!$AO$115))*Leverancer!BP$143/1000)</f>
        <v/>
      </c>
      <c r="AP131" s="114" t="str">
        <f ca="1">IF(AP$37="","",INDEX(Leverancer!BQ$1:BQ$1061,ROW()-ROW($Q$129) + ROW(Leverancer!$AO$115))*Leverancer!BQ$143/1000)</f>
        <v/>
      </c>
      <c r="AQ131" s="114" t="str">
        <f ca="1">IF(AQ$37="","",INDEX(Leverancer!BR$1:BR$1061,ROW()-ROW($Q$129) + ROW(Leverancer!$AO$115))*Leverancer!BR$143/1000)</f>
        <v/>
      </c>
      <c r="AR131" s="114" t="str">
        <f ca="1">IF(AR$37="","",INDEX(Leverancer!BS$1:BS$1061,ROW()-ROW($Q$129) + ROW(Leverancer!$AO$115))*Leverancer!BS$143/1000)</f>
        <v/>
      </c>
      <c r="AS131" s="114" t="str">
        <f ca="1">IF(AS$37="","",INDEX(Leverancer!BT$1:BT$1061,ROW()-ROW($Q$129) + ROW(Leverancer!$AO$115))*Leverancer!BT$143/1000)</f>
        <v/>
      </c>
      <c r="AT131" s="114" t="str">
        <f ca="1">IF(AT$37="","",INDEX(Leverancer!BU$1:BU$1061,ROW()-ROW($Q$129) + ROW(Leverancer!$AO$115))*Leverancer!BU$143/1000)</f>
        <v/>
      </c>
      <c r="AU131" s="114" t="str">
        <f ca="1">IF(AU$37="","",INDEX(Leverancer!BV$1:BV$1061,ROW()-ROW($Q$129) + ROW(Leverancer!$AO$115))*Leverancer!BV$143/1000)</f>
        <v/>
      </c>
      <c r="AV131" s="114" t="str">
        <f ca="1">IF(AV$37="","",INDEX(Leverancer!BW$1:BW$1061,ROW()-ROW($Q$129) + ROW(Leverancer!$AO$115))*Leverancer!BW$143/1000)</f>
        <v/>
      </c>
      <c r="AW131" s="114" t="str">
        <f ca="1">IF(AW$37="","",INDEX(Leverancer!BX$1:BX$1061,ROW()-ROW($Q$129) + ROW(Leverancer!$AO$115))*Leverancer!BX$143/1000)</f>
        <v/>
      </c>
      <c r="AX131" s="90"/>
      <c r="AY131" s="90"/>
      <c r="AZ131" s="87"/>
    </row>
    <row r="132" spans="14:52" ht="12.75" customHeight="1" x14ac:dyDescent="0.2">
      <c r="N132" s="85"/>
      <c r="O132" s="90"/>
      <c r="P132" s="90"/>
      <c r="Q132" s="116" t="str">
        <f>INDEX(Leverancer!$AO$1:$AO$1061,ROW()-ROW($Q$130) + ROW(Leverancer!$AO$116))&amp;": "&amp;INDEX(Leverancer!$AP$1:$AP$1061,ROW()-ROW($Q$130) + ROW(Leverancer!$AO$116))</f>
        <v xml:space="preserve">D3: </v>
      </c>
      <c r="R132" s="118"/>
      <c r="S132" s="142">
        <f t="shared" ca="1" si="16"/>
        <v>0</v>
      </c>
      <c r="T132" s="114">
        <f ca="1">IF(T$37="","",INDEX(Leverancer!AU$1:AU$1061,ROW()-ROW($Q$129) + ROW(Leverancer!$AO$115))*Leverancer!AU$143/1000)</f>
        <v>0</v>
      </c>
      <c r="U132" s="114">
        <f ca="1">IF(U$37="","",INDEX(Leverancer!AV$1:AV$1061,ROW()-ROW($Q$129) + ROW(Leverancer!$AO$115))*Leverancer!AV$143/1000)</f>
        <v>0</v>
      </c>
      <c r="V132" s="114">
        <f ca="1">IF(V$37="","",INDEX(Leverancer!AW$1:AW$1061,ROW()-ROW($Q$129) + ROW(Leverancer!$AO$115))*Leverancer!AW$143/1000)</f>
        <v>0</v>
      </c>
      <c r="W132" s="114">
        <f ca="1">IF(W$37="","",INDEX(Leverancer!AX$1:AX$1061,ROW()-ROW($Q$129) + ROW(Leverancer!$AO$115))*Leverancer!AX$143/1000)</f>
        <v>0</v>
      </c>
      <c r="X132" s="114" t="str">
        <f ca="1">IF(X$37="","",INDEX(Leverancer!AY$1:AY$1061,ROW()-ROW($Q$129) + ROW(Leverancer!$AO$115))*Leverancer!AY$143/1000)</f>
        <v/>
      </c>
      <c r="Y132" s="114" t="str">
        <f ca="1">IF(Y$37="","",INDEX(Leverancer!AZ$1:AZ$1061,ROW()-ROW($Q$129) + ROW(Leverancer!$AO$115))*Leverancer!AZ$143/1000)</f>
        <v/>
      </c>
      <c r="Z132" s="114" t="str">
        <f ca="1">IF(Z$37="","",INDEX(Leverancer!BA$1:BA$1061,ROW()-ROW($Q$129) + ROW(Leverancer!$AO$115))*Leverancer!BA$143/1000)</f>
        <v/>
      </c>
      <c r="AA132" s="114" t="str">
        <f ca="1">IF(AA$37="","",INDEX(Leverancer!BB$1:BB$1061,ROW()-ROW($Q$129) + ROW(Leverancer!$AO$115))*Leverancer!BB$143/1000)</f>
        <v/>
      </c>
      <c r="AB132" s="114" t="str">
        <f ca="1">IF(AB$37="","",INDEX(Leverancer!BC$1:BC$1061,ROW()-ROW($Q$129) + ROW(Leverancer!$AO$115))*Leverancer!BC$143/1000)</f>
        <v/>
      </c>
      <c r="AC132" s="114" t="str">
        <f ca="1">IF(AC$37="","",INDEX(Leverancer!BD$1:BD$1061,ROW()-ROW($Q$129) + ROW(Leverancer!$AO$115))*Leverancer!BD$143/1000)</f>
        <v/>
      </c>
      <c r="AD132" s="114" t="str">
        <f ca="1">IF(AD$37="","",INDEX(Leverancer!BE$1:BE$1061,ROW()-ROW($Q$129) + ROW(Leverancer!$AO$115))*Leverancer!BE$143/1000)</f>
        <v/>
      </c>
      <c r="AE132" s="114" t="str">
        <f ca="1">IF(AE$37="","",INDEX(Leverancer!BF$1:BF$1061,ROW()-ROW($Q$129) + ROW(Leverancer!$AO$115))*Leverancer!BF$143/1000)</f>
        <v/>
      </c>
      <c r="AF132" s="114" t="str">
        <f ca="1">IF(AF$37="","",INDEX(Leverancer!BG$1:BG$1061,ROW()-ROW($Q$129) + ROW(Leverancer!$AO$115))*Leverancer!BG$143/1000)</f>
        <v/>
      </c>
      <c r="AG132" s="114" t="str">
        <f ca="1">IF(AG$37="","",INDEX(Leverancer!BH$1:BH$1061,ROW()-ROW($Q$129) + ROW(Leverancer!$AO$115))*Leverancer!BH$143/1000)</f>
        <v/>
      </c>
      <c r="AH132" s="114" t="str">
        <f ca="1">IF(AH$37="","",INDEX(Leverancer!BI$1:BI$1061,ROW()-ROW($Q$129) + ROW(Leverancer!$AO$115))*Leverancer!BI$143/1000)</f>
        <v/>
      </c>
      <c r="AI132" s="114" t="str">
        <f ca="1">IF(AI$37="","",INDEX(Leverancer!BJ$1:BJ$1061,ROW()-ROW($Q$129) + ROW(Leverancer!$AO$115))*Leverancer!BJ$143/1000)</f>
        <v/>
      </c>
      <c r="AJ132" s="114" t="str">
        <f ca="1">IF(AJ$37="","",INDEX(Leverancer!BK$1:BK$1061,ROW()-ROW($Q$129) + ROW(Leverancer!$AO$115))*Leverancer!BK$143/1000)</f>
        <v/>
      </c>
      <c r="AK132" s="114" t="str">
        <f ca="1">IF(AK$37="","",INDEX(Leverancer!BL$1:BL$1061,ROW()-ROW($Q$129) + ROW(Leverancer!$AO$115))*Leverancer!BL$143/1000)</f>
        <v/>
      </c>
      <c r="AL132" s="114" t="str">
        <f ca="1">IF(AL$37="","",INDEX(Leverancer!BM$1:BM$1061,ROW()-ROW($Q$129) + ROW(Leverancer!$AO$115))*Leverancer!BM$143/1000)</f>
        <v/>
      </c>
      <c r="AM132" s="114" t="str">
        <f ca="1">IF(AM$37="","",INDEX(Leverancer!BN$1:BN$1061,ROW()-ROW($Q$129) + ROW(Leverancer!$AO$115))*Leverancer!BN$143/1000)</f>
        <v/>
      </c>
      <c r="AN132" s="114" t="str">
        <f ca="1">IF(AN$37="","",INDEX(Leverancer!BO$1:BO$1061,ROW()-ROW($Q$129) + ROW(Leverancer!$AO$115))*Leverancer!BO$143/1000)</f>
        <v/>
      </c>
      <c r="AO132" s="114" t="str">
        <f ca="1">IF(AO$37="","",INDEX(Leverancer!BP$1:BP$1061,ROW()-ROW($Q$129) + ROW(Leverancer!$AO$115))*Leverancer!BP$143/1000)</f>
        <v/>
      </c>
      <c r="AP132" s="114" t="str">
        <f ca="1">IF(AP$37="","",INDEX(Leverancer!BQ$1:BQ$1061,ROW()-ROW($Q$129) + ROW(Leverancer!$AO$115))*Leverancer!BQ$143/1000)</f>
        <v/>
      </c>
      <c r="AQ132" s="114" t="str">
        <f ca="1">IF(AQ$37="","",INDEX(Leverancer!BR$1:BR$1061,ROW()-ROW($Q$129) + ROW(Leverancer!$AO$115))*Leverancer!BR$143/1000)</f>
        <v/>
      </c>
      <c r="AR132" s="114" t="str">
        <f ca="1">IF(AR$37="","",INDEX(Leverancer!BS$1:BS$1061,ROW()-ROW($Q$129) + ROW(Leverancer!$AO$115))*Leverancer!BS$143/1000)</f>
        <v/>
      </c>
      <c r="AS132" s="114" t="str">
        <f ca="1">IF(AS$37="","",INDEX(Leverancer!BT$1:BT$1061,ROW()-ROW($Q$129) + ROW(Leverancer!$AO$115))*Leverancer!BT$143/1000)</f>
        <v/>
      </c>
      <c r="AT132" s="114" t="str">
        <f ca="1">IF(AT$37="","",INDEX(Leverancer!BU$1:BU$1061,ROW()-ROW($Q$129) + ROW(Leverancer!$AO$115))*Leverancer!BU$143/1000)</f>
        <v/>
      </c>
      <c r="AU132" s="114" t="str">
        <f ca="1">IF(AU$37="","",INDEX(Leverancer!BV$1:BV$1061,ROW()-ROW($Q$129) + ROW(Leverancer!$AO$115))*Leverancer!BV$143/1000)</f>
        <v/>
      </c>
      <c r="AV132" s="114" t="str">
        <f ca="1">IF(AV$37="","",INDEX(Leverancer!BW$1:BW$1061,ROW()-ROW($Q$129) + ROW(Leverancer!$AO$115))*Leverancer!BW$143/1000)</f>
        <v/>
      </c>
      <c r="AW132" s="114" t="str">
        <f ca="1">IF(AW$37="","",INDEX(Leverancer!BX$1:BX$1061,ROW()-ROW($Q$129) + ROW(Leverancer!$AO$115))*Leverancer!BX$143/1000)</f>
        <v/>
      </c>
      <c r="AX132" s="90"/>
      <c r="AY132" s="90"/>
      <c r="AZ132" s="87"/>
    </row>
    <row r="133" spans="14:52" ht="12.75" customHeight="1" x14ac:dyDescent="0.2">
      <c r="N133" s="85"/>
      <c r="O133" s="90"/>
      <c r="P133" s="90"/>
      <c r="Q133" s="116" t="str">
        <f>INDEX(Leverancer!$AO$1:$AO$1061,ROW()-ROW($Q$130) + ROW(Leverancer!$AO$116))&amp;": "&amp;INDEX(Leverancer!$AP$1:$AP$1061,ROW()-ROW($Q$130) + ROW(Leverancer!$AO$116))</f>
        <v xml:space="preserve">D4: </v>
      </c>
      <c r="R133" s="118"/>
      <c r="S133" s="142">
        <f t="shared" ca="1" si="16"/>
        <v>0</v>
      </c>
      <c r="T133" s="114">
        <f ca="1">IF(T$37="","",INDEX(Leverancer!AU$1:AU$1061,ROW()-ROW($Q$129) + ROW(Leverancer!$AO$115))*Leverancer!AU$143/1000)</f>
        <v>0</v>
      </c>
      <c r="U133" s="114">
        <f ca="1">IF(U$37="","",INDEX(Leverancer!AV$1:AV$1061,ROW()-ROW($Q$129) + ROW(Leverancer!$AO$115))*Leverancer!AV$143/1000)</f>
        <v>0</v>
      </c>
      <c r="V133" s="114">
        <f ca="1">IF(V$37="","",INDEX(Leverancer!AW$1:AW$1061,ROW()-ROW($Q$129) + ROW(Leverancer!$AO$115))*Leverancer!AW$143/1000)</f>
        <v>0</v>
      </c>
      <c r="W133" s="114">
        <f ca="1">IF(W$37="","",INDEX(Leverancer!AX$1:AX$1061,ROW()-ROW($Q$129) + ROW(Leverancer!$AO$115))*Leverancer!AX$143/1000)</f>
        <v>0</v>
      </c>
      <c r="X133" s="114" t="str">
        <f ca="1">IF(X$37="","",INDEX(Leverancer!AY$1:AY$1061,ROW()-ROW($Q$129) + ROW(Leverancer!$AO$115))*Leverancer!AY$143/1000)</f>
        <v/>
      </c>
      <c r="Y133" s="114" t="str">
        <f ca="1">IF(Y$37="","",INDEX(Leverancer!AZ$1:AZ$1061,ROW()-ROW($Q$129) + ROW(Leverancer!$AO$115))*Leverancer!AZ$143/1000)</f>
        <v/>
      </c>
      <c r="Z133" s="114" t="str">
        <f ca="1">IF(Z$37="","",INDEX(Leverancer!BA$1:BA$1061,ROW()-ROW($Q$129) + ROW(Leverancer!$AO$115))*Leverancer!BA$143/1000)</f>
        <v/>
      </c>
      <c r="AA133" s="114" t="str">
        <f ca="1">IF(AA$37="","",INDEX(Leverancer!BB$1:BB$1061,ROW()-ROW($Q$129) + ROW(Leverancer!$AO$115))*Leverancer!BB$143/1000)</f>
        <v/>
      </c>
      <c r="AB133" s="114" t="str">
        <f ca="1">IF(AB$37="","",INDEX(Leverancer!BC$1:BC$1061,ROW()-ROW($Q$129) + ROW(Leverancer!$AO$115))*Leverancer!BC$143/1000)</f>
        <v/>
      </c>
      <c r="AC133" s="114" t="str">
        <f ca="1">IF(AC$37="","",INDEX(Leverancer!BD$1:BD$1061,ROW()-ROW($Q$129) + ROW(Leverancer!$AO$115))*Leverancer!BD$143/1000)</f>
        <v/>
      </c>
      <c r="AD133" s="114" t="str">
        <f ca="1">IF(AD$37="","",INDEX(Leverancer!BE$1:BE$1061,ROW()-ROW($Q$129) + ROW(Leverancer!$AO$115))*Leverancer!BE$143/1000)</f>
        <v/>
      </c>
      <c r="AE133" s="114" t="str">
        <f ca="1">IF(AE$37="","",INDEX(Leverancer!BF$1:BF$1061,ROW()-ROW($Q$129) + ROW(Leverancer!$AO$115))*Leverancer!BF$143/1000)</f>
        <v/>
      </c>
      <c r="AF133" s="114" t="str">
        <f ca="1">IF(AF$37="","",INDEX(Leverancer!BG$1:BG$1061,ROW()-ROW($Q$129) + ROW(Leverancer!$AO$115))*Leverancer!BG$143/1000)</f>
        <v/>
      </c>
      <c r="AG133" s="114" t="str">
        <f ca="1">IF(AG$37="","",INDEX(Leverancer!BH$1:BH$1061,ROW()-ROW($Q$129) + ROW(Leverancer!$AO$115))*Leverancer!BH$143/1000)</f>
        <v/>
      </c>
      <c r="AH133" s="114" t="str">
        <f ca="1">IF(AH$37="","",INDEX(Leverancer!BI$1:BI$1061,ROW()-ROW($Q$129) + ROW(Leverancer!$AO$115))*Leverancer!BI$143/1000)</f>
        <v/>
      </c>
      <c r="AI133" s="114" t="str">
        <f ca="1">IF(AI$37="","",INDEX(Leverancer!BJ$1:BJ$1061,ROW()-ROW($Q$129) + ROW(Leverancer!$AO$115))*Leverancer!BJ$143/1000)</f>
        <v/>
      </c>
      <c r="AJ133" s="114" t="str">
        <f ca="1">IF(AJ$37="","",INDEX(Leverancer!BK$1:BK$1061,ROW()-ROW($Q$129) + ROW(Leverancer!$AO$115))*Leverancer!BK$143/1000)</f>
        <v/>
      </c>
      <c r="AK133" s="114" t="str">
        <f ca="1">IF(AK$37="","",INDEX(Leverancer!BL$1:BL$1061,ROW()-ROW($Q$129) + ROW(Leverancer!$AO$115))*Leverancer!BL$143/1000)</f>
        <v/>
      </c>
      <c r="AL133" s="114" t="str">
        <f ca="1">IF(AL$37="","",INDEX(Leverancer!BM$1:BM$1061,ROW()-ROW($Q$129) + ROW(Leverancer!$AO$115))*Leverancer!BM$143/1000)</f>
        <v/>
      </c>
      <c r="AM133" s="114" t="str">
        <f ca="1">IF(AM$37="","",INDEX(Leverancer!BN$1:BN$1061,ROW()-ROW($Q$129) + ROW(Leverancer!$AO$115))*Leverancer!BN$143/1000)</f>
        <v/>
      </c>
      <c r="AN133" s="114" t="str">
        <f ca="1">IF(AN$37="","",INDEX(Leverancer!BO$1:BO$1061,ROW()-ROW($Q$129) + ROW(Leverancer!$AO$115))*Leverancer!BO$143/1000)</f>
        <v/>
      </c>
      <c r="AO133" s="114" t="str">
        <f ca="1">IF(AO$37="","",INDEX(Leverancer!BP$1:BP$1061,ROW()-ROW($Q$129) + ROW(Leverancer!$AO$115))*Leverancer!BP$143/1000)</f>
        <v/>
      </c>
      <c r="AP133" s="114" t="str">
        <f ca="1">IF(AP$37="","",INDEX(Leverancer!BQ$1:BQ$1061,ROW()-ROW($Q$129) + ROW(Leverancer!$AO$115))*Leverancer!BQ$143/1000)</f>
        <v/>
      </c>
      <c r="AQ133" s="114" t="str">
        <f ca="1">IF(AQ$37="","",INDEX(Leverancer!BR$1:BR$1061,ROW()-ROW($Q$129) + ROW(Leverancer!$AO$115))*Leverancer!BR$143/1000)</f>
        <v/>
      </c>
      <c r="AR133" s="114" t="str">
        <f ca="1">IF(AR$37="","",INDEX(Leverancer!BS$1:BS$1061,ROW()-ROW($Q$129) + ROW(Leverancer!$AO$115))*Leverancer!BS$143/1000)</f>
        <v/>
      </c>
      <c r="AS133" s="114" t="str">
        <f ca="1">IF(AS$37="","",INDEX(Leverancer!BT$1:BT$1061,ROW()-ROW($Q$129) + ROW(Leverancer!$AO$115))*Leverancer!BT$143/1000)</f>
        <v/>
      </c>
      <c r="AT133" s="114" t="str">
        <f ca="1">IF(AT$37="","",INDEX(Leverancer!BU$1:BU$1061,ROW()-ROW($Q$129) + ROW(Leverancer!$AO$115))*Leverancer!BU$143/1000)</f>
        <v/>
      </c>
      <c r="AU133" s="114" t="str">
        <f ca="1">IF(AU$37="","",INDEX(Leverancer!BV$1:BV$1061,ROW()-ROW($Q$129) + ROW(Leverancer!$AO$115))*Leverancer!BV$143/1000)</f>
        <v/>
      </c>
      <c r="AV133" s="114" t="str">
        <f ca="1">IF(AV$37="","",INDEX(Leverancer!BW$1:BW$1061,ROW()-ROW($Q$129) + ROW(Leverancer!$AO$115))*Leverancer!BW$143/1000)</f>
        <v/>
      </c>
      <c r="AW133" s="114" t="str">
        <f ca="1">IF(AW$37="","",INDEX(Leverancer!BX$1:BX$1061,ROW()-ROW($Q$129) + ROW(Leverancer!$AO$115))*Leverancer!BX$143/1000)</f>
        <v/>
      </c>
      <c r="AX133" s="90"/>
      <c r="AY133" s="90"/>
      <c r="AZ133" s="87"/>
    </row>
    <row r="134" spans="14:52" ht="12.75" customHeight="1" x14ac:dyDescent="0.2">
      <c r="N134" s="85"/>
      <c r="O134" s="90"/>
      <c r="P134" s="90"/>
      <c r="Q134" s="116" t="str">
        <f>INDEX(Leverancer!$AO$1:$AO$1061,ROW()-ROW($Q$130) + ROW(Leverancer!$AO$116))&amp;": "&amp;INDEX(Leverancer!$AP$1:$AP$1061,ROW()-ROW($Q$130) + ROW(Leverancer!$AO$116))</f>
        <v xml:space="preserve">D5: </v>
      </c>
      <c r="R134" s="118"/>
      <c r="S134" s="142">
        <f t="shared" ca="1" si="16"/>
        <v>0</v>
      </c>
      <c r="T134" s="114">
        <f ca="1">IF(T$37="","",INDEX(Leverancer!AU$1:AU$1061,ROW()-ROW($Q$129) + ROW(Leverancer!$AO$115))*Leverancer!AU$143/1000)</f>
        <v>0</v>
      </c>
      <c r="U134" s="114">
        <f ca="1">IF(U$37="","",INDEX(Leverancer!AV$1:AV$1061,ROW()-ROW($Q$129) + ROW(Leverancer!$AO$115))*Leverancer!AV$143/1000)</f>
        <v>0</v>
      </c>
      <c r="V134" s="114">
        <f ca="1">IF(V$37="","",INDEX(Leverancer!AW$1:AW$1061,ROW()-ROW($Q$129) + ROW(Leverancer!$AO$115))*Leverancer!AW$143/1000)</f>
        <v>0</v>
      </c>
      <c r="W134" s="114">
        <f ca="1">IF(W$37="","",INDEX(Leverancer!AX$1:AX$1061,ROW()-ROW($Q$129) + ROW(Leverancer!$AO$115))*Leverancer!AX$143/1000)</f>
        <v>0</v>
      </c>
      <c r="X134" s="114" t="str">
        <f ca="1">IF(X$37="","",INDEX(Leverancer!AY$1:AY$1061,ROW()-ROW($Q$129) + ROW(Leverancer!$AO$115))*Leverancer!AY$143/1000)</f>
        <v/>
      </c>
      <c r="Y134" s="114" t="str">
        <f ca="1">IF(Y$37="","",INDEX(Leverancer!AZ$1:AZ$1061,ROW()-ROW($Q$129) + ROW(Leverancer!$AO$115))*Leverancer!AZ$143/1000)</f>
        <v/>
      </c>
      <c r="Z134" s="114" t="str">
        <f ca="1">IF(Z$37="","",INDEX(Leverancer!BA$1:BA$1061,ROW()-ROW($Q$129) + ROW(Leverancer!$AO$115))*Leverancer!BA$143/1000)</f>
        <v/>
      </c>
      <c r="AA134" s="114" t="str">
        <f ca="1">IF(AA$37="","",INDEX(Leverancer!BB$1:BB$1061,ROW()-ROW($Q$129) + ROW(Leverancer!$AO$115))*Leverancer!BB$143/1000)</f>
        <v/>
      </c>
      <c r="AB134" s="114" t="str">
        <f ca="1">IF(AB$37="","",INDEX(Leverancer!BC$1:BC$1061,ROW()-ROW($Q$129) + ROW(Leverancer!$AO$115))*Leverancer!BC$143/1000)</f>
        <v/>
      </c>
      <c r="AC134" s="114" t="str">
        <f ca="1">IF(AC$37="","",INDEX(Leverancer!BD$1:BD$1061,ROW()-ROW($Q$129) + ROW(Leverancer!$AO$115))*Leverancer!BD$143/1000)</f>
        <v/>
      </c>
      <c r="AD134" s="114" t="str">
        <f ca="1">IF(AD$37="","",INDEX(Leverancer!BE$1:BE$1061,ROW()-ROW($Q$129) + ROW(Leverancer!$AO$115))*Leverancer!BE$143/1000)</f>
        <v/>
      </c>
      <c r="AE134" s="114" t="str">
        <f ca="1">IF(AE$37="","",INDEX(Leverancer!BF$1:BF$1061,ROW()-ROW($Q$129) + ROW(Leverancer!$AO$115))*Leverancer!BF$143/1000)</f>
        <v/>
      </c>
      <c r="AF134" s="114" t="str">
        <f ca="1">IF(AF$37="","",INDEX(Leverancer!BG$1:BG$1061,ROW()-ROW($Q$129) + ROW(Leverancer!$AO$115))*Leverancer!BG$143/1000)</f>
        <v/>
      </c>
      <c r="AG134" s="114" t="str">
        <f ca="1">IF(AG$37="","",INDEX(Leverancer!BH$1:BH$1061,ROW()-ROW($Q$129) + ROW(Leverancer!$AO$115))*Leverancer!BH$143/1000)</f>
        <v/>
      </c>
      <c r="AH134" s="114" t="str">
        <f ca="1">IF(AH$37="","",INDEX(Leverancer!BI$1:BI$1061,ROW()-ROW($Q$129) + ROW(Leverancer!$AO$115))*Leverancer!BI$143/1000)</f>
        <v/>
      </c>
      <c r="AI134" s="114" t="str">
        <f ca="1">IF(AI$37="","",INDEX(Leverancer!BJ$1:BJ$1061,ROW()-ROW($Q$129) + ROW(Leverancer!$AO$115))*Leverancer!BJ$143/1000)</f>
        <v/>
      </c>
      <c r="AJ134" s="114" t="str">
        <f ca="1">IF(AJ$37="","",INDEX(Leverancer!BK$1:BK$1061,ROW()-ROW($Q$129) + ROW(Leverancer!$AO$115))*Leverancer!BK$143/1000)</f>
        <v/>
      </c>
      <c r="AK134" s="114" t="str">
        <f ca="1">IF(AK$37="","",INDEX(Leverancer!BL$1:BL$1061,ROW()-ROW($Q$129) + ROW(Leverancer!$AO$115))*Leverancer!BL$143/1000)</f>
        <v/>
      </c>
      <c r="AL134" s="114" t="str">
        <f ca="1">IF(AL$37="","",INDEX(Leverancer!BM$1:BM$1061,ROW()-ROW($Q$129) + ROW(Leverancer!$AO$115))*Leverancer!BM$143/1000)</f>
        <v/>
      </c>
      <c r="AM134" s="114" t="str">
        <f ca="1">IF(AM$37="","",INDEX(Leverancer!BN$1:BN$1061,ROW()-ROW($Q$129) + ROW(Leverancer!$AO$115))*Leverancer!BN$143/1000)</f>
        <v/>
      </c>
      <c r="AN134" s="114" t="str">
        <f ca="1">IF(AN$37="","",INDEX(Leverancer!BO$1:BO$1061,ROW()-ROW($Q$129) + ROW(Leverancer!$AO$115))*Leverancer!BO$143/1000)</f>
        <v/>
      </c>
      <c r="AO134" s="114" t="str">
        <f ca="1">IF(AO$37="","",INDEX(Leverancer!BP$1:BP$1061,ROW()-ROW($Q$129) + ROW(Leverancer!$AO$115))*Leverancer!BP$143/1000)</f>
        <v/>
      </c>
      <c r="AP134" s="114" t="str">
        <f ca="1">IF(AP$37="","",INDEX(Leverancer!BQ$1:BQ$1061,ROW()-ROW($Q$129) + ROW(Leverancer!$AO$115))*Leverancer!BQ$143/1000)</f>
        <v/>
      </c>
      <c r="AQ134" s="114" t="str">
        <f ca="1">IF(AQ$37="","",INDEX(Leverancer!BR$1:BR$1061,ROW()-ROW($Q$129) + ROW(Leverancer!$AO$115))*Leverancer!BR$143/1000)</f>
        <v/>
      </c>
      <c r="AR134" s="114" t="str">
        <f ca="1">IF(AR$37="","",INDEX(Leverancer!BS$1:BS$1061,ROW()-ROW($Q$129) + ROW(Leverancer!$AO$115))*Leverancer!BS$143/1000)</f>
        <v/>
      </c>
      <c r="AS134" s="114" t="str">
        <f ca="1">IF(AS$37="","",INDEX(Leverancer!BT$1:BT$1061,ROW()-ROW($Q$129) + ROW(Leverancer!$AO$115))*Leverancer!BT$143/1000)</f>
        <v/>
      </c>
      <c r="AT134" s="114" t="str">
        <f ca="1">IF(AT$37="","",INDEX(Leverancer!BU$1:BU$1061,ROW()-ROW($Q$129) + ROW(Leverancer!$AO$115))*Leverancer!BU$143/1000)</f>
        <v/>
      </c>
      <c r="AU134" s="114" t="str">
        <f ca="1">IF(AU$37="","",INDEX(Leverancer!BV$1:BV$1061,ROW()-ROW($Q$129) + ROW(Leverancer!$AO$115))*Leverancer!BV$143/1000)</f>
        <v/>
      </c>
      <c r="AV134" s="114" t="str">
        <f ca="1">IF(AV$37="","",INDEX(Leverancer!BW$1:BW$1061,ROW()-ROW($Q$129) + ROW(Leverancer!$AO$115))*Leverancer!BW$143/1000)</f>
        <v/>
      </c>
      <c r="AW134" s="114" t="str">
        <f ca="1">IF(AW$37="","",INDEX(Leverancer!BX$1:BX$1061,ROW()-ROW($Q$129) + ROW(Leverancer!$AO$115))*Leverancer!BX$143/1000)</f>
        <v/>
      </c>
      <c r="AX134" s="90"/>
      <c r="AY134" s="90"/>
      <c r="AZ134" s="87"/>
    </row>
    <row r="135" spans="14:52" ht="12.75" hidden="1" customHeight="1" outlineLevel="1" x14ac:dyDescent="0.2">
      <c r="N135" s="85"/>
      <c r="O135" s="90"/>
      <c r="P135" s="90"/>
      <c r="Q135" s="116" t="str">
        <f>INDEX(Leverancer!$AO$1:$AO$1061,ROW()-ROW($Q$130) + ROW(Leverancer!$AO$116))&amp;": "&amp;INDEX(Leverancer!$AP$1:$AP$1061,ROW()-ROW($Q$130) + ROW(Leverancer!$AO$116))</f>
        <v xml:space="preserve">D6: </v>
      </c>
      <c r="R135" s="118"/>
      <c r="S135" s="142">
        <f t="shared" ca="1" si="16"/>
        <v>0</v>
      </c>
      <c r="T135" s="114">
        <f ca="1">IF(T$37="","",INDEX(Leverancer!AU$1:AU$1061,ROW()-ROW($Q$129) + ROW(Leverancer!$AO$115))*Leverancer!AU$143/1000)</f>
        <v>0</v>
      </c>
      <c r="U135" s="114">
        <f ca="1">IF(U$37="","",INDEX(Leverancer!AV$1:AV$1061,ROW()-ROW($Q$129) + ROW(Leverancer!$AO$115))*Leverancer!AV$143/1000)</f>
        <v>0</v>
      </c>
      <c r="V135" s="114">
        <f ca="1">IF(V$37="","",INDEX(Leverancer!AW$1:AW$1061,ROW()-ROW($Q$129) + ROW(Leverancer!$AO$115))*Leverancer!AW$143/1000)</f>
        <v>0</v>
      </c>
      <c r="W135" s="114">
        <f ca="1">IF(W$37="","",INDEX(Leverancer!AX$1:AX$1061,ROW()-ROW($Q$129) + ROW(Leverancer!$AO$115))*Leverancer!AX$143/1000)</f>
        <v>0</v>
      </c>
      <c r="X135" s="114" t="str">
        <f ca="1">IF(X$37="","",INDEX(Leverancer!AY$1:AY$1061,ROW()-ROW($Q$129) + ROW(Leverancer!$AO$115))*Leverancer!AY$143/1000)</f>
        <v/>
      </c>
      <c r="Y135" s="114" t="str">
        <f ca="1">IF(Y$37="","",INDEX(Leverancer!AZ$1:AZ$1061,ROW()-ROW($Q$129) + ROW(Leverancer!$AO$115))*Leverancer!AZ$143/1000)</f>
        <v/>
      </c>
      <c r="Z135" s="114" t="str">
        <f ca="1">IF(Z$37="","",INDEX(Leverancer!BA$1:BA$1061,ROW()-ROW($Q$129) + ROW(Leverancer!$AO$115))*Leverancer!BA$143/1000)</f>
        <v/>
      </c>
      <c r="AA135" s="114" t="str">
        <f ca="1">IF(AA$37="","",INDEX(Leverancer!BB$1:BB$1061,ROW()-ROW($Q$129) + ROW(Leverancer!$AO$115))*Leverancer!BB$143/1000)</f>
        <v/>
      </c>
      <c r="AB135" s="114" t="str">
        <f ca="1">IF(AB$37="","",INDEX(Leverancer!BC$1:BC$1061,ROW()-ROW($Q$129) + ROW(Leverancer!$AO$115))*Leverancer!BC$143/1000)</f>
        <v/>
      </c>
      <c r="AC135" s="114" t="str">
        <f ca="1">IF(AC$37="","",INDEX(Leverancer!BD$1:BD$1061,ROW()-ROW($Q$129) + ROW(Leverancer!$AO$115))*Leverancer!BD$143/1000)</f>
        <v/>
      </c>
      <c r="AD135" s="114" t="str">
        <f ca="1">IF(AD$37="","",INDEX(Leverancer!BE$1:BE$1061,ROW()-ROW($Q$129) + ROW(Leverancer!$AO$115))*Leverancer!BE$143/1000)</f>
        <v/>
      </c>
      <c r="AE135" s="114" t="str">
        <f ca="1">IF(AE$37="","",INDEX(Leverancer!BF$1:BF$1061,ROW()-ROW($Q$129) + ROW(Leverancer!$AO$115))*Leverancer!BF$143/1000)</f>
        <v/>
      </c>
      <c r="AF135" s="114" t="str">
        <f ca="1">IF(AF$37="","",INDEX(Leverancer!BG$1:BG$1061,ROW()-ROW($Q$129) + ROW(Leverancer!$AO$115))*Leverancer!BG$143/1000)</f>
        <v/>
      </c>
      <c r="AG135" s="114" t="str">
        <f ca="1">IF(AG$37="","",INDEX(Leverancer!BH$1:BH$1061,ROW()-ROW($Q$129) + ROW(Leverancer!$AO$115))*Leverancer!BH$143/1000)</f>
        <v/>
      </c>
      <c r="AH135" s="114" t="str">
        <f ca="1">IF(AH$37="","",INDEX(Leverancer!BI$1:BI$1061,ROW()-ROW($Q$129) + ROW(Leverancer!$AO$115))*Leverancer!BI$143/1000)</f>
        <v/>
      </c>
      <c r="AI135" s="114" t="str">
        <f ca="1">IF(AI$37="","",INDEX(Leverancer!BJ$1:BJ$1061,ROW()-ROW($Q$129) + ROW(Leverancer!$AO$115))*Leverancer!BJ$143/1000)</f>
        <v/>
      </c>
      <c r="AJ135" s="114" t="str">
        <f ca="1">IF(AJ$37="","",INDEX(Leverancer!BK$1:BK$1061,ROW()-ROW($Q$129) + ROW(Leverancer!$AO$115))*Leverancer!BK$143/1000)</f>
        <v/>
      </c>
      <c r="AK135" s="114" t="str">
        <f ca="1">IF(AK$37="","",INDEX(Leverancer!BL$1:BL$1061,ROW()-ROW($Q$129) + ROW(Leverancer!$AO$115))*Leverancer!BL$143/1000)</f>
        <v/>
      </c>
      <c r="AL135" s="114" t="str">
        <f ca="1">IF(AL$37="","",INDEX(Leverancer!BM$1:BM$1061,ROW()-ROW($Q$129) + ROW(Leverancer!$AO$115))*Leverancer!BM$143/1000)</f>
        <v/>
      </c>
      <c r="AM135" s="114" t="str">
        <f ca="1">IF(AM$37="","",INDEX(Leverancer!BN$1:BN$1061,ROW()-ROW($Q$129) + ROW(Leverancer!$AO$115))*Leverancer!BN$143/1000)</f>
        <v/>
      </c>
      <c r="AN135" s="114" t="str">
        <f ca="1">IF(AN$37="","",INDEX(Leverancer!BO$1:BO$1061,ROW()-ROW($Q$129) + ROW(Leverancer!$AO$115))*Leverancer!BO$143/1000)</f>
        <v/>
      </c>
      <c r="AO135" s="114" t="str">
        <f ca="1">IF(AO$37="","",INDEX(Leverancer!BP$1:BP$1061,ROW()-ROW($Q$129) + ROW(Leverancer!$AO$115))*Leverancer!BP$143/1000)</f>
        <v/>
      </c>
      <c r="AP135" s="114" t="str">
        <f ca="1">IF(AP$37="","",INDEX(Leverancer!BQ$1:BQ$1061,ROW()-ROW($Q$129) + ROW(Leverancer!$AO$115))*Leverancer!BQ$143/1000)</f>
        <v/>
      </c>
      <c r="AQ135" s="114" t="str">
        <f ca="1">IF(AQ$37="","",INDEX(Leverancer!BR$1:BR$1061,ROW()-ROW($Q$129) + ROW(Leverancer!$AO$115))*Leverancer!BR$143/1000)</f>
        <v/>
      </c>
      <c r="AR135" s="114" t="str">
        <f ca="1">IF(AR$37="","",INDEX(Leverancer!BS$1:BS$1061,ROW()-ROW($Q$129) + ROW(Leverancer!$AO$115))*Leverancer!BS$143/1000)</f>
        <v/>
      </c>
      <c r="AS135" s="114" t="str">
        <f ca="1">IF(AS$37="","",INDEX(Leverancer!BT$1:BT$1061,ROW()-ROW($Q$129) + ROW(Leverancer!$AO$115))*Leverancer!BT$143/1000)</f>
        <v/>
      </c>
      <c r="AT135" s="114" t="str">
        <f ca="1">IF(AT$37="","",INDEX(Leverancer!BU$1:BU$1061,ROW()-ROW($Q$129) + ROW(Leverancer!$AO$115))*Leverancer!BU$143/1000)</f>
        <v/>
      </c>
      <c r="AU135" s="114" t="str">
        <f ca="1">IF(AU$37="","",INDEX(Leverancer!BV$1:BV$1061,ROW()-ROW($Q$129) + ROW(Leverancer!$AO$115))*Leverancer!BV$143/1000)</f>
        <v/>
      </c>
      <c r="AV135" s="114" t="str">
        <f ca="1">IF(AV$37="","",INDEX(Leverancer!BW$1:BW$1061,ROW()-ROW($Q$129) + ROW(Leverancer!$AO$115))*Leverancer!BW$143/1000)</f>
        <v/>
      </c>
      <c r="AW135" s="114" t="str">
        <f ca="1">IF(AW$37="","",INDEX(Leverancer!BX$1:BX$1061,ROW()-ROW($Q$129) + ROW(Leverancer!$AO$115))*Leverancer!BX$143/1000)</f>
        <v/>
      </c>
      <c r="AX135" s="90"/>
      <c r="AY135" s="90"/>
      <c r="AZ135" s="87"/>
    </row>
    <row r="136" spans="14:52" ht="12.75" hidden="1" customHeight="1" outlineLevel="1" x14ac:dyDescent="0.2">
      <c r="N136" s="85"/>
      <c r="O136" s="90"/>
      <c r="P136" s="90"/>
      <c r="Q136" s="116" t="str">
        <f>INDEX(Leverancer!$AO$1:$AO$1061,ROW()-ROW($Q$130) + ROW(Leverancer!$AO$116))&amp;": "&amp;INDEX(Leverancer!$AP$1:$AP$1061,ROW()-ROW($Q$130) + ROW(Leverancer!$AO$116))</f>
        <v xml:space="preserve">D7: </v>
      </c>
      <c r="R136" s="118"/>
      <c r="S136" s="142">
        <f t="shared" ca="1" si="16"/>
        <v>0</v>
      </c>
      <c r="T136" s="114">
        <f ca="1">IF(T$37="","",INDEX(Leverancer!AU$1:AU$1061,ROW()-ROW($Q$129) + ROW(Leverancer!$AO$115))*Leverancer!AU$143/1000)</f>
        <v>0</v>
      </c>
      <c r="U136" s="114">
        <f ca="1">IF(U$37="","",INDEX(Leverancer!AV$1:AV$1061,ROW()-ROW($Q$129) + ROW(Leverancer!$AO$115))*Leverancer!AV$143/1000)</f>
        <v>0</v>
      </c>
      <c r="V136" s="114">
        <f ca="1">IF(V$37="","",INDEX(Leverancer!AW$1:AW$1061,ROW()-ROW($Q$129) + ROW(Leverancer!$AO$115))*Leverancer!AW$143/1000)</f>
        <v>0</v>
      </c>
      <c r="W136" s="114">
        <f ca="1">IF(W$37="","",INDEX(Leverancer!AX$1:AX$1061,ROW()-ROW($Q$129) + ROW(Leverancer!$AO$115))*Leverancer!AX$143/1000)</f>
        <v>0</v>
      </c>
      <c r="X136" s="114" t="str">
        <f ca="1">IF(X$37="","",INDEX(Leverancer!AY$1:AY$1061,ROW()-ROW($Q$129) + ROW(Leverancer!$AO$115))*Leverancer!AY$143/1000)</f>
        <v/>
      </c>
      <c r="Y136" s="114" t="str">
        <f ca="1">IF(Y$37="","",INDEX(Leverancer!AZ$1:AZ$1061,ROW()-ROW($Q$129) + ROW(Leverancer!$AO$115))*Leverancer!AZ$143/1000)</f>
        <v/>
      </c>
      <c r="Z136" s="114" t="str">
        <f ca="1">IF(Z$37="","",INDEX(Leverancer!BA$1:BA$1061,ROW()-ROW($Q$129) + ROW(Leverancer!$AO$115))*Leverancer!BA$143/1000)</f>
        <v/>
      </c>
      <c r="AA136" s="114" t="str">
        <f ca="1">IF(AA$37="","",INDEX(Leverancer!BB$1:BB$1061,ROW()-ROW($Q$129) + ROW(Leverancer!$AO$115))*Leverancer!BB$143/1000)</f>
        <v/>
      </c>
      <c r="AB136" s="114" t="str">
        <f ca="1">IF(AB$37="","",INDEX(Leverancer!BC$1:BC$1061,ROW()-ROW($Q$129) + ROW(Leverancer!$AO$115))*Leverancer!BC$143/1000)</f>
        <v/>
      </c>
      <c r="AC136" s="114" t="str">
        <f ca="1">IF(AC$37="","",INDEX(Leverancer!BD$1:BD$1061,ROW()-ROW($Q$129) + ROW(Leverancer!$AO$115))*Leverancer!BD$143/1000)</f>
        <v/>
      </c>
      <c r="AD136" s="114" t="str">
        <f ca="1">IF(AD$37="","",INDEX(Leverancer!BE$1:BE$1061,ROW()-ROW($Q$129) + ROW(Leverancer!$AO$115))*Leverancer!BE$143/1000)</f>
        <v/>
      </c>
      <c r="AE136" s="114" t="str">
        <f ca="1">IF(AE$37="","",INDEX(Leverancer!BF$1:BF$1061,ROW()-ROW($Q$129) + ROW(Leverancer!$AO$115))*Leverancer!BF$143/1000)</f>
        <v/>
      </c>
      <c r="AF136" s="114" t="str">
        <f ca="1">IF(AF$37="","",INDEX(Leverancer!BG$1:BG$1061,ROW()-ROW($Q$129) + ROW(Leverancer!$AO$115))*Leverancer!BG$143/1000)</f>
        <v/>
      </c>
      <c r="AG136" s="114" t="str">
        <f ca="1">IF(AG$37="","",INDEX(Leverancer!BH$1:BH$1061,ROW()-ROW($Q$129) + ROW(Leverancer!$AO$115))*Leverancer!BH$143/1000)</f>
        <v/>
      </c>
      <c r="AH136" s="114" t="str">
        <f ca="1">IF(AH$37="","",INDEX(Leverancer!BI$1:BI$1061,ROW()-ROW($Q$129) + ROW(Leverancer!$AO$115))*Leverancer!BI$143/1000)</f>
        <v/>
      </c>
      <c r="AI136" s="114" t="str">
        <f ca="1">IF(AI$37="","",INDEX(Leverancer!BJ$1:BJ$1061,ROW()-ROW($Q$129) + ROW(Leverancer!$AO$115))*Leverancer!BJ$143/1000)</f>
        <v/>
      </c>
      <c r="AJ136" s="114" t="str">
        <f ca="1">IF(AJ$37="","",INDEX(Leverancer!BK$1:BK$1061,ROW()-ROW($Q$129) + ROW(Leverancer!$AO$115))*Leverancer!BK$143/1000)</f>
        <v/>
      </c>
      <c r="AK136" s="114" t="str">
        <f ca="1">IF(AK$37="","",INDEX(Leverancer!BL$1:BL$1061,ROW()-ROW($Q$129) + ROW(Leverancer!$AO$115))*Leverancer!BL$143/1000)</f>
        <v/>
      </c>
      <c r="AL136" s="114" t="str">
        <f ca="1">IF(AL$37="","",INDEX(Leverancer!BM$1:BM$1061,ROW()-ROW($Q$129) + ROW(Leverancer!$AO$115))*Leverancer!BM$143/1000)</f>
        <v/>
      </c>
      <c r="AM136" s="114" t="str">
        <f ca="1">IF(AM$37="","",INDEX(Leverancer!BN$1:BN$1061,ROW()-ROW($Q$129) + ROW(Leverancer!$AO$115))*Leverancer!BN$143/1000)</f>
        <v/>
      </c>
      <c r="AN136" s="114" t="str">
        <f ca="1">IF(AN$37="","",INDEX(Leverancer!BO$1:BO$1061,ROW()-ROW($Q$129) + ROW(Leverancer!$AO$115))*Leverancer!BO$143/1000)</f>
        <v/>
      </c>
      <c r="AO136" s="114" t="str">
        <f ca="1">IF(AO$37="","",INDEX(Leverancer!BP$1:BP$1061,ROW()-ROW($Q$129) + ROW(Leverancer!$AO$115))*Leverancer!BP$143/1000)</f>
        <v/>
      </c>
      <c r="AP136" s="114" t="str">
        <f ca="1">IF(AP$37="","",INDEX(Leverancer!BQ$1:BQ$1061,ROW()-ROW($Q$129) + ROW(Leverancer!$AO$115))*Leverancer!BQ$143/1000)</f>
        <v/>
      </c>
      <c r="AQ136" s="114" t="str">
        <f ca="1">IF(AQ$37="","",INDEX(Leverancer!BR$1:BR$1061,ROW()-ROW($Q$129) + ROW(Leverancer!$AO$115))*Leverancer!BR$143/1000)</f>
        <v/>
      </c>
      <c r="AR136" s="114" t="str">
        <f ca="1">IF(AR$37="","",INDEX(Leverancer!BS$1:BS$1061,ROW()-ROW($Q$129) + ROW(Leverancer!$AO$115))*Leverancer!BS$143/1000)</f>
        <v/>
      </c>
      <c r="AS136" s="114" t="str">
        <f ca="1">IF(AS$37="","",INDEX(Leverancer!BT$1:BT$1061,ROW()-ROW($Q$129) + ROW(Leverancer!$AO$115))*Leverancer!BT$143/1000)</f>
        <v/>
      </c>
      <c r="AT136" s="114" t="str">
        <f ca="1">IF(AT$37="","",INDEX(Leverancer!BU$1:BU$1061,ROW()-ROW($Q$129) + ROW(Leverancer!$AO$115))*Leverancer!BU$143/1000)</f>
        <v/>
      </c>
      <c r="AU136" s="114" t="str">
        <f ca="1">IF(AU$37="","",INDEX(Leverancer!BV$1:BV$1061,ROW()-ROW($Q$129) + ROW(Leverancer!$AO$115))*Leverancer!BV$143/1000)</f>
        <v/>
      </c>
      <c r="AV136" s="114" t="str">
        <f ca="1">IF(AV$37="","",INDEX(Leverancer!BW$1:BW$1061,ROW()-ROW($Q$129) + ROW(Leverancer!$AO$115))*Leverancer!BW$143/1000)</f>
        <v/>
      </c>
      <c r="AW136" s="114" t="str">
        <f ca="1">IF(AW$37="","",INDEX(Leverancer!BX$1:BX$1061,ROW()-ROW($Q$129) + ROW(Leverancer!$AO$115))*Leverancer!BX$143/1000)</f>
        <v/>
      </c>
      <c r="AX136" s="90"/>
      <c r="AY136" s="90"/>
      <c r="AZ136" s="87"/>
    </row>
    <row r="137" spans="14:52" ht="12.75" hidden="1" customHeight="1" outlineLevel="1" x14ac:dyDescent="0.2">
      <c r="N137" s="85"/>
      <c r="O137" s="90"/>
      <c r="P137" s="90"/>
      <c r="Q137" s="116" t="str">
        <f>INDEX(Leverancer!$AO$1:$AO$1061,ROW()-ROW($Q$130) + ROW(Leverancer!$AO$116))&amp;": "&amp;INDEX(Leverancer!$AP$1:$AP$1061,ROW()-ROW($Q$130) + ROW(Leverancer!$AO$116))</f>
        <v xml:space="preserve">D8: </v>
      </c>
      <c r="R137" s="118"/>
      <c r="S137" s="142">
        <f t="shared" ca="1" si="16"/>
        <v>0</v>
      </c>
      <c r="T137" s="114">
        <f ca="1">IF(T$37="","",INDEX(Leverancer!AU$1:AU$1061,ROW()-ROW($Q$129) + ROW(Leverancer!$AO$115))*Leverancer!AU$143/1000)</f>
        <v>0</v>
      </c>
      <c r="U137" s="114">
        <f ca="1">IF(U$37="","",INDEX(Leverancer!AV$1:AV$1061,ROW()-ROW($Q$129) + ROW(Leverancer!$AO$115))*Leverancer!AV$143/1000)</f>
        <v>0</v>
      </c>
      <c r="V137" s="114">
        <f ca="1">IF(V$37="","",INDEX(Leverancer!AW$1:AW$1061,ROW()-ROW($Q$129) + ROW(Leverancer!$AO$115))*Leverancer!AW$143/1000)</f>
        <v>0</v>
      </c>
      <c r="W137" s="114">
        <f ca="1">IF(W$37="","",INDEX(Leverancer!AX$1:AX$1061,ROW()-ROW($Q$129) + ROW(Leverancer!$AO$115))*Leverancer!AX$143/1000)</f>
        <v>0</v>
      </c>
      <c r="X137" s="114" t="str">
        <f ca="1">IF(X$37="","",INDEX(Leverancer!AY$1:AY$1061,ROW()-ROW($Q$129) + ROW(Leverancer!$AO$115))*Leverancer!AY$143/1000)</f>
        <v/>
      </c>
      <c r="Y137" s="114" t="str">
        <f ca="1">IF(Y$37="","",INDEX(Leverancer!AZ$1:AZ$1061,ROW()-ROW($Q$129) + ROW(Leverancer!$AO$115))*Leverancer!AZ$143/1000)</f>
        <v/>
      </c>
      <c r="Z137" s="114" t="str">
        <f ca="1">IF(Z$37="","",INDEX(Leverancer!BA$1:BA$1061,ROW()-ROW($Q$129) + ROW(Leverancer!$AO$115))*Leverancer!BA$143/1000)</f>
        <v/>
      </c>
      <c r="AA137" s="114" t="str">
        <f ca="1">IF(AA$37="","",INDEX(Leverancer!BB$1:BB$1061,ROW()-ROW($Q$129) + ROW(Leverancer!$AO$115))*Leverancer!BB$143/1000)</f>
        <v/>
      </c>
      <c r="AB137" s="114" t="str">
        <f ca="1">IF(AB$37="","",INDEX(Leverancer!BC$1:BC$1061,ROW()-ROW($Q$129) + ROW(Leverancer!$AO$115))*Leverancer!BC$143/1000)</f>
        <v/>
      </c>
      <c r="AC137" s="114" t="str">
        <f ca="1">IF(AC$37="","",INDEX(Leverancer!BD$1:BD$1061,ROW()-ROW($Q$129) + ROW(Leverancer!$AO$115))*Leverancer!BD$143/1000)</f>
        <v/>
      </c>
      <c r="AD137" s="114" t="str">
        <f ca="1">IF(AD$37="","",INDEX(Leverancer!BE$1:BE$1061,ROW()-ROW($Q$129) + ROW(Leverancer!$AO$115))*Leverancer!BE$143/1000)</f>
        <v/>
      </c>
      <c r="AE137" s="114" t="str">
        <f ca="1">IF(AE$37="","",INDEX(Leverancer!BF$1:BF$1061,ROW()-ROW($Q$129) + ROW(Leverancer!$AO$115))*Leverancer!BF$143/1000)</f>
        <v/>
      </c>
      <c r="AF137" s="114" t="str">
        <f ca="1">IF(AF$37="","",INDEX(Leverancer!BG$1:BG$1061,ROW()-ROW($Q$129) + ROW(Leverancer!$AO$115))*Leverancer!BG$143/1000)</f>
        <v/>
      </c>
      <c r="AG137" s="114" t="str">
        <f ca="1">IF(AG$37="","",INDEX(Leverancer!BH$1:BH$1061,ROW()-ROW($Q$129) + ROW(Leverancer!$AO$115))*Leverancer!BH$143/1000)</f>
        <v/>
      </c>
      <c r="AH137" s="114" t="str">
        <f ca="1">IF(AH$37="","",INDEX(Leverancer!BI$1:BI$1061,ROW()-ROW($Q$129) + ROW(Leverancer!$AO$115))*Leverancer!BI$143/1000)</f>
        <v/>
      </c>
      <c r="AI137" s="114" t="str">
        <f ca="1">IF(AI$37="","",INDEX(Leverancer!BJ$1:BJ$1061,ROW()-ROW($Q$129) + ROW(Leverancer!$AO$115))*Leverancer!BJ$143/1000)</f>
        <v/>
      </c>
      <c r="AJ137" s="114" t="str">
        <f ca="1">IF(AJ$37="","",INDEX(Leverancer!BK$1:BK$1061,ROW()-ROW($Q$129) + ROW(Leverancer!$AO$115))*Leverancer!BK$143/1000)</f>
        <v/>
      </c>
      <c r="AK137" s="114" t="str">
        <f ca="1">IF(AK$37="","",INDEX(Leverancer!BL$1:BL$1061,ROW()-ROW($Q$129) + ROW(Leverancer!$AO$115))*Leverancer!BL$143/1000)</f>
        <v/>
      </c>
      <c r="AL137" s="114" t="str">
        <f ca="1">IF(AL$37="","",INDEX(Leverancer!BM$1:BM$1061,ROW()-ROW($Q$129) + ROW(Leverancer!$AO$115))*Leverancer!BM$143/1000)</f>
        <v/>
      </c>
      <c r="AM137" s="114" t="str">
        <f ca="1">IF(AM$37="","",INDEX(Leverancer!BN$1:BN$1061,ROW()-ROW($Q$129) + ROW(Leverancer!$AO$115))*Leverancer!BN$143/1000)</f>
        <v/>
      </c>
      <c r="AN137" s="114" t="str">
        <f ca="1">IF(AN$37="","",INDEX(Leverancer!BO$1:BO$1061,ROW()-ROW($Q$129) + ROW(Leverancer!$AO$115))*Leverancer!BO$143/1000)</f>
        <v/>
      </c>
      <c r="AO137" s="114" t="str">
        <f ca="1">IF(AO$37="","",INDEX(Leverancer!BP$1:BP$1061,ROW()-ROW($Q$129) + ROW(Leverancer!$AO$115))*Leverancer!BP$143/1000)</f>
        <v/>
      </c>
      <c r="AP137" s="114" t="str">
        <f ca="1">IF(AP$37="","",INDEX(Leverancer!BQ$1:BQ$1061,ROW()-ROW($Q$129) + ROW(Leverancer!$AO$115))*Leverancer!BQ$143/1000)</f>
        <v/>
      </c>
      <c r="AQ137" s="114" t="str">
        <f ca="1">IF(AQ$37="","",INDEX(Leverancer!BR$1:BR$1061,ROW()-ROW($Q$129) + ROW(Leverancer!$AO$115))*Leverancer!BR$143/1000)</f>
        <v/>
      </c>
      <c r="AR137" s="114" t="str">
        <f ca="1">IF(AR$37="","",INDEX(Leverancer!BS$1:BS$1061,ROW()-ROW($Q$129) + ROW(Leverancer!$AO$115))*Leverancer!BS$143/1000)</f>
        <v/>
      </c>
      <c r="AS137" s="114" t="str">
        <f ca="1">IF(AS$37="","",INDEX(Leverancer!BT$1:BT$1061,ROW()-ROW($Q$129) + ROW(Leverancer!$AO$115))*Leverancer!BT$143/1000)</f>
        <v/>
      </c>
      <c r="AT137" s="114" t="str">
        <f ca="1">IF(AT$37="","",INDEX(Leverancer!BU$1:BU$1061,ROW()-ROW($Q$129) + ROW(Leverancer!$AO$115))*Leverancer!BU$143/1000)</f>
        <v/>
      </c>
      <c r="AU137" s="114" t="str">
        <f ca="1">IF(AU$37="","",INDEX(Leverancer!BV$1:BV$1061,ROW()-ROW($Q$129) + ROW(Leverancer!$AO$115))*Leverancer!BV$143/1000)</f>
        <v/>
      </c>
      <c r="AV137" s="114" t="str">
        <f ca="1">IF(AV$37="","",INDEX(Leverancer!BW$1:BW$1061,ROW()-ROW($Q$129) + ROW(Leverancer!$AO$115))*Leverancer!BW$143/1000)</f>
        <v/>
      </c>
      <c r="AW137" s="114" t="str">
        <f ca="1">IF(AW$37="","",INDEX(Leverancer!BX$1:BX$1061,ROW()-ROW($Q$129) + ROW(Leverancer!$AO$115))*Leverancer!BX$143/1000)</f>
        <v/>
      </c>
      <c r="AX137" s="90"/>
      <c r="AY137" s="90"/>
      <c r="AZ137" s="87"/>
    </row>
    <row r="138" spans="14:52" ht="12.75" hidden="1" customHeight="1" outlineLevel="1" x14ac:dyDescent="0.2">
      <c r="N138" s="85"/>
      <c r="O138" s="90"/>
      <c r="P138" s="90"/>
      <c r="Q138" s="116" t="str">
        <f>INDEX(Leverancer!$AO$1:$AO$1061,ROW()-ROW($Q$130) + ROW(Leverancer!$AO$116))&amp;": "&amp;INDEX(Leverancer!$AP$1:$AP$1061,ROW()-ROW($Q$130) + ROW(Leverancer!$AO$116))</f>
        <v xml:space="preserve">D9: </v>
      </c>
      <c r="R138" s="118"/>
      <c r="S138" s="142">
        <f t="shared" ca="1" si="16"/>
        <v>0</v>
      </c>
      <c r="T138" s="114">
        <f ca="1">IF(T$37="","",INDEX(Leverancer!AU$1:AU$1061,ROW()-ROW($Q$129) + ROW(Leverancer!$AO$115))*Leverancer!AU$143/1000)</f>
        <v>0</v>
      </c>
      <c r="U138" s="114">
        <f ca="1">IF(U$37="","",INDEX(Leverancer!AV$1:AV$1061,ROW()-ROW($Q$129) + ROW(Leverancer!$AO$115))*Leverancer!AV$143/1000)</f>
        <v>0</v>
      </c>
      <c r="V138" s="114">
        <f ca="1">IF(V$37="","",INDEX(Leverancer!AW$1:AW$1061,ROW()-ROW($Q$129) + ROW(Leverancer!$AO$115))*Leverancer!AW$143/1000)</f>
        <v>0</v>
      </c>
      <c r="W138" s="114">
        <f ca="1">IF(W$37="","",INDEX(Leverancer!AX$1:AX$1061,ROW()-ROW($Q$129) + ROW(Leverancer!$AO$115))*Leverancer!AX$143/1000)</f>
        <v>0</v>
      </c>
      <c r="X138" s="114" t="str">
        <f ca="1">IF(X$37="","",INDEX(Leverancer!AY$1:AY$1061,ROW()-ROW($Q$129) + ROW(Leverancer!$AO$115))*Leverancer!AY$143/1000)</f>
        <v/>
      </c>
      <c r="Y138" s="114" t="str">
        <f ca="1">IF(Y$37="","",INDEX(Leverancer!AZ$1:AZ$1061,ROW()-ROW($Q$129) + ROW(Leverancer!$AO$115))*Leverancer!AZ$143/1000)</f>
        <v/>
      </c>
      <c r="Z138" s="114" t="str">
        <f ca="1">IF(Z$37="","",INDEX(Leverancer!BA$1:BA$1061,ROW()-ROW($Q$129) + ROW(Leverancer!$AO$115))*Leverancer!BA$143/1000)</f>
        <v/>
      </c>
      <c r="AA138" s="114" t="str">
        <f ca="1">IF(AA$37="","",INDEX(Leverancer!BB$1:BB$1061,ROW()-ROW($Q$129) + ROW(Leverancer!$AO$115))*Leverancer!BB$143/1000)</f>
        <v/>
      </c>
      <c r="AB138" s="114" t="str">
        <f ca="1">IF(AB$37="","",INDEX(Leverancer!BC$1:BC$1061,ROW()-ROW($Q$129) + ROW(Leverancer!$AO$115))*Leverancer!BC$143/1000)</f>
        <v/>
      </c>
      <c r="AC138" s="114" t="str">
        <f ca="1">IF(AC$37="","",INDEX(Leverancer!BD$1:BD$1061,ROW()-ROW($Q$129) + ROW(Leverancer!$AO$115))*Leverancer!BD$143/1000)</f>
        <v/>
      </c>
      <c r="AD138" s="114" t="str">
        <f ca="1">IF(AD$37="","",INDEX(Leverancer!BE$1:BE$1061,ROW()-ROW($Q$129) + ROW(Leverancer!$AO$115))*Leverancer!BE$143/1000)</f>
        <v/>
      </c>
      <c r="AE138" s="114" t="str">
        <f ca="1">IF(AE$37="","",INDEX(Leverancer!BF$1:BF$1061,ROW()-ROW($Q$129) + ROW(Leverancer!$AO$115))*Leverancer!BF$143/1000)</f>
        <v/>
      </c>
      <c r="AF138" s="114" t="str">
        <f ca="1">IF(AF$37="","",INDEX(Leverancer!BG$1:BG$1061,ROW()-ROW($Q$129) + ROW(Leverancer!$AO$115))*Leverancer!BG$143/1000)</f>
        <v/>
      </c>
      <c r="AG138" s="114" t="str">
        <f ca="1">IF(AG$37="","",INDEX(Leverancer!BH$1:BH$1061,ROW()-ROW($Q$129) + ROW(Leverancer!$AO$115))*Leverancer!BH$143/1000)</f>
        <v/>
      </c>
      <c r="AH138" s="114" t="str">
        <f ca="1">IF(AH$37="","",INDEX(Leverancer!BI$1:BI$1061,ROW()-ROW($Q$129) + ROW(Leverancer!$AO$115))*Leverancer!BI$143/1000)</f>
        <v/>
      </c>
      <c r="AI138" s="114" t="str">
        <f ca="1">IF(AI$37="","",INDEX(Leverancer!BJ$1:BJ$1061,ROW()-ROW($Q$129) + ROW(Leverancer!$AO$115))*Leverancer!BJ$143/1000)</f>
        <v/>
      </c>
      <c r="AJ138" s="114" t="str">
        <f ca="1">IF(AJ$37="","",INDEX(Leverancer!BK$1:BK$1061,ROW()-ROW($Q$129) + ROW(Leverancer!$AO$115))*Leverancer!BK$143/1000)</f>
        <v/>
      </c>
      <c r="AK138" s="114" t="str">
        <f ca="1">IF(AK$37="","",INDEX(Leverancer!BL$1:BL$1061,ROW()-ROW($Q$129) + ROW(Leverancer!$AO$115))*Leverancer!BL$143/1000)</f>
        <v/>
      </c>
      <c r="AL138" s="114" t="str">
        <f ca="1">IF(AL$37="","",INDEX(Leverancer!BM$1:BM$1061,ROW()-ROW($Q$129) + ROW(Leverancer!$AO$115))*Leverancer!BM$143/1000)</f>
        <v/>
      </c>
      <c r="AM138" s="114" t="str">
        <f ca="1">IF(AM$37="","",INDEX(Leverancer!BN$1:BN$1061,ROW()-ROW($Q$129) + ROW(Leverancer!$AO$115))*Leverancer!BN$143/1000)</f>
        <v/>
      </c>
      <c r="AN138" s="114" t="str">
        <f ca="1">IF(AN$37="","",INDEX(Leverancer!BO$1:BO$1061,ROW()-ROW($Q$129) + ROW(Leverancer!$AO$115))*Leverancer!BO$143/1000)</f>
        <v/>
      </c>
      <c r="AO138" s="114" t="str">
        <f ca="1">IF(AO$37="","",INDEX(Leverancer!BP$1:BP$1061,ROW()-ROW($Q$129) + ROW(Leverancer!$AO$115))*Leverancer!BP$143/1000)</f>
        <v/>
      </c>
      <c r="AP138" s="114" t="str">
        <f ca="1">IF(AP$37="","",INDEX(Leverancer!BQ$1:BQ$1061,ROW()-ROW($Q$129) + ROW(Leverancer!$AO$115))*Leverancer!BQ$143/1000)</f>
        <v/>
      </c>
      <c r="AQ138" s="114" t="str">
        <f ca="1">IF(AQ$37="","",INDEX(Leverancer!BR$1:BR$1061,ROW()-ROW($Q$129) + ROW(Leverancer!$AO$115))*Leverancer!BR$143/1000)</f>
        <v/>
      </c>
      <c r="AR138" s="114" t="str">
        <f ca="1">IF(AR$37="","",INDEX(Leverancer!BS$1:BS$1061,ROW()-ROW($Q$129) + ROW(Leverancer!$AO$115))*Leverancer!BS$143/1000)</f>
        <v/>
      </c>
      <c r="AS138" s="114" t="str">
        <f ca="1">IF(AS$37="","",INDEX(Leverancer!BT$1:BT$1061,ROW()-ROW($Q$129) + ROW(Leverancer!$AO$115))*Leverancer!BT$143/1000)</f>
        <v/>
      </c>
      <c r="AT138" s="114" t="str">
        <f ca="1">IF(AT$37="","",INDEX(Leverancer!BU$1:BU$1061,ROW()-ROW($Q$129) + ROW(Leverancer!$AO$115))*Leverancer!BU$143/1000)</f>
        <v/>
      </c>
      <c r="AU138" s="114" t="str">
        <f ca="1">IF(AU$37="","",INDEX(Leverancer!BV$1:BV$1061,ROW()-ROW($Q$129) + ROW(Leverancer!$AO$115))*Leverancer!BV$143/1000)</f>
        <v/>
      </c>
      <c r="AV138" s="114" t="str">
        <f ca="1">IF(AV$37="","",INDEX(Leverancer!BW$1:BW$1061,ROW()-ROW($Q$129) + ROW(Leverancer!$AO$115))*Leverancer!BW$143/1000)</f>
        <v/>
      </c>
      <c r="AW138" s="114" t="str">
        <f ca="1">IF(AW$37="","",INDEX(Leverancer!BX$1:BX$1061,ROW()-ROW($Q$129) + ROW(Leverancer!$AO$115))*Leverancer!BX$143/1000)</f>
        <v/>
      </c>
      <c r="AX138" s="90"/>
      <c r="AY138" s="90"/>
      <c r="AZ138" s="87"/>
    </row>
    <row r="139" spans="14:52" ht="12.75" hidden="1" customHeight="1" outlineLevel="1" x14ac:dyDescent="0.2">
      <c r="N139" s="85"/>
      <c r="O139" s="90"/>
      <c r="P139" s="90"/>
      <c r="Q139" s="116" t="str">
        <f>INDEX(Leverancer!$AO$1:$AO$1061,ROW()-ROW($Q$130) + ROW(Leverancer!$AO$116))&amp;": "&amp;INDEX(Leverancer!$AP$1:$AP$1061,ROW()-ROW($Q$130) + ROW(Leverancer!$AO$116))</f>
        <v xml:space="preserve">D10: </v>
      </c>
      <c r="R139" s="118"/>
      <c r="S139" s="142">
        <f t="shared" ca="1" si="16"/>
        <v>0</v>
      </c>
      <c r="T139" s="114">
        <f ca="1">IF(T$37="","",INDEX(Leverancer!AU$1:AU$1061,ROW()-ROW($Q$129) + ROW(Leverancer!$AO$115))*Leverancer!AU$143/1000)</f>
        <v>0</v>
      </c>
      <c r="U139" s="114">
        <f ca="1">IF(U$37="","",INDEX(Leverancer!AV$1:AV$1061,ROW()-ROW($Q$129) + ROW(Leverancer!$AO$115))*Leverancer!AV$143/1000)</f>
        <v>0</v>
      </c>
      <c r="V139" s="114">
        <f ca="1">IF(V$37="","",INDEX(Leverancer!AW$1:AW$1061,ROW()-ROW($Q$129) + ROW(Leverancer!$AO$115))*Leverancer!AW$143/1000)</f>
        <v>0</v>
      </c>
      <c r="W139" s="114">
        <f ca="1">IF(W$37="","",INDEX(Leverancer!AX$1:AX$1061,ROW()-ROW($Q$129) + ROW(Leverancer!$AO$115))*Leverancer!AX$143/1000)</f>
        <v>0</v>
      </c>
      <c r="X139" s="114" t="str">
        <f ca="1">IF(X$37="","",INDEX(Leverancer!AY$1:AY$1061,ROW()-ROW($Q$129) + ROW(Leverancer!$AO$115))*Leverancer!AY$143/1000)</f>
        <v/>
      </c>
      <c r="Y139" s="114" t="str">
        <f ca="1">IF(Y$37="","",INDEX(Leverancer!AZ$1:AZ$1061,ROW()-ROW($Q$129) + ROW(Leverancer!$AO$115))*Leverancer!AZ$143/1000)</f>
        <v/>
      </c>
      <c r="Z139" s="114" t="str">
        <f ca="1">IF(Z$37="","",INDEX(Leverancer!BA$1:BA$1061,ROW()-ROW($Q$129) + ROW(Leverancer!$AO$115))*Leverancer!BA$143/1000)</f>
        <v/>
      </c>
      <c r="AA139" s="114" t="str">
        <f ca="1">IF(AA$37="","",INDEX(Leverancer!BB$1:BB$1061,ROW()-ROW($Q$129) + ROW(Leverancer!$AO$115))*Leverancer!BB$143/1000)</f>
        <v/>
      </c>
      <c r="AB139" s="114" t="str">
        <f ca="1">IF(AB$37="","",INDEX(Leverancer!BC$1:BC$1061,ROW()-ROW($Q$129) + ROW(Leverancer!$AO$115))*Leverancer!BC$143/1000)</f>
        <v/>
      </c>
      <c r="AC139" s="114" t="str">
        <f ca="1">IF(AC$37="","",INDEX(Leverancer!BD$1:BD$1061,ROW()-ROW($Q$129) + ROW(Leverancer!$AO$115))*Leverancer!BD$143/1000)</f>
        <v/>
      </c>
      <c r="AD139" s="114" t="str">
        <f ca="1">IF(AD$37="","",INDEX(Leverancer!BE$1:BE$1061,ROW()-ROW($Q$129) + ROW(Leverancer!$AO$115))*Leverancer!BE$143/1000)</f>
        <v/>
      </c>
      <c r="AE139" s="114" t="str">
        <f ca="1">IF(AE$37="","",INDEX(Leverancer!BF$1:BF$1061,ROW()-ROW($Q$129) + ROW(Leverancer!$AO$115))*Leverancer!BF$143/1000)</f>
        <v/>
      </c>
      <c r="AF139" s="114" t="str">
        <f ca="1">IF(AF$37="","",INDEX(Leverancer!BG$1:BG$1061,ROW()-ROW($Q$129) + ROW(Leverancer!$AO$115))*Leverancer!BG$143/1000)</f>
        <v/>
      </c>
      <c r="AG139" s="114" t="str">
        <f ca="1">IF(AG$37="","",INDEX(Leverancer!BH$1:BH$1061,ROW()-ROW($Q$129) + ROW(Leverancer!$AO$115))*Leverancer!BH$143/1000)</f>
        <v/>
      </c>
      <c r="AH139" s="114" t="str">
        <f ca="1">IF(AH$37="","",INDEX(Leverancer!BI$1:BI$1061,ROW()-ROW($Q$129) + ROW(Leverancer!$AO$115))*Leverancer!BI$143/1000)</f>
        <v/>
      </c>
      <c r="AI139" s="114" t="str">
        <f ca="1">IF(AI$37="","",INDEX(Leverancer!BJ$1:BJ$1061,ROW()-ROW($Q$129) + ROW(Leverancer!$AO$115))*Leverancer!BJ$143/1000)</f>
        <v/>
      </c>
      <c r="AJ139" s="114" t="str">
        <f ca="1">IF(AJ$37="","",INDEX(Leverancer!BK$1:BK$1061,ROW()-ROW($Q$129) + ROW(Leverancer!$AO$115))*Leverancer!BK$143/1000)</f>
        <v/>
      </c>
      <c r="AK139" s="114" t="str">
        <f ca="1">IF(AK$37="","",INDEX(Leverancer!BL$1:BL$1061,ROW()-ROW($Q$129) + ROW(Leverancer!$AO$115))*Leverancer!BL$143/1000)</f>
        <v/>
      </c>
      <c r="AL139" s="114" t="str">
        <f ca="1">IF(AL$37="","",INDEX(Leverancer!BM$1:BM$1061,ROW()-ROW($Q$129) + ROW(Leverancer!$AO$115))*Leverancer!BM$143/1000)</f>
        <v/>
      </c>
      <c r="AM139" s="114" t="str">
        <f ca="1">IF(AM$37="","",INDEX(Leverancer!BN$1:BN$1061,ROW()-ROW($Q$129) + ROW(Leverancer!$AO$115))*Leverancer!BN$143/1000)</f>
        <v/>
      </c>
      <c r="AN139" s="114" t="str">
        <f ca="1">IF(AN$37="","",INDEX(Leverancer!BO$1:BO$1061,ROW()-ROW($Q$129) + ROW(Leverancer!$AO$115))*Leverancer!BO$143/1000)</f>
        <v/>
      </c>
      <c r="AO139" s="114" t="str">
        <f ca="1">IF(AO$37="","",INDEX(Leverancer!BP$1:BP$1061,ROW()-ROW($Q$129) + ROW(Leverancer!$AO$115))*Leverancer!BP$143/1000)</f>
        <v/>
      </c>
      <c r="AP139" s="114" t="str">
        <f ca="1">IF(AP$37="","",INDEX(Leverancer!BQ$1:BQ$1061,ROW()-ROW($Q$129) + ROW(Leverancer!$AO$115))*Leverancer!BQ$143/1000)</f>
        <v/>
      </c>
      <c r="AQ139" s="114" t="str">
        <f ca="1">IF(AQ$37="","",INDEX(Leverancer!BR$1:BR$1061,ROW()-ROW($Q$129) + ROW(Leverancer!$AO$115))*Leverancer!BR$143/1000)</f>
        <v/>
      </c>
      <c r="AR139" s="114" t="str">
        <f ca="1">IF(AR$37="","",INDEX(Leverancer!BS$1:BS$1061,ROW()-ROW($Q$129) + ROW(Leverancer!$AO$115))*Leverancer!BS$143/1000)</f>
        <v/>
      </c>
      <c r="AS139" s="114" t="str">
        <f ca="1">IF(AS$37="","",INDEX(Leverancer!BT$1:BT$1061,ROW()-ROW($Q$129) + ROW(Leverancer!$AO$115))*Leverancer!BT$143/1000)</f>
        <v/>
      </c>
      <c r="AT139" s="114" t="str">
        <f ca="1">IF(AT$37="","",INDEX(Leverancer!BU$1:BU$1061,ROW()-ROW($Q$129) + ROW(Leverancer!$AO$115))*Leverancer!BU$143/1000)</f>
        <v/>
      </c>
      <c r="AU139" s="114" t="str">
        <f ca="1">IF(AU$37="","",INDEX(Leverancer!BV$1:BV$1061,ROW()-ROW($Q$129) + ROW(Leverancer!$AO$115))*Leverancer!BV$143/1000)</f>
        <v/>
      </c>
      <c r="AV139" s="114" t="str">
        <f ca="1">IF(AV$37="","",INDEX(Leverancer!BW$1:BW$1061,ROW()-ROW($Q$129) + ROW(Leverancer!$AO$115))*Leverancer!BW$143/1000)</f>
        <v/>
      </c>
      <c r="AW139" s="114" t="str">
        <f ca="1">IF(AW$37="","",INDEX(Leverancer!BX$1:BX$1061,ROW()-ROW($Q$129) + ROW(Leverancer!$AO$115))*Leverancer!BX$143/1000)</f>
        <v/>
      </c>
      <c r="AX139" s="90"/>
      <c r="AY139" s="90"/>
      <c r="AZ139" s="87"/>
    </row>
    <row r="140" spans="14:52" ht="12.75" hidden="1" customHeight="1" outlineLevel="1" x14ac:dyDescent="0.2">
      <c r="N140" s="85"/>
      <c r="O140" s="90"/>
      <c r="P140" s="90"/>
      <c r="Q140" s="116" t="str">
        <f>INDEX(Leverancer!$AO$1:$AO$1061,ROW()-ROW($Q$130) + ROW(Leverancer!$AO$116))&amp;": "&amp;INDEX(Leverancer!$AP$1:$AP$1061,ROW()-ROW($Q$130) + ROW(Leverancer!$AO$116))</f>
        <v xml:space="preserve">D11: </v>
      </c>
      <c r="R140" s="118"/>
      <c r="S140" s="142">
        <f t="shared" ca="1" si="16"/>
        <v>0</v>
      </c>
      <c r="T140" s="114">
        <f ca="1">IF(T$37="","",INDEX(Leverancer!AU$1:AU$1061,ROW()-ROW($Q$129) + ROW(Leverancer!$AO$115))*Leverancer!AU$143/1000)</f>
        <v>0</v>
      </c>
      <c r="U140" s="114">
        <f ca="1">IF(U$37="","",INDEX(Leverancer!AV$1:AV$1061,ROW()-ROW($Q$129) + ROW(Leverancer!$AO$115))*Leverancer!AV$143/1000)</f>
        <v>0</v>
      </c>
      <c r="V140" s="114">
        <f ca="1">IF(V$37="","",INDEX(Leverancer!AW$1:AW$1061,ROW()-ROW($Q$129) + ROW(Leverancer!$AO$115))*Leverancer!AW$143/1000)</f>
        <v>0</v>
      </c>
      <c r="W140" s="114">
        <f ca="1">IF(W$37="","",INDEX(Leverancer!AX$1:AX$1061,ROW()-ROW($Q$129) + ROW(Leverancer!$AO$115))*Leverancer!AX$143/1000)</f>
        <v>0</v>
      </c>
      <c r="X140" s="114" t="str">
        <f ca="1">IF(X$37="","",INDEX(Leverancer!AY$1:AY$1061,ROW()-ROW($Q$129) + ROW(Leverancer!$AO$115))*Leverancer!AY$143/1000)</f>
        <v/>
      </c>
      <c r="Y140" s="114" t="str">
        <f ca="1">IF(Y$37="","",INDEX(Leverancer!AZ$1:AZ$1061,ROW()-ROW($Q$129) + ROW(Leverancer!$AO$115))*Leverancer!AZ$143/1000)</f>
        <v/>
      </c>
      <c r="Z140" s="114" t="str">
        <f ca="1">IF(Z$37="","",INDEX(Leverancer!BA$1:BA$1061,ROW()-ROW($Q$129) + ROW(Leverancer!$AO$115))*Leverancer!BA$143/1000)</f>
        <v/>
      </c>
      <c r="AA140" s="114" t="str">
        <f ca="1">IF(AA$37="","",INDEX(Leverancer!BB$1:BB$1061,ROW()-ROW($Q$129) + ROW(Leverancer!$AO$115))*Leverancer!BB$143/1000)</f>
        <v/>
      </c>
      <c r="AB140" s="114" t="str">
        <f ca="1">IF(AB$37="","",INDEX(Leverancer!BC$1:BC$1061,ROW()-ROW($Q$129) + ROW(Leverancer!$AO$115))*Leverancer!BC$143/1000)</f>
        <v/>
      </c>
      <c r="AC140" s="114" t="str">
        <f ca="1">IF(AC$37="","",INDEX(Leverancer!BD$1:BD$1061,ROW()-ROW($Q$129) + ROW(Leverancer!$AO$115))*Leverancer!BD$143/1000)</f>
        <v/>
      </c>
      <c r="AD140" s="114" t="str">
        <f ca="1">IF(AD$37="","",INDEX(Leverancer!BE$1:BE$1061,ROW()-ROW($Q$129) + ROW(Leverancer!$AO$115))*Leverancer!BE$143/1000)</f>
        <v/>
      </c>
      <c r="AE140" s="114" t="str">
        <f ca="1">IF(AE$37="","",INDEX(Leverancer!BF$1:BF$1061,ROW()-ROW($Q$129) + ROW(Leverancer!$AO$115))*Leverancer!BF$143/1000)</f>
        <v/>
      </c>
      <c r="AF140" s="114" t="str">
        <f ca="1">IF(AF$37="","",INDEX(Leverancer!BG$1:BG$1061,ROW()-ROW($Q$129) + ROW(Leverancer!$AO$115))*Leverancer!BG$143/1000)</f>
        <v/>
      </c>
      <c r="AG140" s="114" t="str">
        <f ca="1">IF(AG$37="","",INDEX(Leverancer!BH$1:BH$1061,ROW()-ROW($Q$129) + ROW(Leverancer!$AO$115))*Leverancer!BH$143/1000)</f>
        <v/>
      </c>
      <c r="AH140" s="114" t="str">
        <f ca="1">IF(AH$37="","",INDEX(Leverancer!BI$1:BI$1061,ROW()-ROW($Q$129) + ROW(Leverancer!$AO$115))*Leverancer!BI$143/1000)</f>
        <v/>
      </c>
      <c r="AI140" s="114" t="str">
        <f ca="1">IF(AI$37="","",INDEX(Leverancer!BJ$1:BJ$1061,ROW()-ROW($Q$129) + ROW(Leverancer!$AO$115))*Leverancer!BJ$143/1000)</f>
        <v/>
      </c>
      <c r="AJ140" s="114" t="str">
        <f ca="1">IF(AJ$37="","",INDEX(Leverancer!BK$1:BK$1061,ROW()-ROW($Q$129) + ROW(Leverancer!$AO$115))*Leverancer!BK$143/1000)</f>
        <v/>
      </c>
      <c r="AK140" s="114" t="str">
        <f ca="1">IF(AK$37="","",INDEX(Leverancer!BL$1:BL$1061,ROW()-ROW($Q$129) + ROW(Leverancer!$AO$115))*Leverancer!BL$143/1000)</f>
        <v/>
      </c>
      <c r="AL140" s="114" t="str">
        <f ca="1">IF(AL$37="","",INDEX(Leverancer!BM$1:BM$1061,ROW()-ROW($Q$129) + ROW(Leverancer!$AO$115))*Leverancer!BM$143/1000)</f>
        <v/>
      </c>
      <c r="AM140" s="114" t="str">
        <f ca="1">IF(AM$37="","",INDEX(Leverancer!BN$1:BN$1061,ROW()-ROW($Q$129) + ROW(Leverancer!$AO$115))*Leverancer!BN$143/1000)</f>
        <v/>
      </c>
      <c r="AN140" s="114" t="str">
        <f ca="1">IF(AN$37="","",INDEX(Leverancer!BO$1:BO$1061,ROW()-ROW($Q$129) + ROW(Leverancer!$AO$115))*Leverancer!BO$143/1000)</f>
        <v/>
      </c>
      <c r="AO140" s="114" t="str">
        <f ca="1">IF(AO$37="","",INDEX(Leverancer!BP$1:BP$1061,ROW()-ROW($Q$129) + ROW(Leverancer!$AO$115))*Leverancer!BP$143/1000)</f>
        <v/>
      </c>
      <c r="AP140" s="114" t="str">
        <f ca="1">IF(AP$37="","",INDEX(Leverancer!BQ$1:BQ$1061,ROW()-ROW($Q$129) + ROW(Leverancer!$AO$115))*Leverancer!BQ$143/1000)</f>
        <v/>
      </c>
      <c r="AQ140" s="114" t="str">
        <f ca="1">IF(AQ$37="","",INDEX(Leverancer!BR$1:BR$1061,ROW()-ROW($Q$129) + ROW(Leverancer!$AO$115))*Leverancer!BR$143/1000)</f>
        <v/>
      </c>
      <c r="AR140" s="114" t="str">
        <f ca="1">IF(AR$37="","",INDEX(Leverancer!BS$1:BS$1061,ROW()-ROW($Q$129) + ROW(Leverancer!$AO$115))*Leverancer!BS$143/1000)</f>
        <v/>
      </c>
      <c r="AS140" s="114" t="str">
        <f ca="1">IF(AS$37="","",INDEX(Leverancer!BT$1:BT$1061,ROW()-ROW($Q$129) + ROW(Leverancer!$AO$115))*Leverancer!BT$143/1000)</f>
        <v/>
      </c>
      <c r="AT140" s="114" t="str">
        <f ca="1">IF(AT$37="","",INDEX(Leverancer!BU$1:BU$1061,ROW()-ROW($Q$129) + ROW(Leverancer!$AO$115))*Leverancer!BU$143/1000)</f>
        <v/>
      </c>
      <c r="AU140" s="114" t="str">
        <f ca="1">IF(AU$37="","",INDEX(Leverancer!BV$1:BV$1061,ROW()-ROW($Q$129) + ROW(Leverancer!$AO$115))*Leverancer!BV$143/1000)</f>
        <v/>
      </c>
      <c r="AV140" s="114" t="str">
        <f ca="1">IF(AV$37="","",INDEX(Leverancer!BW$1:BW$1061,ROW()-ROW($Q$129) + ROW(Leverancer!$AO$115))*Leverancer!BW$143/1000)</f>
        <v/>
      </c>
      <c r="AW140" s="114" t="str">
        <f ca="1">IF(AW$37="","",INDEX(Leverancer!BX$1:BX$1061,ROW()-ROW($Q$129) + ROW(Leverancer!$AO$115))*Leverancer!BX$143/1000)</f>
        <v/>
      </c>
      <c r="AX140" s="90"/>
      <c r="AY140" s="90"/>
      <c r="AZ140" s="87"/>
    </row>
    <row r="141" spans="14:52" ht="12.75" hidden="1" customHeight="1" outlineLevel="1" x14ac:dyDescent="0.2">
      <c r="N141" s="85"/>
      <c r="O141" s="90"/>
      <c r="P141" s="90"/>
      <c r="Q141" s="116" t="str">
        <f>INDEX(Leverancer!$AO$1:$AO$1061,ROW()-ROW($Q$130) + ROW(Leverancer!$AO$116))&amp;": "&amp;INDEX(Leverancer!$AP$1:$AP$1061,ROW()-ROW($Q$130) + ROW(Leverancer!$AO$116))</f>
        <v xml:space="preserve">D12: </v>
      </c>
      <c r="R141" s="118"/>
      <c r="S141" s="142">
        <f t="shared" ca="1" si="16"/>
        <v>0</v>
      </c>
      <c r="T141" s="114">
        <f ca="1">IF(T$37="","",INDEX(Leverancer!AU$1:AU$1061,ROW()-ROW($Q$129) + ROW(Leverancer!$AO$115))*Leverancer!AU$143/1000)</f>
        <v>0</v>
      </c>
      <c r="U141" s="114">
        <f ca="1">IF(U$37="","",INDEX(Leverancer!AV$1:AV$1061,ROW()-ROW($Q$129) + ROW(Leverancer!$AO$115))*Leverancer!AV$143/1000)</f>
        <v>0</v>
      </c>
      <c r="V141" s="114">
        <f ca="1">IF(V$37="","",INDEX(Leverancer!AW$1:AW$1061,ROW()-ROW($Q$129) + ROW(Leverancer!$AO$115))*Leverancer!AW$143/1000)</f>
        <v>0</v>
      </c>
      <c r="W141" s="114">
        <f ca="1">IF(W$37="","",INDEX(Leverancer!AX$1:AX$1061,ROW()-ROW($Q$129) + ROW(Leverancer!$AO$115))*Leverancer!AX$143/1000)</f>
        <v>0</v>
      </c>
      <c r="X141" s="114" t="str">
        <f ca="1">IF(X$37="","",INDEX(Leverancer!AY$1:AY$1061,ROW()-ROW($Q$129) + ROW(Leverancer!$AO$115))*Leverancer!AY$143/1000)</f>
        <v/>
      </c>
      <c r="Y141" s="114" t="str">
        <f ca="1">IF(Y$37="","",INDEX(Leverancer!AZ$1:AZ$1061,ROW()-ROW($Q$129) + ROW(Leverancer!$AO$115))*Leverancer!AZ$143/1000)</f>
        <v/>
      </c>
      <c r="Z141" s="114" t="str">
        <f ca="1">IF(Z$37="","",INDEX(Leverancer!BA$1:BA$1061,ROW()-ROW($Q$129) + ROW(Leverancer!$AO$115))*Leverancer!BA$143/1000)</f>
        <v/>
      </c>
      <c r="AA141" s="114" t="str">
        <f ca="1">IF(AA$37="","",INDEX(Leverancer!BB$1:BB$1061,ROW()-ROW($Q$129) + ROW(Leverancer!$AO$115))*Leverancer!BB$143/1000)</f>
        <v/>
      </c>
      <c r="AB141" s="114" t="str">
        <f ca="1">IF(AB$37="","",INDEX(Leverancer!BC$1:BC$1061,ROW()-ROW($Q$129) + ROW(Leverancer!$AO$115))*Leverancer!BC$143/1000)</f>
        <v/>
      </c>
      <c r="AC141" s="114" t="str">
        <f ca="1">IF(AC$37="","",INDEX(Leverancer!BD$1:BD$1061,ROW()-ROW($Q$129) + ROW(Leverancer!$AO$115))*Leverancer!BD$143/1000)</f>
        <v/>
      </c>
      <c r="AD141" s="114" t="str">
        <f ca="1">IF(AD$37="","",INDEX(Leverancer!BE$1:BE$1061,ROW()-ROW($Q$129) + ROW(Leverancer!$AO$115))*Leverancer!BE$143/1000)</f>
        <v/>
      </c>
      <c r="AE141" s="114" t="str">
        <f ca="1">IF(AE$37="","",INDEX(Leverancer!BF$1:BF$1061,ROW()-ROW($Q$129) + ROW(Leverancer!$AO$115))*Leverancer!BF$143/1000)</f>
        <v/>
      </c>
      <c r="AF141" s="114" t="str">
        <f ca="1">IF(AF$37="","",INDEX(Leverancer!BG$1:BG$1061,ROW()-ROW($Q$129) + ROW(Leverancer!$AO$115))*Leverancer!BG$143/1000)</f>
        <v/>
      </c>
      <c r="AG141" s="114" t="str">
        <f ca="1">IF(AG$37="","",INDEX(Leverancer!BH$1:BH$1061,ROW()-ROW($Q$129) + ROW(Leverancer!$AO$115))*Leverancer!BH$143/1000)</f>
        <v/>
      </c>
      <c r="AH141" s="114" t="str">
        <f ca="1">IF(AH$37="","",INDEX(Leverancer!BI$1:BI$1061,ROW()-ROW($Q$129) + ROW(Leverancer!$AO$115))*Leverancer!BI$143/1000)</f>
        <v/>
      </c>
      <c r="AI141" s="114" t="str">
        <f ca="1">IF(AI$37="","",INDEX(Leverancer!BJ$1:BJ$1061,ROW()-ROW($Q$129) + ROW(Leverancer!$AO$115))*Leverancer!BJ$143/1000)</f>
        <v/>
      </c>
      <c r="AJ141" s="114" t="str">
        <f ca="1">IF(AJ$37="","",INDEX(Leverancer!BK$1:BK$1061,ROW()-ROW($Q$129) + ROW(Leverancer!$AO$115))*Leverancer!BK$143/1000)</f>
        <v/>
      </c>
      <c r="AK141" s="114" t="str">
        <f ca="1">IF(AK$37="","",INDEX(Leverancer!BL$1:BL$1061,ROW()-ROW($Q$129) + ROW(Leverancer!$AO$115))*Leverancer!BL$143/1000)</f>
        <v/>
      </c>
      <c r="AL141" s="114" t="str">
        <f ca="1">IF(AL$37="","",INDEX(Leverancer!BM$1:BM$1061,ROW()-ROW($Q$129) + ROW(Leverancer!$AO$115))*Leverancer!BM$143/1000)</f>
        <v/>
      </c>
      <c r="AM141" s="114" t="str">
        <f ca="1">IF(AM$37="","",INDEX(Leverancer!BN$1:BN$1061,ROW()-ROW($Q$129) + ROW(Leverancer!$AO$115))*Leverancer!BN$143/1000)</f>
        <v/>
      </c>
      <c r="AN141" s="114" t="str">
        <f ca="1">IF(AN$37="","",INDEX(Leverancer!BO$1:BO$1061,ROW()-ROW($Q$129) + ROW(Leverancer!$AO$115))*Leverancer!BO$143/1000)</f>
        <v/>
      </c>
      <c r="AO141" s="114" t="str">
        <f ca="1">IF(AO$37="","",INDEX(Leverancer!BP$1:BP$1061,ROW()-ROW($Q$129) + ROW(Leverancer!$AO$115))*Leverancer!BP$143/1000)</f>
        <v/>
      </c>
      <c r="AP141" s="114" t="str">
        <f ca="1">IF(AP$37="","",INDEX(Leverancer!BQ$1:BQ$1061,ROW()-ROW($Q$129) + ROW(Leverancer!$AO$115))*Leverancer!BQ$143/1000)</f>
        <v/>
      </c>
      <c r="AQ141" s="114" t="str">
        <f ca="1">IF(AQ$37="","",INDEX(Leverancer!BR$1:BR$1061,ROW()-ROW($Q$129) + ROW(Leverancer!$AO$115))*Leverancer!BR$143/1000)</f>
        <v/>
      </c>
      <c r="AR141" s="114" t="str">
        <f ca="1">IF(AR$37="","",INDEX(Leverancer!BS$1:BS$1061,ROW()-ROW($Q$129) + ROW(Leverancer!$AO$115))*Leverancer!BS$143/1000)</f>
        <v/>
      </c>
      <c r="AS141" s="114" t="str">
        <f ca="1">IF(AS$37="","",INDEX(Leverancer!BT$1:BT$1061,ROW()-ROW($Q$129) + ROW(Leverancer!$AO$115))*Leverancer!BT$143/1000)</f>
        <v/>
      </c>
      <c r="AT141" s="114" t="str">
        <f ca="1">IF(AT$37="","",INDEX(Leverancer!BU$1:BU$1061,ROW()-ROW($Q$129) + ROW(Leverancer!$AO$115))*Leverancer!BU$143/1000)</f>
        <v/>
      </c>
      <c r="AU141" s="114" t="str">
        <f ca="1">IF(AU$37="","",INDEX(Leverancer!BV$1:BV$1061,ROW()-ROW($Q$129) + ROW(Leverancer!$AO$115))*Leverancer!BV$143/1000)</f>
        <v/>
      </c>
      <c r="AV141" s="114" t="str">
        <f ca="1">IF(AV$37="","",INDEX(Leverancer!BW$1:BW$1061,ROW()-ROW($Q$129) + ROW(Leverancer!$AO$115))*Leverancer!BW$143/1000)</f>
        <v/>
      </c>
      <c r="AW141" s="114" t="str">
        <f ca="1">IF(AW$37="","",INDEX(Leverancer!BX$1:BX$1061,ROW()-ROW($Q$129) + ROW(Leverancer!$AO$115))*Leverancer!BX$143/1000)</f>
        <v/>
      </c>
      <c r="AX141" s="90"/>
      <c r="AY141" s="90"/>
      <c r="AZ141" s="87"/>
    </row>
    <row r="142" spans="14:52" ht="12.75" hidden="1" customHeight="1" outlineLevel="1" x14ac:dyDescent="0.2">
      <c r="N142" s="85"/>
      <c r="O142" s="90"/>
      <c r="P142" s="90"/>
      <c r="Q142" s="116" t="str">
        <f>INDEX(Leverancer!$AO$1:$AO$1061,ROW()-ROW($Q$130) + ROW(Leverancer!$AO$116))&amp;": "&amp;INDEX(Leverancer!$AP$1:$AP$1061,ROW()-ROW($Q$130) + ROW(Leverancer!$AO$116))</f>
        <v xml:space="preserve">D13: </v>
      </c>
      <c r="R142" s="118"/>
      <c r="S142" s="142">
        <f t="shared" ca="1" si="16"/>
        <v>0</v>
      </c>
      <c r="T142" s="114">
        <f ca="1">IF(T$37="","",INDEX(Leverancer!AU$1:AU$1061,ROW()-ROW($Q$129) + ROW(Leverancer!$AO$115))*Leverancer!AU$143/1000)</f>
        <v>0</v>
      </c>
      <c r="U142" s="114">
        <f ca="1">IF(U$37="","",INDEX(Leverancer!AV$1:AV$1061,ROW()-ROW($Q$129) + ROW(Leverancer!$AO$115))*Leverancer!AV$143/1000)</f>
        <v>0</v>
      </c>
      <c r="V142" s="114">
        <f ca="1">IF(V$37="","",INDEX(Leverancer!AW$1:AW$1061,ROW()-ROW($Q$129) + ROW(Leverancer!$AO$115))*Leverancer!AW$143/1000)</f>
        <v>0</v>
      </c>
      <c r="W142" s="114">
        <f ca="1">IF(W$37="","",INDEX(Leverancer!AX$1:AX$1061,ROW()-ROW($Q$129) + ROW(Leverancer!$AO$115))*Leverancer!AX$143/1000)</f>
        <v>0</v>
      </c>
      <c r="X142" s="114" t="str">
        <f ca="1">IF(X$37="","",INDEX(Leverancer!AY$1:AY$1061,ROW()-ROW($Q$129) + ROW(Leverancer!$AO$115))*Leverancer!AY$143/1000)</f>
        <v/>
      </c>
      <c r="Y142" s="114" t="str">
        <f ca="1">IF(Y$37="","",INDEX(Leverancer!AZ$1:AZ$1061,ROW()-ROW($Q$129) + ROW(Leverancer!$AO$115))*Leverancer!AZ$143/1000)</f>
        <v/>
      </c>
      <c r="Z142" s="114" t="str">
        <f ca="1">IF(Z$37="","",INDEX(Leverancer!BA$1:BA$1061,ROW()-ROW($Q$129) + ROW(Leverancer!$AO$115))*Leverancer!BA$143/1000)</f>
        <v/>
      </c>
      <c r="AA142" s="114" t="str">
        <f ca="1">IF(AA$37="","",INDEX(Leverancer!BB$1:BB$1061,ROW()-ROW($Q$129) + ROW(Leverancer!$AO$115))*Leverancer!BB$143/1000)</f>
        <v/>
      </c>
      <c r="AB142" s="114" t="str">
        <f ca="1">IF(AB$37="","",INDEX(Leverancer!BC$1:BC$1061,ROW()-ROW($Q$129) + ROW(Leverancer!$AO$115))*Leverancer!BC$143/1000)</f>
        <v/>
      </c>
      <c r="AC142" s="114" t="str">
        <f ca="1">IF(AC$37="","",INDEX(Leverancer!BD$1:BD$1061,ROW()-ROW($Q$129) + ROW(Leverancer!$AO$115))*Leverancer!BD$143/1000)</f>
        <v/>
      </c>
      <c r="AD142" s="114" t="str">
        <f ca="1">IF(AD$37="","",INDEX(Leverancer!BE$1:BE$1061,ROW()-ROW($Q$129) + ROW(Leverancer!$AO$115))*Leverancer!BE$143/1000)</f>
        <v/>
      </c>
      <c r="AE142" s="114" t="str">
        <f ca="1">IF(AE$37="","",INDEX(Leverancer!BF$1:BF$1061,ROW()-ROW($Q$129) + ROW(Leverancer!$AO$115))*Leverancer!BF$143/1000)</f>
        <v/>
      </c>
      <c r="AF142" s="114" t="str">
        <f ca="1">IF(AF$37="","",INDEX(Leverancer!BG$1:BG$1061,ROW()-ROW($Q$129) + ROW(Leverancer!$AO$115))*Leverancer!BG$143/1000)</f>
        <v/>
      </c>
      <c r="AG142" s="114" t="str">
        <f ca="1">IF(AG$37="","",INDEX(Leverancer!BH$1:BH$1061,ROW()-ROW($Q$129) + ROW(Leverancer!$AO$115))*Leverancer!BH$143/1000)</f>
        <v/>
      </c>
      <c r="AH142" s="114" t="str">
        <f ca="1">IF(AH$37="","",INDEX(Leverancer!BI$1:BI$1061,ROW()-ROW($Q$129) + ROW(Leverancer!$AO$115))*Leverancer!BI$143/1000)</f>
        <v/>
      </c>
      <c r="AI142" s="114" t="str">
        <f ca="1">IF(AI$37="","",INDEX(Leverancer!BJ$1:BJ$1061,ROW()-ROW($Q$129) + ROW(Leverancer!$AO$115))*Leverancer!BJ$143/1000)</f>
        <v/>
      </c>
      <c r="AJ142" s="114" t="str">
        <f ca="1">IF(AJ$37="","",INDEX(Leverancer!BK$1:BK$1061,ROW()-ROW($Q$129) + ROW(Leverancer!$AO$115))*Leverancer!BK$143/1000)</f>
        <v/>
      </c>
      <c r="AK142" s="114" t="str">
        <f ca="1">IF(AK$37="","",INDEX(Leverancer!BL$1:BL$1061,ROW()-ROW($Q$129) + ROW(Leverancer!$AO$115))*Leverancer!BL$143/1000)</f>
        <v/>
      </c>
      <c r="AL142" s="114" t="str">
        <f ca="1">IF(AL$37="","",INDEX(Leverancer!BM$1:BM$1061,ROW()-ROW($Q$129) + ROW(Leverancer!$AO$115))*Leverancer!BM$143/1000)</f>
        <v/>
      </c>
      <c r="AM142" s="114" t="str">
        <f ca="1">IF(AM$37="","",INDEX(Leverancer!BN$1:BN$1061,ROW()-ROW($Q$129) + ROW(Leverancer!$AO$115))*Leverancer!BN$143/1000)</f>
        <v/>
      </c>
      <c r="AN142" s="114" t="str">
        <f ca="1">IF(AN$37="","",INDEX(Leverancer!BO$1:BO$1061,ROW()-ROW($Q$129) + ROW(Leverancer!$AO$115))*Leverancer!BO$143/1000)</f>
        <v/>
      </c>
      <c r="AO142" s="114" t="str">
        <f ca="1">IF(AO$37="","",INDEX(Leverancer!BP$1:BP$1061,ROW()-ROW($Q$129) + ROW(Leverancer!$AO$115))*Leverancer!BP$143/1000)</f>
        <v/>
      </c>
      <c r="AP142" s="114" t="str">
        <f ca="1">IF(AP$37="","",INDEX(Leverancer!BQ$1:BQ$1061,ROW()-ROW($Q$129) + ROW(Leverancer!$AO$115))*Leverancer!BQ$143/1000)</f>
        <v/>
      </c>
      <c r="AQ142" s="114" t="str">
        <f ca="1">IF(AQ$37="","",INDEX(Leverancer!BR$1:BR$1061,ROW()-ROW($Q$129) + ROW(Leverancer!$AO$115))*Leverancer!BR$143/1000)</f>
        <v/>
      </c>
      <c r="AR142" s="114" t="str">
        <f ca="1">IF(AR$37="","",INDEX(Leverancer!BS$1:BS$1061,ROW()-ROW($Q$129) + ROW(Leverancer!$AO$115))*Leverancer!BS$143/1000)</f>
        <v/>
      </c>
      <c r="AS142" s="114" t="str">
        <f ca="1">IF(AS$37="","",INDEX(Leverancer!BT$1:BT$1061,ROW()-ROW($Q$129) + ROW(Leverancer!$AO$115))*Leverancer!BT$143/1000)</f>
        <v/>
      </c>
      <c r="AT142" s="114" t="str">
        <f ca="1">IF(AT$37="","",INDEX(Leverancer!BU$1:BU$1061,ROW()-ROW($Q$129) + ROW(Leverancer!$AO$115))*Leverancer!BU$143/1000)</f>
        <v/>
      </c>
      <c r="AU142" s="114" t="str">
        <f ca="1">IF(AU$37="","",INDEX(Leverancer!BV$1:BV$1061,ROW()-ROW($Q$129) + ROW(Leverancer!$AO$115))*Leverancer!BV$143/1000)</f>
        <v/>
      </c>
      <c r="AV142" s="114" t="str">
        <f ca="1">IF(AV$37="","",INDEX(Leverancer!BW$1:BW$1061,ROW()-ROW($Q$129) + ROW(Leverancer!$AO$115))*Leverancer!BW$143/1000)</f>
        <v/>
      </c>
      <c r="AW142" s="114" t="str">
        <f ca="1">IF(AW$37="","",INDEX(Leverancer!BX$1:BX$1061,ROW()-ROW($Q$129) + ROW(Leverancer!$AO$115))*Leverancer!BX$143/1000)</f>
        <v/>
      </c>
      <c r="AX142" s="90"/>
      <c r="AY142" s="90"/>
      <c r="AZ142" s="87"/>
    </row>
    <row r="143" spans="14:52" ht="12.75" hidden="1" customHeight="1" outlineLevel="1" x14ac:dyDescent="0.2">
      <c r="N143" s="85"/>
      <c r="O143" s="90"/>
      <c r="P143" s="90"/>
      <c r="Q143" s="116" t="str">
        <f>INDEX(Leverancer!$AO$1:$AO$1061,ROW()-ROW($Q$130) + ROW(Leverancer!$AO$116))&amp;": "&amp;INDEX(Leverancer!$AP$1:$AP$1061,ROW()-ROW($Q$130) + ROW(Leverancer!$AO$116))</f>
        <v xml:space="preserve">D14: </v>
      </c>
      <c r="R143" s="118"/>
      <c r="S143" s="142">
        <f t="shared" ca="1" si="16"/>
        <v>0</v>
      </c>
      <c r="T143" s="114">
        <f ca="1">IF(T$37="","",INDEX(Leverancer!AU$1:AU$1061,ROW()-ROW($Q$129) + ROW(Leverancer!$AO$115))*Leverancer!AU$143/1000)</f>
        <v>0</v>
      </c>
      <c r="U143" s="114">
        <f ca="1">IF(U$37="","",INDEX(Leverancer!AV$1:AV$1061,ROW()-ROW($Q$129) + ROW(Leverancer!$AO$115))*Leverancer!AV$143/1000)</f>
        <v>0</v>
      </c>
      <c r="V143" s="114">
        <f ca="1">IF(V$37="","",INDEX(Leverancer!AW$1:AW$1061,ROW()-ROW($Q$129) + ROW(Leverancer!$AO$115))*Leverancer!AW$143/1000)</f>
        <v>0</v>
      </c>
      <c r="W143" s="114">
        <f ca="1">IF(W$37="","",INDEX(Leverancer!AX$1:AX$1061,ROW()-ROW($Q$129) + ROW(Leverancer!$AO$115))*Leverancer!AX$143/1000)</f>
        <v>0</v>
      </c>
      <c r="X143" s="114" t="str">
        <f ca="1">IF(X$37="","",INDEX(Leverancer!AY$1:AY$1061,ROW()-ROW($Q$129) + ROW(Leverancer!$AO$115))*Leverancer!AY$143/1000)</f>
        <v/>
      </c>
      <c r="Y143" s="114" t="str">
        <f ca="1">IF(Y$37="","",INDEX(Leverancer!AZ$1:AZ$1061,ROW()-ROW($Q$129) + ROW(Leverancer!$AO$115))*Leverancer!AZ$143/1000)</f>
        <v/>
      </c>
      <c r="Z143" s="114" t="str">
        <f ca="1">IF(Z$37="","",INDEX(Leverancer!BA$1:BA$1061,ROW()-ROW($Q$129) + ROW(Leverancer!$AO$115))*Leverancer!BA$143/1000)</f>
        <v/>
      </c>
      <c r="AA143" s="114" t="str">
        <f ca="1">IF(AA$37="","",INDEX(Leverancer!BB$1:BB$1061,ROW()-ROW($Q$129) + ROW(Leverancer!$AO$115))*Leverancer!BB$143/1000)</f>
        <v/>
      </c>
      <c r="AB143" s="114" t="str">
        <f ca="1">IF(AB$37="","",INDEX(Leverancer!BC$1:BC$1061,ROW()-ROW($Q$129) + ROW(Leverancer!$AO$115))*Leverancer!BC$143/1000)</f>
        <v/>
      </c>
      <c r="AC143" s="114" t="str">
        <f ca="1">IF(AC$37="","",INDEX(Leverancer!BD$1:BD$1061,ROW()-ROW($Q$129) + ROW(Leverancer!$AO$115))*Leverancer!BD$143/1000)</f>
        <v/>
      </c>
      <c r="AD143" s="114" t="str">
        <f ca="1">IF(AD$37="","",INDEX(Leverancer!BE$1:BE$1061,ROW()-ROW($Q$129) + ROW(Leverancer!$AO$115))*Leverancer!BE$143/1000)</f>
        <v/>
      </c>
      <c r="AE143" s="114" t="str">
        <f ca="1">IF(AE$37="","",INDEX(Leverancer!BF$1:BF$1061,ROW()-ROW($Q$129) + ROW(Leverancer!$AO$115))*Leverancer!BF$143/1000)</f>
        <v/>
      </c>
      <c r="AF143" s="114" t="str">
        <f ca="1">IF(AF$37="","",INDEX(Leverancer!BG$1:BG$1061,ROW()-ROW($Q$129) + ROW(Leverancer!$AO$115))*Leverancer!BG$143/1000)</f>
        <v/>
      </c>
      <c r="AG143" s="114" t="str">
        <f ca="1">IF(AG$37="","",INDEX(Leverancer!BH$1:BH$1061,ROW()-ROW($Q$129) + ROW(Leverancer!$AO$115))*Leverancer!BH$143/1000)</f>
        <v/>
      </c>
      <c r="AH143" s="114" t="str">
        <f ca="1">IF(AH$37="","",INDEX(Leverancer!BI$1:BI$1061,ROW()-ROW($Q$129) + ROW(Leverancer!$AO$115))*Leverancer!BI$143/1000)</f>
        <v/>
      </c>
      <c r="AI143" s="114" t="str">
        <f ca="1">IF(AI$37="","",INDEX(Leverancer!BJ$1:BJ$1061,ROW()-ROW($Q$129) + ROW(Leverancer!$AO$115))*Leverancer!BJ$143/1000)</f>
        <v/>
      </c>
      <c r="AJ143" s="114" t="str">
        <f ca="1">IF(AJ$37="","",INDEX(Leverancer!BK$1:BK$1061,ROW()-ROW($Q$129) + ROW(Leverancer!$AO$115))*Leverancer!BK$143/1000)</f>
        <v/>
      </c>
      <c r="AK143" s="114" t="str">
        <f ca="1">IF(AK$37="","",INDEX(Leverancer!BL$1:BL$1061,ROW()-ROW($Q$129) + ROW(Leverancer!$AO$115))*Leverancer!BL$143/1000)</f>
        <v/>
      </c>
      <c r="AL143" s="114" t="str">
        <f ca="1">IF(AL$37="","",INDEX(Leverancer!BM$1:BM$1061,ROW()-ROW($Q$129) + ROW(Leverancer!$AO$115))*Leverancer!BM$143/1000)</f>
        <v/>
      </c>
      <c r="AM143" s="114" t="str">
        <f ca="1">IF(AM$37="","",INDEX(Leverancer!BN$1:BN$1061,ROW()-ROW($Q$129) + ROW(Leverancer!$AO$115))*Leverancer!BN$143/1000)</f>
        <v/>
      </c>
      <c r="AN143" s="114" t="str">
        <f ca="1">IF(AN$37="","",INDEX(Leverancer!BO$1:BO$1061,ROW()-ROW($Q$129) + ROW(Leverancer!$AO$115))*Leverancer!BO$143/1000)</f>
        <v/>
      </c>
      <c r="AO143" s="114" t="str">
        <f ca="1">IF(AO$37="","",INDEX(Leverancer!BP$1:BP$1061,ROW()-ROW($Q$129) + ROW(Leverancer!$AO$115))*Leverancer!BP$143/1000)</f>
        <v/>
      </c>
      <c r="AP143" s="114" t="str">
        <f ca="1">IF(AP$37="","",INDEX(Leverancer!BQ$1:BQ$1061,ROW()-ROW($Q$129) + ROW(Leverancer!$AO$115))*Leverancer!BQ$143/1000)</f>
        <v/>
      </c>
      <c r="AQ143" s="114" t="str">
        <f ca="1">IF(AQ$37="","",INDEX(Leverancer!BR$1:BR$1061,ROW()-ROW($Q$129) + ROW(Leverancer!$AO$115))*Leverancer!BR$143/1000)</f>
        <v/>
      </c>
      <c r="AR143" s="114" t="str">
        <f ca="1">IF(AR$37="","",INDEX(Leverancer!BS$1:BS$1061,ROW()-ROW($Q$129) + ROW(Leverancer!$AO$115))*Leverancer!BS$143/1000)</f>
        <v/>
      </c>
      <c r="AS143" s="114" t="str">
        <f ca="1">IF(AS$37="","",INDEX(Leverancer!BT$1:BT$1061,ROW()-ROW($Q$129) + ROW(Leverancer!$AO$115))*Leverancer!BT$143/1000)</f>
        <v/>
      </c>
      <c r="AT143" s="114" t="str">
        <f ca="1">IF(AT$37="","",INDEX(Leverancer!BU$1:BU$1061,ROW()-ROW($Q$129) + ROW(Leverancer!$AO$115))*Leverancer!BU$143/1000)</f>
        <v/>
      </c>
      <c r="AU143" s="114" t="str">
        <f ca="1">IF(AU$37="","",INDEX(Leverancer!BV$1:BV$1061,ROW()-ROW($Q$129) + ROW(Leverancer!$AO$115))*Leverancer!BV$143/1000)</f>
        <v/>
      </c>
      <c r="AV143" s="114" t="str">
        <f ca="1">IF(AV$37="","",INDEX(Leverancer!BW$1:BW$1061,ROW()-ROW($Q$129) + ROW(Leverancer!$AO$115))*Leverancer!BW$143/1000)</f>
        <v/>
      </c>
      <c r="AW143" s="114" t="str">
        <f ca="1">IF(AW$37="","",INDEX(Leverancer!BX$1:BX$1061,ROW()-ROW($Q$129) + ROW(Leverancer!$AO$115))*Leverancer!BX$143/1000)</f>
        <v/>
      </c>
      <c r="AX143" s="90"/>
      <c r="AY143" s="90"/>
      <c r="AZ143" s="87"/>
    </row>
    <row r="144" spans="14:52" ht="12.75" hidden="1" customHeight="1" outlineLevel="1" x14ac:dyDescent="0.2">
      <c r="N144" s="85"/>
      <c r="O144" s="90"/>
      <c r="P144" s="90"/>
      <c r="Q144" s="116" t="str">
        <f>INDEX(Leverancer!$AO$1:$AO$1061,ROW()-ROW($Q$130) + ROW(Leverancer!$AO$116))&amp;": "&amp;INDEX(Leverancer!$AP$1:$AP$1061,ROW()-ROW($Q$130) + ROW(Leverancer!$AO$116))</f>
        <v xml:space="preserve">D15: </v>
      </c>
      <c r="R144" s="118"/>
      <c r="S144" s="142">
        <f t="shared" ca="1" si="16"/>
        <v>0</v>
      </c>
      <c r="T144" s="114">
        <f ca="1">IF(T$37="","",INDEX(Leverancer!AU$1:AU$1061,ROW()-ROW($Q$129) + ROW(Leverancer!$AO$115))*Leverancer!AU$143/1000)</f>
        <v>0</v>
      </c>
      <c r="U144" s="114">
        <f ca="1">IF(U$37="","",INDEX(Leverancer!AV$1:AV$1061,ROW()-ROW($Q$129) + ROW(Leverancer!$AO$115))*Leverancer!AV$143/1000)</f>
        <v>0</v>
      </c>
      <c r="V144" s="114">
        <f ca="1">IF(V$37="","",INDEX(Leverancer!AW$1:AW$1061,ROW()-ROW($Q$129) + ROW(Leverancer!$AO$115))*Leverancer!AW$143/1000)</f>
        <v>0</v>
      </c>
      <c r="W144" s="114">
        <f ca="1">IF(W$37="","",INDEX(Leverancer!AX$1:AX$1061,ROW()-ROW($Q$129) + ROW(Leverancer!$AO$115))*Leverancer!AX$143/1000)</f>
        <v>0</v>
      </c>
      <c r="X144" s="114" t="str">
        <f ca="1">IF(X$37="","",INDEX(Leverancer!AY$1:AY$1061,ROW()-ROW($Q$129) + ROW(Leverancer!$AO$115))*Leverancer!AY$143/1000)</f>
        <v/>
      </c>
      <c r="Y144" s="114" t="str">
        <f ca="1">IF(Y$37="","",INDEX(Leverancer!AZ$1:AZ$1061,ROW()-ROW($Q$129) + ROW(Leverancer!$AO$115))*Leverancer!AZ$143/1000)</f>
        <v/>
      </c>
      <c r="Z144" s="114" t="str">
        <f ca="1">IF(Z$37="","",INDEX(Leverancer!BA$1:BA$1061,ROW()-ROW($Q$129) + ROW(Leverancer!$AO$115))*Leverancer!BA$143/1000)</f>
        <v/>
      </c>
      <c r="AA144" s="114" t="str">
        <f ca="1">IF(AA$37="","",INDEX(Leverancer!BB$1:BB$1061,ROW()-ROW($Q$129) + ROW(Leverancer!$AO$115))*Leverancer!BB$143/1000)</f>
        <v/>
      </c>
      <c r="AB144" s="114" t="str">
        <f ca="1">IF(AB$37="","",INDEX(Leverancer!BC$1:BC$1061,ROW()-ROW($Q$129) + ROW(Leverancer!$AO$115))*Leverancer!BC$143/1000)</f>
        <v/>
      </c>
      <c r="AC144" s="114" t="str">
        <f ca="1">IF(AC$37="","",INDEX(Leverancer!BD$1:BD$1061,ROW()-ROW($Q$129) + ROW(Leverancer!$AO$115))*Leverancer!BD$143/1000)</f>
        <v/>
      </c>
      <c r="AD144" s="114" t="str">
        <f ca="1">IF(AD$37="","",INDEX(Leverancer!BE$1:BE$1061,ROW()-ROW($Q$129) + ROW(Leverancer!$AO$115))*Leverancer!BE$143/1000)</f>
        <v/>
      </c>
      <c r="AE144" s="114" t="str">
        <f ca="1">IF(AE$37="","",INDEX(Leverancer!BF$1:BF$1061,ROW()-ROW($Q$129) + ROW(Leverancer!$AO$115))*Leverancer!BF$143/1000)</f>
        <v/>
      </c>
      <c r="AF144" s="114" t="str">
        <f ca="1">IF(AF$37="","",INDEX(Leverancer!BG$1:BG$1061,ROW()-ROW($Q$129) + ROW(Leverancer!$AO$115))*Leverancer!BG$143/1000)</f>
        <v/>
      </c>
      <c r="AG144" s="114" t="str">
        <f ca="1">IF(AG$37="","",INDEX(Leverancer!BH$1:BH$1061,ROW()-ROW($Q$129) + ROW(Leverancer!$AO$115))*Leverancer!BH$143/1000)</f>
        <v/>
      </c>
      <c r="AH144" s="114" t="str">
        <f ca="1">IF(AH$37="","",INDEX(Leverancer!BI$1:BI$1061,ROW()-ROW($Q$129) + ROW(Leverancer!$AO$115))*Leverancer!BI$143/1000)</f>
        <v/>
      </c>
      <c r="AI144" s="114" t="str">
        <f ca="1">IF(AI$37="","",INDEX(Leverancer!BJ$1:BJ$1061,ROW()-ROW($Q$129) + ROW(Leverancer!$AO$115))*Leverancer!BJ$143/1000)</f>
        <v/>
      </c>
      <c r="AJ144" s="114" t="str">
        <f ca="1">IF(AJ$37="","",INDEX(Leverancer!BK$1:BK$1061,ROW()-ROW($Q$129) + ROW(Leverancer!$AO$115))*Leverancer!BK$143/1000)</f>
        <v/>
      </c>
      <c r="AK144" s="114" t="str">
        <f ca="1">IF(AK$37="","",INDEX(Leverancer!BL$1:BL$1061,ROW()-ROW($Q$129) + ROW(Leverancer!$AO$115))*Leverancer!BL$143/1000)</f>
        <v/>
      </c>
      <c r="AL144" s="114" t="str">
        <f ca="1">IF(AL$37="","",INDEX(Leverancer!BM$1:BM$1061,ROW()-ROW($Q$129) + ROW(Leverancer!$AO$115))*Leverancer!BM$143/1000)</f>
        <v/>
      </c>
      <c r="AM144" s="114" t="str">
        <f ca="1">IF(AM$37="","",INDEX(Leverancer!BN$1:BN$1061,ROW()-ROW($Q$129) + ROW(Leverancer!$AO$115))*Leverancer!BN$143/1000)</f>
        <v/>
      </c>
      <c r="AN144" s="114" t="str">
        <f ca="1">IF(AN$37="","",INDEX(Leverancer!BO$1:BO$1061,ROW()-ROW($Q$129) + ROW(Leverancer!$AO$115))*Leverancer!BO$143/1000)</f>
        <v/>
      </c>
      <c r="AO144" s="114" t="str">
        <f ca="1">IF(AO$37="","",INDEX(Leverancer!BP$1:BP$1061,ROW()-ROW($Q$129) + ROW(Leverancer!$AO$115))*Leverancer!BP$143/1000)</f>
        <v/>
      </c>
      <c r="AP144" s="114" t="str">
        <f ca="1">IF(AP$37="","",INDEX(Leverancer!BQ$1:BQ$1061,ROW()-ROW($Q$129) + ROW(Leverancer!$AO$115))*Leverancer!BQ$143/1000)</f>
        <v/>
      </c>
      <c r="AQ144" s="114" t="str">
        <f ca="1">IF(AQ$37="","",INDEX(Leverancer!BR$1:BR$1061,ROW()-ROW($Q$129) + ROW(Leverancer!$AO$115))*Leverancer!BR$143/1000)</f>
        <v/>
      </c>
      <c r="AR144" s="114" t="str">
        <f ca="1">IF(AR$37="","",INDEX(Leverancer!BS$1:BS$1061,ROW()-ROW($Q$129) + ROW(Leverancer!$AO$115))*Leverancer!BS$143/1000)</f>
        <v/>
      </c>
      <c r="AS144" s="114" t="str">
        <f ca="1">IF(AS$37="","",INDEX(Leverancer!BT$1:BT$1061,ROW()-ROW($Q$129) + ROW(Leverancer!$AO$115))*Leverancer!BT$143/1000)</f>
        <v/>
      </c>
      <c r="AT144" s="114" t="str">
        <f ca="1">IF(AT$37="","",INDEX(Leverancer!BU$1:BU$1061,ROW()-ROW($Q$129) + ROW(Leverancer!$AO$115))*Leverancer!BU$143/1000)</f>
        <v/>
      </c>
      <c r="AU144" s="114" t="str">
        <f ca="1">IF(AU$37="","",INDEX(Leverancer!BV$1:BV$1061,ROW()-ROW($Q$129) + ROW(Leverancer!$AO$115))*Leverancer!BV$143/1000)</f>
        <v/>
      </c>
      <c r="AV144" s="114" t="str">
        <f ca="1">IF(AV$37="","",INDEX(Leverancer!BW$1:BW$1061,ROW()-ROW($Q$129) + ROW(Leverancer!$AO$115))*Leverancer!BW$143/1000)</f>
        <v/>
      </c>
      <c r="AW144" s="114" t="str">
        <f ca="1">IF(AW$37="","",INDEX(Leverancer!BX$1:BX$1061,ROW()-ROW($Q$129) + ROW(Leverancer!$AO$115))*Leverancer!BX$143/1000)</f>
        <v/>
      </c>
      <c r="AX144" s="90"/>
      <c r="AY144" s="90"/>
      <c r="AZ144" s="87"/>
    </row>
    <row r="145" spans="3:52" ht="12.75" hidden="1" customHeight="1" outlineLevel="1" x14ac:dyDescent="0.2">
      <c r="N145" s="85"/>
      <c r="O145" s="90"/>
      <c r="P145" s="90"/>
      <c r="Q145" s="116" t="str">
        <f>INDEX(Leverancer!$AO$1:$AO$1061,ROW()-ROW($Q$130) + ROW(Leverancer!$AO$116))&amp;": "&amp;INDEX(Leverancer!$AP$1:$AP$1061,ROW()-ROW($Q$130) + ROW(Leverancer!$AO$116))</f>
        <v xml:space="preserve">D16: </v>
      </c>
      <c r="R145" s="118"/>
      <c r="S145" s="142">
        <f t="shared" ca="1" si="16"/>
        <v>0</v>
      </c>
      <c r="T145" s="114">
        <f ca="1">IF(T$37="","",INDEX(Leverancer!AU$1:AU$1061,ROW()-ROW($Q$129) + ROW(Leverancer!$AO$115))*Leverancer!AU$143/1000)</f>
        <v>0</v>
      </c>
      <c r="U145" s="114">
        <f ca="1">IF(U$37="","",INDEX(Leverancer!AV$1:AV$1061,ROW()-ROW($Q$129) + ROW(Leverancer!$AO$115))*Leverancer!AV$143/1000)</f>
        <v>0</v>
      </c>
      <c r="V145" s="114">
        <f ca="1">IF(V$37="","",INDEX(Leverancer!AW$1:AW$1061,ROW()-ROW($Q$129) + ROW(Leverancer!$AO$115))*Leverancer!AW$143/1000)</f>
        <v>0</v>
      </c>
      <c r="W145" s="114">
        <f ca="1">IF(W$37="","",INDEX(Leverancer!AX$1:AX$1061,ROW()-ROW($Q$129) + ROW(Leverancer!$AO$115))*Leverancer!AX$143/1000)</f>
        <v>0</v>
      </c>
      <c r="X145" s="114" t="str">
        <f ca="1">IF(X$37="","",INDEX(Leverancer!AY$1:AY$1061,ROW()-ROW($Q$129) + ROW(Leverancer!$AO$115))*Leverancer!AY$143/1000)</f>
        <v/>
      </c>
      <c r="Y145" s="114" t="str">
        <f ca="1">IF(Y$37="","",INDEX(Leverancer!AZ$1:AZ$1061,ROW()-ROW($Q$129) + ROW(Leverancer!$AO$115))*Leverancer!AZ$143/1000)</f>
        <v/>
      </c>
      <c r="Z145" s="114" t="str">
        <f ca="1">IF(Z$37="","",INDEX(Leverancer!BA$1:BA$1061,ROW()-ROW($Q$129) + ROW(Leverancer!$AO$115))*Leverancer!BA$143/1000)</f>
        <v/>
      </c>
      <c r="AA145" s="114" t="str">
        <f ca="1">IF(AA$37="","",INDEX(Leverancer!BB$1:BB$1061,ROW()-ROW($Q$129) + ROW(Leverancer!$AO$115))*Leverancer!BB$143/1000)</f>
        <v/>
      </c>
      <c r="AB145" s="114" t="str">
        <f ca="1">IF(AB$37="","",INDEX(Leverancer!BC$1:BC$1061,ROW()-ROW($Q$129) + ROW(Leverancer!$AO$115))*Leverancer!BC$143/1000)</f>
        <v/>
      </c>
      <c r="AC145" s="114" t="str">
        <f ca="1">IF(AC$37="","",INDEX(Leverancer!BD$1:BD$1061,ROW()-ROW($Q$129) + ROW(Leverancer!$AO$115))*Leverancer!BD$143/1000)</f>
        <v/>
      </c>
      <c r="AD145" s="114" t="str">
        <f ca="1">IF(AD$37="","",INDEX(Leverancer!BE$1:BE$1061,ROW()-ROW($Q$129) + ROW(Leverancer!$AO$115))*Leverancer!BE$143/1000)</f>
        <v/>
      </c>
      <c r="AE145" s="114" t="str">
        <f ca="1">IF(AE$37="","",INDEX(Leverancer!BF$1:BF$1061,ROW()-ROW($Q$129) + ROW(Leverancer!$AO$115))*Leverancer!BF$143/1000)</f>
        <v/>
      </c>
      <c r="AF145" s="114" t="str">
        <f ca="1">IF(AF$37="","",INDEX(Leverancer!BG$1:BG$1061,ROW()-ROW($Q$129) + ROW(Leverancer!$AO$115))*Leverancer!BG$143/1000)</f>
        <v/>
      </c>
      <c r="AG145" s="114" t="str">
        <f ca="1">IF(AG$37="","",INDEX(Leverancer!BH$1:BH$1061,ROW()-ROW($Q$129) + ROW(Leverancer!$AO$115))*Leverancer!BH$143/1000)</f>
        <v/>
      </c>
      <c r="AH145" s="114" t="str">
        <f ca="1">IF(AH$37="","",INDEX(Leverancer!BI$1:BI$1061,ROW()-ROW($Q$129) + ROW(Leverancer!$AO$115))*Leverancer!BI$143/1000)</f>
        <v/>
      </c>
      <c r="AI145" s="114" t="str">
        <f ca="1">IF(AI$37="","",INDEX(Leverancer!BJ$1:BJ$1061,ROW()-ROW($Q$129) + ROW(Leverancer!$AO$115))*Leverancer!BJ$143/1000)</f>
        <v/>
      </c>
      <c r="AJ145" s="114" t="str">
        <f ca="1">IF(AJ$37="","",INDEX(Leverancer!BK$1:BK$1061,ROW()-ROW($Q$129) + ROW(Leverancer!$AO$115))*Leverancer!BK$143/1000)</f>
        <v/>
      </c>
      <c r="AK145" s="114" t="str">
        <f ca="1">IF(AK$37="","",INDEX(Leverancer!BL$1:BL$1061,ROW()-ROW($Q$129) + ROW(Leverancer!$AO$115))*Leverancer!BL$143/1000)</f>
        <v/>
      </c>
      <c r="AL145" s="114" t="str">
        <f ca="1">IF(AL$37="","",INDEX(Leverancer!BM$1:BM$1061,ROW()-ROW($Q$129) + ROW(Leverancer!$AO$115))*Leverancer!BM$143/1000)</f>
        <v/>
      </c>
      <c r="AM145" s="114" t="str">
        <f ca="1">IF(AM$37="","",INDEX(Leverancer!BN$1:BN$1061,ROW()-ROW($Q$129) + ROW(Leverancer!$AO$115))*Leverancer!BN$143/1000)</f>
        <v/>
      </c>
      <c r="AN145" s="114" t="str">
        <f ca="1">IF(AN$37="","",INDEX(Leverancer!BO$1:BO$1061,ROW()-ROW($Q$129) + ROW(Leverancer!$AO$115))*Leverancer!BO$143/1000)</f>
        <v/>
      </c>
      <c r="AO145" s="114" t="str">
        <f ca="1">IF(AO$37="","",INDEX(Leverancer!BP$1:BP$1061,ROW()-ROW($Q$129) + ROW(Leverancer!$AO$115))*Leverancer!BP$143/1000)</f>
        <v/>
      </c>
      <c r="AP145" s="114" t="str">
        <f ca="1">IF(AP$37="","",INDEX(Leverancer!BQ$1:BQ$1061,ROW()-ROW($Q$129) + ROW(Leverancer!$AO$115))*Leverancer!BQ$143/1000)</f>
        <v/>
      </c>
      <c r="AQ145" s="114" t="str">
        <f ca="1">IF(AQ$37="","",INDEX(Leverancer!BR$1:BR$1061,ROW()-ROW($Q$129) + ROW(Leverancer!$AO$115))*Leverancer!BR$143/1000)</f>
        <v/>
      </c>
      <c r="AR145" s="114" t="str">
        <f ca="1">IF(AR$37="","",INDEX(Leverancer!BS$1:BS$1061,ROW()-ROW($Q$129) + ROW(Leverancer!$AO$115))*Leverancer!BS$143/1000)</f>
        <v/>
      </c>
      <c r="AS145" s="114" t="str">
        <f ca="1">IF(AS$37="","",INDEX(Leverancer!BT$1:BT$1061,ROW()-ROW($Q$129) + ROW(Leverancer!$AO$115))*Leverancer!BT$143/1000)</f>
        <v/>
      </c>
      <c r="AT145" s="114" t="str">
        <f ca="1">IF(AT$37="","",INDEX(Leverancer!BU$1:BU$1061,ROW()-ROW($Q$129) + ROW(Leverancer!$AO$115))*Leverancer!BU$143/1000)</f>
        <v/>
      </c>
      <c r="AU145" s="114" t="str">
        <f ca="1">IF(AU$37="","",INDEX(Leverancer!BV$1:BV$1061,ROW()-ROW($Q$129) + ROW(Leverancer!$AO$115))*Leverancer!BV$143/1000)</f>
        <v/>
      </c>
      <c r="AV145" s="114" t="str">
        <f ca="1">IF(AV$37="","",INDEX(Leverancer!BW$1:BW$1061,ROW()-ROW($Q$129) + ROW(Leverancer!$AO$115))*Leverancer!BW$143/1000)</f>
        <v/>
      </c>
      <c r="AW145" s="114" t="str">
        <f ca="1">IF(AW$37="","",INDEX(Leverancer!BX$1:BX$1061,ROW()-ROW($Q$129) + ROW(Leverancer!$AO$115))*Leverancer!BX$143/1000)</f>
        <v/>
      </c>
      <c r="AX145" s="90"/>
      <c r="AY145" s="90"/>
      <c r="AZ145" s="87"/>
    </row>
    <row r="146" spans="3:52" ht="12.75" hidden="1" customHeight="1" outlineLevel="1" x14ac:dyDescent="0.2">
      <c r="N146" s="85"/>
      <c r="O146" s="90"/>
      <c r="P146" s="90"/>
      <c r="Q146" s="116" t="str">
        <f>INDEX(Leverancer!$AO$1:$AO$1061,ROW()-ROW($Q$130) + ROW(Leverancer!$AO$116))&amp;": "&amp;INDEX(Leverancer!$AP$1:$AP$1061,ROW()-ROW($Q$130) + ROW(Leverancer!$AO$116))</f>
        <v xml:space="preserve">D17: </v>
      </c>
      <c r="R146" s="114"/>
      <c r="S146" s="142">
        <f t="shared" ca="1" si="16"/>
        <v>0</v>
      </c>
      <c r="T146" s="114">
        <f ca="1">IF(T$37="","",INDEX(Leverancer!AU$1:AU$1061,ROW()-ROW($Q$129) + ROW(Leverancer!$AO$115))*Leverancer!AU$143/1000)</f>
        <v>0</v>
      </c>
      <c r="U146" s="114">
        <f ca="1">IF(U$37="","",INDEX(Leverancer!AV$1:AV$1061,ROW()-ROW($Q$129) + ROW(Leverancer!$AO$115))*Leverancer!AV$143/1000)</f>
        <v>0</v>
      </c>
      <c r="V146" s="114">
        <f ca="1">IF(V$37="","",INDEX(Leverancer!AW$1:AW$1061,ROW()-ROW($Q$129) + ROW(Leverancer!$AO$115))*Leverancer!AW$143/1000)</f>
        <v>0</v>
      </c>
      <c r="W146" s="114">
        <f ca="1">IF(W$37="","",INDEX(Leverancer!AX$1:AX$1061,ROW()-ROW($Q$129) + ROW(Leverancer!$AO$115))*Leverancer!AX$143/1000)</f>
        <v>0</v>
      </c>
      <c r="X146" s="114" t="str">
        <f ca="1">IF(X$37="","",INDEX(Leverancer!AY$1:AY$1061,ROW()-ROW($Q$129) + ROW(Leverancer!$AO$115))*Leverancer!AY$143/1000)</f>
        <v/>
      </c>
      <c r="Y146" s="114" t="str">
        <f ca="1">IF(Y$37="","",INDEX(Leverancer!AZ$1:AZ$1061,ROW()-ROW($Q$129) + ROW(Leverancer!$AO$115))*Leverancer!AZ$143/1000)</f>
        <v/>
      </c>
      <c r="Z146" s="114" t="str">
        <f ca="1">IF(Z$37="","",INDEX(Leverancer!BA$1:BA$1061,ROW()-ROW($Q$129) + ROW(Leverancer!$AO$115))*Leverancer!BA$143/1000)</f>
        <v/>
      </c>
      <c r="AA146" s="114" t="str">
        <f ca="1">IF(AA$37="","",INDEX(Leverancer!BB$1:BB$1061,ROW()-ROW($Q$129) + ROW(Leverancer!$AO$115))*Leverancer!BB$143/1000)</f>
        <v/>
      </c>
      <c r="AB146" s="114" t="str">
        <f ca="1">IF(AB$37="","",INDEX(Leverancer!BC$1:BC$1061,ROW()-ROW($Q$129) + ROW(Leverancer!$AO$115))*Leverancer!BC$143/1000)</f>
        <v/>
      </c>
      <c r="AC146" s="114" t="str">
        <f ca="1">IF(AC$37="","",INDEX(Leverancer!BD$1:BD$1061,ROW()-ROW($Q$129) + ROW(Leverancer!$AO$115))*Leverancer!BD$143/1000)</f>
        <v/>
      </c>
      <c r="AD146" s="114" t="str">
        <f ca="1">IF(AD$37="","",INDEX(Leverancer!BE$1:BE$1061,ROW()-ROW($Q$129) + ROW(Leverancer!$AO$115))*Leverancer!BE$143/1000)</f>
        <v/>
      </c>
      <c r="AE146" s="114" t="str">
        <f ca="1">IF(AE$37="","",INDEX(Leverancer!BF$1:BF$1061,ROW()-ROW($Q$129) + ROW(Leverancer!$AO$115))*Leverancer!BF$143/1000)</f>
        <v/>
      </c>
      <c r="AF146" s="114" t="str">
        <f ca="1">IF(AF$37="","",INDEX(Leverancer!BG$1:BG$1061,ROW()-ROW($Q$129) + ROW(Leverancer!$AO$115))*Leverancer!BG$143/1000)</f>
        <v/>
      </c>
      <c r="AG146" s="114" t="str">
        <f ca="1">IF(AG$37="","",INDEX(Leverancer!BH$1:BH$1061,ROW()-ROW($Q$129) + ROW(Leverancer!$AO$115))*Leverancer!BH$143/1000)</f>
        <v/>
      </c>
      <c r="AH146" s="114" t="str">
        <f ca="1">IF(AH$37="","",INDEX(Leverancer!BI$1:BI$1061,ROW()-ROW($Q$129) + ROW(Leverancer!$AO$115))*Leverancer!BI$143/1000)</f>
        <v/>
      </c>
      <c r="AI146" s="114" t="str">
        <f ca="1">IF(AI$37="","",INDEX(Leverancer!BJ$1:BJ$1061,ROW()-ROW($Q$129) + ROW(Leverancer!$AO$115))*Leverancer!BJ$143/1000)</f>
        <v/>
      </c>
      <c r="AJ146" s="114" t="str">
        <f ca="1">IF(AJ$37="","",INDEX(Leverancer!BK$1:BK$1061,ROW()-ROW($Q$129) + ROW(Leverancer!$AO$115))*Leverancer!BK$143/1000)</f>
        <v/>
      </c>
      <c r="AK146" s="114" t="str">
        <f ca="1">IF(AK$37="","",INDEX(Leverancer!BL$1:BL$1061,ROW()-ROW($Q$129) + ROW(Leverancer!$AO$115))*Leverancer!BL$143/1000)</f>
        <v/>
      </c>
      <c r="AL146" s="114" t="str">
        <f ca="1">IF(AL$37="","",INDEX(Leverancer!BM$1:BM$1061,ROW()-ROW($Q$129) + ROW(Leverancer!$AO$115))*Leverancer!BM$143/1000)</f>
        <v/>
      </c>
      <c r="AM146" s="114" t="str">
        <f ca="1">IF(AM$37="","",INDEX(Leverancer!BN$1:BN$1061,ROW()-ROW($Q$129) + ROW(Leverancer!$AO$115))*Leverancer!BN$143/1000)</f>
        <v/>
      </c>
      <c r="AN146" s="114" t="str">
        <f ca="1">IF(AN$37="","",INDEX(Leverancer!BO$1:BO$1061,ROW()-ROW($Q$129) + ROW(Leverancer!$AO$115))*Leverancer!BO$143/1000)</f>
        <v/>
      </c>
      <c r="AO146" s="114" t="str">
        <f ca="1">IF(AO$37="","",INDEX(Leverancer!BP$1:BP$1061,ROW()-ROW($Q$129) + ROW(Leverancer!$AO$115))*Leverancer!BP$143/1000)</f>
        <v/>
      </c>
      <c r="AP146" s="114" t="str">
        <f ca="1">IF(AP$37="","",INDEX(Leverancer!BQ$1:BQ$1061,ROW()-ROW($Q$129) + ROW(Leverancer!$AO$115))*Leverancer!BQ$143/1000)</f>
        <v/>
      </c>
      <c r="AQ146" s="114" t="str">
        <f ca="1">IF(AQ$37="","",INDEX(Leverancer!BR$1:BR$1061,ROW()-ROW($Q$129) + ROW(Leverancer!$AO$115))*Leverancer!BR$143/1000)</f>
        <v/>
      </c>
      <c r="AR146" s="114" t="str">
        <f ca="1">IF(AR$37="","",INDEX(Leverancer!BS$1:BS$1061,ROW()-ROW($Q$129) + ROW(Leverancer!$AO$115))*Leverancer!BS$143/1000)</f>
        <v/>
      </c>
      <c r="AS146" s="114" t="str">
        <f ca="1">IF(AS$37="","",INDEX(Leverancer!BT$1:BT$1061,ROW()-ROW($Q$129) + ROW(Leverancer!$AO$115))*Leverancer!BT$143/1000)</f>
        <v/>
      </c>
      <c r="AT146" s="114" t="str">
        <f ca="1">IF(AT$37="","",INDEX(Leverancer!BU$1:BU$1061,ROW()-ROW($Q$129) + ROW(Leverancer!$AO$115))*Leverancer!BU$143/1000)</f>
        <v/>
      </c>
      <c r="AU146" s="114" t="str">
        <f ca="1">IF(AU$37="","",INDEX(Leverancer!BV$1:BV$1061,ROW()-ROW($Q$129) + ROW(Leverancer!$AO$115))*Leverancer!BV$143/1000)</f>
        <v/>
      </c>
      <c r="AV146" s="114" t="str">
        <f ca="1">IF(AV$37="","",INDEX(Leverancer!BW$1:BW$1061,ROW()-ROW($Q$129) + ROW(Leverancer!$AO$115))*Leverancer!BW$143/1000)</f>
        <v/>
      </c>
      <c r="AW146" s="114" t="str">
        <f ca="1">IF(AW$37="","",INDEX(Leverancer!BX$1:BX$1061,ROW()-ROW($Q$129) + ROW(Leverancer!$AO$115))*Leverancer!BX$143/1000)</f>
        <v/>
      </c>
      <c r="AX146" s="90"/>
      <c r="AY146" s="90"/>
      <c r="AZ146" s="87"/>
    </row>
    <row r="147" spans="3:52" ht="12.75" hidden="1" customHeight="1" outlineLevel="1" x14ac:dyDescent="0.2">
      <c r="N147" s="85"/>
      <c r="O147" s="90"/>
      <c r="P147" s="90"/>
      <c r="Q147" s="116" t="str">
        <f>INDEX(Leverancer!$AO$1:$AO$1061,ROW()-ROW($Q$130) + ROW(Leverancer!$AO$116))&amp;": "&amp;INDEX(Leverancer!$AP$1:$AP$1061,ROW()-ROW($Q$130) + ROW(Leverancer!$AO$116))</f>
        <v xml:space="preserve">D18: </v>
      </c>
      <c r="R147" s="114"/>
      <c r="S147" s="142">
        <f t="shared" ca="1" si="16"/>
        <v>0</v>
      </c>
      <c r="T147" s="114">
        <f ca="1">IF(T$37="","",INDEX(Leverancer!AU$1:AU$1061,ROW()-ROW($Q$129) + ROW(Leverancer!$AO$115))*Leverancer!AU$143/1000)</f>
        <v>0</v>
      </c>
      <c r="U147" s="114">
        <f ca="1">IF(U$37="","",INDEX(Leverancer!AV$1:AV$1061,ROW()-ROW($Q$129) + ROW(Leverancer!$AO$115))*Leverancer!AV$143/1000)</f>
        <v>0</v>
      </c>
      <c r="V147" s="114">
        <f ca="1">IF(V$37="","",INDEX(Leverancer!AW$1:AW$1061,ROW()-ROW($Q$129) + ROW(Leverancer!$AO$115))*Leverancer!AW$143/1000)</f>
        <v>0</v>
      </c>
      <c r="W147" s="114">
        <f ca="1">IF(W$37="","",INDEX(Leverancer!AX$1:AX$1061,ROW()-ROW($Q$129) + ROW(Leverancer!$AO$115))*Leverancer!AX$143/1000)</f>
        <v>0</v>
      </c>
      <c r="X147" s="114" t="str">
        <f ca="1">IF(X$37="","",INDEX(Leverancer!AY$1:AY$1061,ROW()-ROW($Q$129) + ROW(Leverancer!$AO$115))*Leverancer!AY$143/1000)</f>
        <v/>
      </c>
      <c r="Y147" s="114" t="str">
        <f ca="1">IF(Y$37="","",INDEX(Leverancer!AZ$1:AZ$1061,ROW()-ROW($Q$129) + ROW(Leverancer!$AO$115))*Leverancer!AZ$143/1000)</f>
        <v/>
      </c>
      <c r="Z147" s="114" t="str">
        <f ca="1">IF(Z$37="","",INDEX(Leverancer!BA$1:BA$1061,ROW()-ROW($Q$129) + ROW(Leverancer!$AO$115))*Leverancer!BA$143/1000)</f>
        <v/>
      </c>
      <c r="AA147" s="114" t="str">
        <f ca="1">IF(AA$37="","",INDEX(Leverancer!BB$1:BB$1061,ROW()-ROW($Q$129) + ROW(Leverancer!$AO$115))*Leverancer!BB$143/1000)</f>
        <v/>
      </c>
      <c r="AB147" s="114" t="str">
        <f ca="1">IF(AB$37="","",INDEX(Leverancer!BC$1:BC$1061,ROW()-ROW($Q$129) + ROW(Leverancer!$AO$115))*Leverancer!BC$143/1000)</f>
        <v/>
      </c>
      <c r="AC147" s="114" t="str">
        <f ca="1">IF(AC$37="","",INDEX(Leverancer!BD$1:BD$1061,ROW()-ROW($Q$129) + ROW(Leverancer!$AO$115))*Leverancer!BD$143/1000)</f>
        <v/>
      </c>
      <c r="AD147" s="114" t="str">
        <f ca="1">IF(AD$37="","",INDEX(Leverancer!BE$1:BE$1061,ROW()-ROW($Q$129) + ROW(Leverancer!$AO$115))*Leverancer!BE$143/1000)</f>
        <v/>
      </c>
      <c r="AE147" s="114" t="str">
        <f ca="1">IF(AE$37="","",INDEX(Leverancer!BF$1:BF$1061,ROW()-ROW($Q$129) + ROW(Leverancer!$AO$115))*Leverancer!BF$143/1000)</f>
        <v/>
      </c>
      <c r="AF147" s="114" t="str">
        <f ca="1">IF(AF$37="","",INDEX(Leverancer!BG$1:BG$1061,ROW()-ROW($Q$129) + ROW(Leverancer!$AO$115))*Leverancer!BG$143/1000)</f>
        <v/>
      </c>
      <c r="AG147" s="114" t="str">
        <f ca="1">IF(AG$37="","",INDEX(Leverancer!BH$1:BH$1061,ROW()-ROW($Q$129) + ROW(Leverancer!$AO$115))*Leverancer!BH$143/1000)</f>
        <v/>
      </c>
      <c r="AH147" s="114" t="str">
        <f ca="1">IF(AH$37="","",INDEX(Leverancer!BI$1:BI$1061,ROW()-ROW($Q$129) + ROW(Leverancer!$AO$115))*Leverancer!BI$143/1000)</f>
        <v/>
      </c>
      <c r="AI147" s="114" t="str">
        <f ca="1">IF(AI$37="","",INDEX(Leverancer!BJ$1:BJ$1061,ROW()-ROW($Q$129) + ROW(Leverancer!$AO$115))*Leverancer!BJ$143/1000)</f>
        <v/>
      </c>
      <c r="AJ147" s="114" t="str">
        <f ca="1">IF(AJ$37="","",INDEX(Leverancer!BK$1:BK$1061,ROW()-ROW($Q$129) + ROW(Leverancer!$AO$115))*Leverancer!BK$143/1000)</f>
        <v/>
      </c>
      <c r="AK147" s="114" t="str">
        <f ca="1">IF(AK$37="","",INDEX(Leverancer!BL$1:BL$1061,ROW()-ROW($Q$129) + ROW(Leverancer!$AO$115))*Leverancer!BL$143/1000)</f>
        <v/>
      </c>
      <c r="AL147" s="114" t="str">
        <f ca="1">IF(AL$37="","",INDEX(Leverancer!BM$1:BM$1061,ROW()-ROW($Q$129) + ROW(Leverancer!$AO$115))*Leverancer!BM$143/1000)</f>
        <v/>
      </c>
      <c r="AM147" s="114" t="str">
        <f ca="1">IF(AM$37="","",INDEX(Leverancer!BN$1:BN$1061,ROW()-ROW($Q$129) + ROW(Leverancer!$AO$115))*Leverancer!BN$143/1000)</f>
        <v/>
      </c>
      <c r="AN147" s="114" t="str">
        <f ca="1">IF(AN$37="","",INDEX(Leverancer!BO$1:BO$1061,ROW()-ROW($Q$129) + ROW(Leverancer!$AO$115))*Leverancer!BO$143/1000)</f>
        <v/>
      </c>
      <c r="AO147" s="114" t="str">
        <f ca="1">IF(AO$37="","",INDEX(Leverancer!BP$1:BP$1061,ROW()-ROW($Q$129) + ROW(Leverancer!$AO$115))*Leverancer!BP$143/1000)</f>
        <v/>
      </c>
      <c r="AP147" s="114" t="str">
        <f ca="1">IF(AP$37="","",INDEX(Leverancer!BQ$1:BQ$1061,ROW()-ROW($Q$129) + ROW(Leverancer!$AO$115))*Leverancer!BQ$143/1000)</f>
        <v/>
      </c>
      <c r="AQ147" s="114" t="str">
        <f ca="1">IF(AQ$37="","",INDEX(Leverancer!BR$1:BR$1061,ROW()-ROW($Q$129) + ROW(Leverancer!$AO$115))*Leverancer!BR$143/1000)</f>
        <v/>
      </c>
      <c r="AR147" s="114" t="str">
        <f ca="1">IF(AR$37="","",INDEX(Leverancer!BS$1:BS$1061,ROW()-ROW($Q$129) + ROW(Leverancer!$AO$115))*Leverancer!BS$143/1000)</f>
        <v/>
      </c>
      <c r="AS147" s="114" t="str">
        <f ca="1">IF(AS$37="","",INDEX(Leverancer!BT$1:BT$1061,ROW()-ROW($Q$129) + ROW(Leverancer!$AO$115))*Leverancer!BT$143/1000)</f>
        <v/>
      </c>
      <c r="AT147" s="114" t="str">
        <f ca="1">IF(AT$37="","",INDEX(Leverancer!BU$1:BU$1061,ROW()-ROW($Q$129) + ROW(Leverancer!$AO$115))*Leverancer!BU$143/1000)</f>
        <v/>
      </c>
      <c r="AU147" s="114" t="str">
        <f ca="1">IF(AU$37="","",INDEX(Leverancer!BV$1:BV$1061,ROW()-ROW($Q$129) + ROW(Leverancer!$AO$115))*Leverancer!BV$143/1000)</f>
        <v/>
      </c>
      <c r="AV147" s="114" t="str">
        <f ca="1">IF(AV$37="","",INDEX(Leverancer!BW$1:BW$1061,ROW()-ROW($Q$129) + ROW(Leverancer!$AO$115))*Leverancer!BW$143/1000)</f>
        <v/>
      </c>
      <c r="AW147" s="114" t="str">
        <f ca="1">IF(AW$37="","",INDEX(Leverancer!BX$1:BX$1061,ROW()-ROW($Q$129) + ROW(Leverancer!$AO$115))*Leverancer!BX$143/1000)</f>
        <v/>
      </c>
      <c r="AX147" s="90"/>
      <c r="AY147" s="90"/>
      <c r="AZ147" s="87"/>
    </row>
    <row r="148" spans="3:52" ht="12.75" hidden="1" customHeight="1" outlineLevel="1" x14ac:dyDescent="0.2">
      <c r="N148" s="85"/>
      <c r="O148" s="90"/>
      <c r="P148" s="90"/>
      <c r="Q148" s="116" t="str">
        <f>INDEX(Leverancer!$AO$1:$AO$1061,ROW()-ROW($Q$130) + ROW(Leverancer!$AO$116))&amp;": "&amp;INDEX(Leverancer!$AP$1:$AP$1061,ROW()-ROW($Q$130) + ROW(Leverancer!$AO$116))</f>
        <v xml:space="preserve">D19: </v>
      </c>
      <c r="R148" s="114"/>
      <c r="S148" s="142">
        <f t="shared" ca="1" si="16"/>
        <v>0</v>
      </c>
      <c r="T148" s="114">
        <f ca="1">IF(T$37="","",INDEX(Leverancer!AU$1:AU$1061,ROW()-ROW($Q$129) + ROW(Leverancer!$AO$115))*Leverancer!AU$143/1000)</f>
        <v>0</v>
      </c>
      <c r="U148" s="114">
        <f ca="1">IF(U$37="","",INDEX(Leverancer!AV$1:AV$1061,ROW()-ROW($Q$129) + ROW(Leverancer!$AO$115))*Leverancer!AV$143/1000)</f>
        <v>0</v>
      </c>
      <c r="V148" s="114">
        <f ca="1">IF(V$37="","",INDEX(Leverancer!AW$1:AW$1061,ROW()-ROW($Q$129) + ROW(Leverancer!$AO$115))*Leverancer!AW$143/1000)</f>
        <v>0</v>
      </c>
      <c r="W148" s="114">
        <f ca="1">IF(W$37="","",INDEX(Leverancer!AX$1:AX$1061,ROW()-ROW($Q$129) + ROW(Leverancer!$AO$115))*Leverancer!AX$143/1000)</f>
        <v>0</v>
      </c>
      <c r="X148" s="114" t="str">
        <f ca="1">IF(X$37="","",INDEX(Leverancer!AY$1:AY$1061,ROW()-ROW($Q$129) + ROW(Leverancer!$AO$115))*Leverancer!AY$143/1000)</f>
        <v/>
      </c>
      <c r="Y148" s="114" t="str">
        <f ca="1">IF(Y$37="","",INDEX(Leverancer!AZ$1:AZ$1061,ROW()-ROW($Q$129) + ROW(Leverancer!$AO$115))*Leverancer!AZ$143/1000)</f>
        <v/>
      </c>
      <c r="Z148" s="114" t="str">
        <f ca="1">IF(Z$37="","",INDEX(Leverancer!BA$1:BA$1061,ROW()-ROW($Q$129) + ROW(Leverancer!$AO$115))*Leverancer!BA$143/1000)</f>
        <v/>
      </c>
      <c r="AA148" s="114" t="str">
        <f ca="1">IF(AA$37="","",INDEX(Leverancer!BB$1:BB$1061,ROW()-ROW($Q$129) + ROW(Leverancer!$AO$115))*Leverancer!BB$143/1000)</f>
        <v/>
      </c>
      <c r="AB148" s="114" t="str">
        <f ca="1">IF(AB$37="","",INDEX(Leverancer!BC$1:BC$1061,ROW()-ROW($Q$129) + ROW(Leverancer!$AO$115))*Leverancer!BC$143/1000)</f>
        <v/>
      </c>
      <c r="AC148" s="114" t="str">
        <f ca="1">IF(AC$37="","",INDEX(Leverancer!BD$1:BD$1061,ROW()-ROW($Q$129) + ROW(Leverancer!$AO$115))*Leverancer!BD$143/1000)</f>
        <v/>
      </c>
      <c r="AD148" s="114" t="str">
        <f ca="1">IF(AD$37="","",INDEX(Leverancer!BE$1:BE$1061,ROW()-ROW($Q$129) + ROW(Leverancer!$AO$115))*Leverancer!BE$143/1000)</f>
        <v/>
      </c>
      <c r="AE148" s="114" t="str">
        <f ca="1">IF(AE$37="","",INDEX(Leverancer!BF$1:BF$1061,ROW()-ROW($Q$129) + ROW(Leverancer!$AO$115))*Leverancer!BF$143/1000)</f>
        <v/>
      </c>
      <c r="AF148" s="114" t="str">
        <f ca="1">IF(AF$37="","",INDEX(Leverancer!BG$1:BG$1061,ROW()-ROW($Q$129) + ROW(Leverancer!$AO$115))*Leverancer!BG$143/1000)</f>
        <v/>
      </c>
      <c r="AG148" s="114" t="str">
        <f ca="1">IF(AG$37="","",INDEX(Leverancer!BH$1:BH$1061,ROW()-ROW($Q$129) + ROW(Leverancer!$AO$115))*Leverancer!BH$143/1000)</f>
        <v/>
      </c>
      <c r="AH148" s="114" t="str">
        <f ca="1">IF(AH$37="","",INDEX(Leverancer!BI$1:BI$1061,ROW()-ROW($Q$129) + ROW(Leverancer!$AO$115))*Leverancer!BI$143/1000)</f>
        <v/>
      </c>
      <c r="AI148" s="114" t="str">
        <f ca="1">IF(AI$37="","",INDEX(Leverancer!BJ$1:BJ$1061,ROW()-ROW($Q$129) + ROW(Leverancer!$AO$115))*Leverancer!BJ$143/1000)</f>
        <v/>
      </c>
      <c r="AJ148" s="114" t="str">
        <f ca="1">IF(AJ$37="","",INDEX(Leverancer!BK$1:BK$1061,ROW()-ROW($Q$129) + ROW(Leverancer!$AO$115))*Leverancer!BK$143/1000)</f>
        <v/>
      </c>
      <c r="AK148" s="114" t="str">
        <f ca="1">IF(AK$37="","",INDEX(Leverancer!BL$1:BL$1061,ROW()-ROW($Q$129) + ROW(Leverancer!$AO$115))*Leverancer!BL$143/1000)</f>
        <v/>
      </c>
      <c r="AL148" s="114" t="str">
        <f ca="1">IF(AL$37="","",INDEX(Leverancer!BM$1:BM$1061,ROW()-ROW($Q$129) + ROW(Leverancer!$AO$115))*Leverancer!BM$143/1000)</f>
        <v/>
      </c>
      <c r="AM148" s="114" t="str">
        <f ca="1">IF(AM$37="","",INDEX(Leverancer!BN$1:BN$1061,ROW()-ROW($Q$129) + ROW(Leverancer!$AO$115))*Leverancer!BN$143/1000)</f>
        <v/>
      </c>
      <c r="AN148" s="114" t="str">
        <f ca="1">IF(AN$37="","",INDEX(Leverancer!BO$1:BO$1061,ROW()-ROW($Q$129) + ROW(Leverancer!$AO$115))*Leverancer!BO$143/1000)</f>
        <v/>
      </c>
      <c r="AO148" s="114" t="str">
        <f ca="1">IF(AO$37="","",INDEX(Leverancer!BP$1:BP$1061,ROW()-ROW($Q$129) + ROW(Leverancer!$AO$115))*Leverancer!BP$143/1000)</f>
        <v/>
      </c>
      <c r="AP148" s="114" t="str">
        <f ca="1">IF(AP$37="","",INDEX(Leverancer!BQ$1:BQ$1061,ROW()-ROW($Q$129) + ROW(Leverancer!$AO$115))*Leverancer!BQ$143/1000)</f>
        <v/>
      </c>
      <c r="AQ148" s="114" t="str">
        <f ca="1">IF(AQ$37="","",INDEX(Leverancer!BR$1:BR$1061,ROW()-ROW($Q$129) + ROW(Leverancer!$AO$115))*Leverancer!BR$143/1000)</f>
        <v/>
      </c>
      <c r="AR148" s="114" t="str">
        <f ca="1">IF(AR$37="","",INDEX(Leverancer!BS$1:BS$1061,ROW()-ROW($Q$129) + ROW(Leverancer!$AO$115))*Leverancer!BS$143/1000)</f>
        <v/>
      </c>
      <c r="AS148" s="114" t="str">
        <f ca="1">IF(AS$37="","",INDEX(Leverancer!BT$1:BT$1061,ROW()-ROW($Q$129) + ROW(Leverancer!$AO$115))*Leverancer!BT$143/1000)</f>
        <v/>
      </c>
      <c r="AT148" s="114" t="str">
        <f ca="1">IF(AT$37="","",INDEX(Leverancer!BU$1:BU$1061,ROW()-ROW($Q$129) + ROW(Leverancer!$AO$115))*Leverancer!BU$143/1000)</f>
        <v/>
      </c>
      <c r="AU148" s="114" t="str">
        <f ca="1">IF(AU$37="","",INDEX(Leverancer!BV$1:BV$1061,ROW()-ROW($Q$129) + ROW(Leverancer!$AO$115))*Leverancer!BV$143/1000)</f>
        <v/>
      </c>
      <c r="AV148" s="114" t="str">
        <f ca="1">IF(AV$37="","",INDEX(Leverancer!BW$1:BW$1061,ROW()-ROW($Q$129) + ROW(Leverancer!$AO$115))*Leverancer!BW$143/1000)</f>
        <v/>
      </c>
      <c r="AW148" s="114" t="str">
        <f ca="1">IF(AW$37="","",INDEX(Leverancer!BX$1:BX$1061,ROW()-ROW($Q$129) + ROW(Leverancer!$AO$115))*Leverancer!BX$143/1000)</f>
        <v/>
      </c>
      <c r="AX148" s="90"/>
      <c r="AY148" s="90"/>
      <c r="AZ148" s="87"/>
    </row>
    <row r="149" spans="3:52" ht="12.75" hidden="1" customHeight="1" outlineLevel="1" x14ac:dyDescent="0.2">
      <c r="N149" s="85"/>
      <c r="O149" s="90"/>
      <c r="P149" s="90"/>
      <c r="Q149" s="116" t="str">
        <f>INDEX(Leverancer!$AO$1:$AO$1061,ROW()-ROW($Q$130) + ROW(Leverancer!$AO$116))&amp;": "&amp;INDEX(Leverancer!$AP$1:$AP$1061,ROW()-ROW($Q$130) + ROW(Leverancer!$AO$116))</f>
        <v xml:space="preserve">D20: </v>
      </c>
      <c r="R149" s="114"/>
      <c r="S149" s="142">
        <f t="shared" ca="1" si="16"/>
        <v>0</v>
      </c>
      <c r="T149" s="114">
        <f ca="1">IF(T$37="","",INDEX(Leverancer!AU$1:AU$1061,ROW()-ROW($Q$129) + ROW(Leverancer!$AO$115))*Leverancer!AU$143/1000)</f>
        <v>0</v>
      </c>
      <c r="U149" s="114">
        <f ca="1">IF(U$37="","",INDEX(Leverancer!AV$1:AV$1061,ROW()-ROW($Q$129) + ROW(Leverancer!$AO$115))*Leverancer!AV$143/1000)</f>
        <v>0</v>
      </c>
      <c r="V149" s="114">
        <f ca="1">IF(V$37="","",INDEX(Leverancer!AW$1:AW$1061,ROW()-ROW($Q$129) + ROW(Leverancer!$AO$115))*Leverancer!AW$143/1000)</f>
        <v>0</v>
      </c>
      <c r="W149" s="114">
        <f ca="1">IF(W$37="","",INDEX(Leverancer!AX$1:AX$1061,ROW()-ROW($Q$129) + ROW(Leverancer!$AO$115))*Leverancer!AX$143/1000)</f>
        <v>0</v>
      </c>
      <c r="X149" s="114" t="str">
        <f ca="1">IF(X$37="","",INDEX(Leverancer!AY$1:AY$1061,ROW()-ROW($Q$129) + ROW(Leverancer!$AO$115))*Leverancer!AY$143/1000)</f>
        <v/>
      </c>
      <c r="Y149" s="114" t="str">
        <f ca="1">IF(Y$37="","",INDEX(Leverancer!AZ$1:AZ$1061,ROW()-ROW($Q$129) + ROW(Leverancer!$AO$115))*Leverancer!AZ$143/1000)</f>
        <v/>
      </c>
      <c r="Z149" s="114" t="str">
        <f ca="1">IF(Z$37="","",INDEX(Leverancer!BA$1:BA$1061,ROW()-ROW($Q$129) + ROW(Leverancer!$AO$115))*Leverancer!BA$143/1000)</f>
        <v/>
      </c>
      <c r="AA149" s="114" t="str">
        <f ca="1">IF(AA$37="","",INDEX(Leverancer!BB$1:BB$1061,ROW()-ROW($Q$129) + ROW(Leverancer!$AO$115))*Leverancer!BB$143/1000)</f>
        <v/>
      </c>
      <c r="AB149" s="114" t="str">
        <f ca="1">IF(AB$37="","",INDEX(Leverancer!BC$1:BC$1061,ROW()-ROW($Q$129) + ROW(Leverancer!$AO$115))*Leverancer!BC$143/1000)</f>
        <v/>
      </c>
      <c r="AC149" s="114" t="str">
        <f ca="1">IF(AC$37="","",INDEX(Leverancer!BD$1:BD$1061,ROW()-ROW($Q$129) + ROW(Leverancer!$AO$115))*Leverancer!BD$143/1000)</f>
        <v/>
      </c>
      <c r="AD149" s="114" t="str">
        <f ca="1">IF(AD$37="","",INDEX(Leverancer!BE$1:BE$1061,ROW()-ROW($Q$129) + ROW(Leverancer!$AO$115))*Leverancer!BE$143/1000)</f>
        <v/>
      </c>
      <c r="AE149" s="114" t="str">
        <f ca="1">IF(AE$37="","",INDEX(Leverancer!BF$1:BF$1061,ROW()-ROW($Q$129) + ROW(Leverancer!$AO$115))*Leverancer!BF$143/1000)</f>
        <v/>
      </c>
      <c r="AF149" s="114" t="str">
        <f ca="1">IF(AF$37="","",INDEX(Leverancer!BG$1:BG$1061,ROW()-ROW($Q$129) + ROW(Leverancer!$AO$115))*Leverancer!BG$143/1000)</f>
        <v/>
      </c>
      <c r="AG149" s="114" t="str">
        <f ca="1">IF(AG$37="","",INDEX(Leverancer!BH$1:BH$1061,ROW()-ROW($Q$129) + ROW(Leverancer!$AO$115))*Leverancer!BH$143/1000)</f>
        <v/>
      </c>
      <c r="AH149" s="114" t="str">
        <f ca="1">IF(AH$37="","",INDEX(Leverancer!BI$1:BI$1061,ROW()-ROW($Q$129) + ROW(Leverancer!$AO$115))*Leverancer!BI$143/1000)</f>
        <v/>
      </c>
      <c r="AI149" s="114" t="str">
        <f ca="1">IF(AI$37="","",INDEX(Leverancer!BJ$1:BJ$1061,ROW()-ROW($Q$129) + ROW(Leverancer!$AO$115))*Leverancer!BJ$143/1000)</f>
        <v/>
      </c>
      <c r="AJ149" s="114" t="str">
        <f ca="1">IF(AJ$37="","",INDEX(Leverancer!BK$1:BK$1061,ROW()-ROW($Q$129) + ROW(Leverancer!$AO$115))*Leverancer!BK$143/1000)</f>
        <v/>
      </c>
      <c r="AK149" s="114" t="str">
        <f ca="1">IF(AK$37="","",INDEX(Leverancer!BL$1:BL$1061,ROW()-ROW($Q$129) + ROW(Leverancer!$AO$115))*Leverancer!BL$143/1000)</f>
        <v/>
      </c>
      <c r="AL149" s="114" t="str">
        <f ca="1">IF(AL$37="","",INDEX(Leverancer!BM$1:BM$1061,ROW()-ROW($Q$129) + ROW(Leverancer!$AO$115))*Leverancer!BM$143/1000)</f>
        <v/>
      </c>
      <c r="AM149" s="114" t="str">
        <f ca="1">IF(AM$37="","",INDEX(Leverancer!BN$1:BN$1061,ROW()-ROW($Q$129) + ROW(Leverancer!$AO$115))*Leverancer!BN$143/1000)</f>
        <v/>
      </c>
      <c r="AN149" s="114" t="str">
        <f ca="1">IF(AN$37="","",INDEX(Leverancer!BO$1:BO$1061,ROW()-ROW($Q$129) + ROW(Leverancer!$AO$115))*Leverancer!BO$143/1000)</f>
        <v/>
      </c>
      <c r="AO149" s="114" t="str">
        <f ca="1">IF(AO$37="","",INDEX(Leverancer!BP$1:BP$1061,ROW()-ROW($Q$129) + ROW(Leverancer!$AO$115))*Leverancer!BP$143/1000)</f>
        <v/>
      </c>
      <c r="AP149" s="114" t="str">
        <f ca="1">IF(AP$37="","",INDEX(Leverancer!BQ$1:BQ$1061,ROW()-ROW($Q$129) + ROW(Leverancer!$AO$115))*Leverancer!BQ$143/1000)</f>
        <v/>
      </c>
      <c r="AQ149" s="114" t="str">
        <f ca="1">IF(AQ$37="","",INDEX(Leverancer!BR$1:BR$1061,ROW()-ROW($Q$129) + ROW(Leverancer!$AO$115))*Leverancer!BR$143/1000)</f>
        <v/>
      </c>
      <c r="AR149" s="114" t="str">
        <f ca="1">IF(AR$37="","",INDEX(Leverancer!BS$1:BS$1061,ROW()-ROW($Q$129) + ROW(Leverancer!$AO$115))*Leverancer!BS$143/1000)</f>
        <v/>
      </c>
      <c r="AS149" s="114" t="str">
        <f ca="1">IF(AS$37="","",INDEX(Leverancer!BT$1:BT$1061,ROW()-ROW($Q$129) + ROW(Leverancer!$AO$115))*Leverancer!BT$143/1000)</f>
        <v/>
      </c>
      <c r="AT149" s="114" t="str">
        <f ca="1">IF(AT$37="","",INDEX(Leverancer!BU$1:BU$1061,ROW()-ROW($Q$129) + ROW(Leverancer!$AO$115))*Leverancer!BU$143/1000)</f>
        <v/>
      </c>
      <c r="AU149" s="114" t="str">
        <f ca="1">IF(AU$37="","",INDEX(Leverancer!BV$1:BV$1061,ROW()-ROW($Q$129) + ROW(Leverancer!$AO$115))*Leverancer!BV$143/1000)</f>
        <v/>
      </c>
      <c r="AV149" s="114" t="str">
        <f ca="1">IF(AV$37="","",INDEX(Leverancer!BW$1:BW$1061,ROW()-ROW($Q$129) + ROW(Leverancer!$AO$115))*Leverancer!BW$143/1000)</f>
        <v/>
      </c>
      <c r="AW149" s="114" t="str">
        <f ca="1">IF(AW$37="","",INDEX(Leverancer!BX$1:BX$1061,ROW()-ROW($Q$129) + ROW(Leverancer!$AO$115))*Leverancer!BX$143/1000)</f>
        <v/>
      </c>
      <c r="AX149" s="90"/>
      <c r="AY149" s="90"/>
      <c r="AZ149" s="87"/>
    </row>
    <row r="150" spans="3:52" ht="12.75" customHeight="1" collapsed="1" x14ac:dyDescent="0.2">
      <c r="N150" s="85"/>
      <c r="O150" s="90"/>
      <c r="P150" s="90"/>
      <c r="Q150" s="140" t="str">
        <f>INDEX(g_lang_val,MATCH("le_2_2",g_lang_key,0))</f>
        <v xml:space="preserve">Total </v>
      </c>
      <c r="R150" s="139"/>
      <c r="S150" s="119">
        <f ca="1">SUM(T150:BG150)</f>
        <v>0</v>
      </c>
      <c r="T150" s="139">
        <f ca="1">IF(T$37="","",SUM(T130:T149))</f>
        <v>0</v>
      </c>
      <c r="U150" s="139">
        <f t="shared" ref="U150:Z150" ca="1" si="17">IF(U$37="","",SUM(U130:U149))</f>
        <v>0</v>
      </c>
      <c r="V150" s="139">
        <f t="shared" ca="1" si="17"/>
        <v>0</v>
      </c>
      <c r="W150" s="139">
        <f t="shared" ca="1" si="17"/>
        <v>0</v>
      </c>
      <c r="X150" s="139" t="str">
        <f t="shared" ca="1" si="17"/>
        <v/>
      </c>
      <c r="Y150" s="139" t="str">
        <f t="shared" ca="1" si="17"/>
        <v/>
      </c>
      <c r="Z150" s="139" t="str">
        <f t="shared" ca="1" si="17"/>
        <v/>
      </c>
      <c r="AA150" s="139" t="str">
        <f t="shared" ref="AA150:AW150" ca="1" si="18">IF(AA$37="","",SUM(AA130:AA149))</f>
        <v/>
      </c>
      <c r="AB150" s="139" t="str">
        <f t="shared" ca="1" si="18"/>
        <v/>
      </c>
      <c r="AC150" s="139" t="str">
        <f t="shared" ca="1" si="18"/>
        <v/>
      </c>
      <c r="AD150" s="139" t="str">
        <f t="shared" ca="1" si="18"/>
        <v/>
      </c>
      <c r="AE150" s="139" t="str">
        <f t="shared" ca="1" si="18"/>
        <v/>
      </c>
      <c r="AF150" s="139" t="str">
        <f t="shared" ca="1" si="18"/>
        <v/>
      </c>
      <c r="AG150" s="139" t="str">
        <f t="shared" ca="1" si="18"/>
        <v/>
      </c>
      <c r="AH150" s="139" t="str">
        <f t="shared" ca="1" si="18"/>
        <v/>
      </c>
      <c r="AI150" s="139" t="str">
        <f t="shared" ca="1" si="18"/>
        <v/>
      </c>
      <c r="AJ150" s="139" t="str">
        <f t="shared" ca="1" si="18"/>
        <v/>
      </c>
      <c r="AK150" s="139" t="str">
        <f t="shared" ca="1" si="18"/>
        <v/>
      </c>
      <c r="AL150" s="139" t="str">
        <f t="shared" ca="1" si="18"/>
        <v/>
      </c>
      <c r="AM150" s="139" t="str">
        <f t="shared" ca="1" si="18"/>
        <v/>
      </c>
      <c r="AN150" s="139" t="str">
        <f t="shared" ca="1" si="18"/>
        <v/>
      </c>
      <c r="AO150" s="139" t="str">
        <f t="shared" ca="1" si="18"/>
        <v/>
      </c>
      <c r="AP150" s="139" t="str">
        <f t="shared" ca="1" si="18"/>
        <v/>
      </c>
      <c r="AQ150" s="139" t="str">
        <f t="shared" ca="1" si="18"/>
        <v/>
      </c>
      <c r="AR150" s="139" t="str">
        <f t="shared" ca="1" si="18"/>
        <v/>
      </c>
      <c r="AS150" s="139" t="str">
        <f t="shared" ca="1" si="18"/>
        <v/>
      </c>
      <c r="AT150" s="139" t="str">
        <f t="shared" ca="1" si="18"/>
        <v/>
      </c>
      <c r="AU150" s="139" t="str">
        <f t="shared" ca="1" si="18"/>
        <v/>
      </c>
      <c r="AV150" s="139" t="str">
        <f t="shared" ca="1" si="18"/>
        <v/>
      </c>
      <c r="AW150" s="139" t="str">
        <f t="shared" ca="1" si="18"/>
        <v/>
      </c>
      <c r="AX150" s="90"/>
      <c r="AY150" s="90"/>
      <c r="AZ150" s="87"/>
    </row>
    <row r="151" spans="3:52" ht="12.75" customHeight="1" x14ac:dyDescent="0.2">
      <c r="N151" s="85"/>
      <c r="O151" s="102"/>
      <c r="P151" s="102"/>
      <c r="Q151" s="102"/>
      <c r="R151" s="102"/>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02"/>
      <c r="AY151" s="102"/>
      <c r="AZ151" s="87"/>
    </row>
    <row r="152" spans="3:52" ht="25.5" customHeight="1" thickBot="1" x14ac:dyDescent="0.25">
      <c r="N152" s="104"/>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5"/>
      <c r="AS152" s="105"/>
      <c r="AT152" s="105"/>
      <c r="AU152" s="105"/>
      <c r="AV152" s="105"/>
      <c r="AW152" s="105"/>
      <c r="AX152" s="105"/>
      <c r="AY152" s="105"/>
      <c r="AZ152" s="106"/>
    </row>
    <row r="153" spans="3:52" ht="32.25" customHeight="1" thickTop="1" x14ac:dyDescent="0.2">
      <c r="N153" s="181"/>
      <c r="O153" s="182" t="str">
        <f>INDEX(g_lang_val,MATCH("tb_2_4",g_lang_key,0))</f>
        <v>Afskrivningsprofiler</v>
      </c>
      <c r="P153" s="182"/>
      <c r="Q153" s="182"/>
      <c r="R153" s="182"/>
      <c r="S153" s="182"/>
      <c r="T153" s="182"/>
      <c r="U153" s="182"/>
      <c r="V153" s="182"/>
      <c r="W153" s="182"/>
      <c r="X153" s="182"/>
      <c r="Y153" s="182"/>
      <c r="Z153" s="182"/>
      <c r="AA153" s="182"/>
      <c r="AB153" s="182"/>
      <c r="AC153" s="182"/>
      <c r="AD153" s="182"/>
      <c r="AE153" s="182"/>
      <c r="AF153" s="182"/>
      <c r="AG153" s="182"/>
      <c r="AH153" s="182"/>
      <c r="AI153" s="182"/>
      <c r="AJ153" s="182"/>
      <c r="AK153" s="182"/>
      <c r="AL153" s="182"/>
      <c r="AM153" s="182"/>
      <c r="AN153" s="182"/>
      <c r="AO153" s="182"/>
      <c r="AP153" s="182"/>
      <c r="AQ153" s="182"/>
      <c r="AR153" s="182"/>
      <c r="AS153" s="182"/>
      <c r="AT153" s="182"/>
      <c r="AU153" s="182"/>
      <c r="AV153" s="182"/>
      <c r="AW153" s="182"/>
      <c r="AX153" s="182"/>
      <c r="AY153" s="182"/>
      <c r="AZ153" s="183"/>
    </row>
    <row r="154" spans="3:52" ht="12.75" customHeight="1" x14ac:dyDescent="0.2">
      <c r="N154" s="85"/>
      <c r="O154" s="86"/>
      <c r="P154" s="86"/>
      <c r="Q154" s="86"/>
      <c r="R154" s="86"/>
      <c r="S154" s="86"/>
      <c r="T154" s="86"/>
      <c r="U154" s="86"/>
      <c r="V154" s="86"/>
      <c r="W154" s="86"/>
      <c r="X154" s="86"/>
      <c r="Y154" s="86"/>
      <c r="Z154" s="86"/>
      <c r="AA154" s="86"/>
      <c r="AB154" s="86"/>
      <c r="AC154" s="86"/>
      <c r="AD154" s="86"/>
      <c r="AE154" s="86"/>
      <c r="AF154" s="86"/>
      <c r="AG154" s="86"/>
      <c r="AH154" s="86"/>
      <c r="AI154" s="86"/>
      <c r="AJ154" s="86"/>
      <c r="AK154" s="86"/>
      <c r="AL154" s="86"/>
      <c r="AM154" s="86"/>
      <c r="AN154" s="86"/>
      <c r="AO154" s="86"/>
      <c r="AP154" s="86"/>
      <c r="AQ154" s="86"/>
      <c r="AR154" s="86"/>
      <c r="AS154" s="86"/>
      <c r="AT154" s="86"/>
      <c r="AU154" s="86"/>
      <c r="AV154" s="86"/>
      <c r="AW154" s="86"/>
      <c r="AX154" s="86"/>
      <c r="AY154" s="86"/>
      <c r="AZ154" s="87"/>
    </row>
    <row r="155" spans="3:52" ht="22.9" customHeight="1" x14ac:dyDescent="0.2">
      <c r="N155" s="85"/>
      <c r="O155" s="88"/>
      <c r="P155" s="88"/>
      <c r="Q155" s="107" t="str">
        <f>INDEX(g_lang_val,MATCH("tb_1_1",g_lang_key,0)) &amp; " 6"</f>
        <v>Tabel 6</v>
      </c>
      <c r="R155" s="88"/>
      <c r="S155" s="88"/>
      <c r="T155" s="88"/>
      <c r="U155" s="88"/>
      <c r="V155" s="88"/>
      <c r="W155" s="88"/>
      <c r="X155" s="88"/>
      <c r="Y155" s="88"/>
      <c r="Z155" s="88"/>
      <c r="AA155" s="88"/>
      <c r="AB155" s="88"/>
      <c r="AC155" s="88"/>
      <c r="AD155" s="88"/>
      <c r="AE155" s="88"/>
      <c r="AF155" s="88"/>
      <c r="AG155" s="88"/>
      <c r="AH155" s="88"/>
      <c r="AI155" s="88"/>
      <c r="AJ155" s="88"/>
      <c r="AK155" s="88"/>
      <c r="AL155" s="88" t="s">
        <v>117</v>
      </c>
      <c r="AM155" s="88"/>
      <c r="AN155" s="88"/>
      <c r="AO155" s="88"/>
      <c r="AP155" s="88"/>
      <c r="AQ155" s="88"/>
      <c r="AR155" s="88"/>
      <c r="AS155" s="88"/>
      <c r="AT155" s="88"/>
      <c r="AU155" s="88"/>
      <c r="AV155" s="88"/>
      <c r="AW155" s="88"/>
      <c r="AX155" s="88"/>
      <c r="AY155" s="88"/>
      <c r="AZ155" s="87"/>
    </row>
    <row r="156" spans="3:52" ht="31.15" customHeight="1" x14ac:dyDescent="0.2">
      <c r="N156" s="85"/>
      <c r="O156" s="90"/>
      <c r="P156" s="90"/>
      <c r="Q156" s="108" t="str">
        <f>INDEX(g_lang_val,MATCH("tb_2_4",g_lang_key,0))</f>
        <v>Afskrivningsprofiler</v>
      </c>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87"/>
    </row>
    <row r="157" spans="3:52" ht="12.75" customHeight="1" thickBot="1" x14ac:dyDescent="0.25">
      <c r="N157" s="85"/>
      <c r="O157" s="90"/>
      <c r="P157" s="90"/>
      <c r="Q157" s="93" t="str">
        <f ca="1">INDEX(g_lang_val,MATCH("tb_1_1_1_1",g_lang_key,0)) &amp;g_reporting_year&amp;INDEX(g_lang_val,MATCH("tb_1_1_1_2",g_lang_key,0))</f>
        <v>Mio. kr. 2026-pl</v>
      </c>
      <c r="R157" s="109"/>
      <c r="S157" s="94" t="str">
        <f>INDEX(g_lang_val,MATCH("le_2_2",g_lang_key,0))</f>
        <v xml:space="preserve">Total </v>
      </c>
      <c r="T157" s="110">
        <f ca="1">Leverancer!AU114</f>
        <v>2026</v>
      </c>
      <c r="U157" s="110">
        <f ca="1">Leverancer!AV114</f>
        <v>2027</v>
      </c>
      <c r="V157" s="110">
        <f ca="1">Leverancer!AW114</f>
        <v>2028</v>
      </c>
      <c r="W157" s="110">
        <f ca="1">Leverancer!AX114</f>
        <v>2029</v>
      </c>
      <c r="X157" s="110" t="str">
        <f ca="1">Leverancer!AY114</f>
        <v/>
      </c>
      <c r="Y157" s="110" t="str">
        <f ca="1">Leverancer!AZ114</f>
        <v/>
      </c>
      <c r="Z157" s="110" t="str">
        <f ca="1">Leverancer!BA114</f>
        <v/>
      </c>
      <c r="AA157" s="110" t="str">
        <f ca="1">Leverancer!BB114</f>
        <v/>
      </c>
      <c r="AB157" s="110" t="str">
        <f ca="1">Leverancer!BC114</f>
        <v/>
      </c>
      <c r="AC157" s="110" t="str">
        <f ca="1">Leverancer!BD114</f>
        <v/>
      </c>
      <c r="AD157" s="110" t="str">
        <f ca="1">Leverancer!BE114</f>
        <v/>
      </c>
      <c r="AE157" s="110" t="str">
        <f ca="1">Leverancer!BF114</f>
        <v/>
      </c>
      <c r="AF157" s="110" t="str">
        <f ca="1">Leverancer!BG114</f>
        <v/>
      </c>
      <c r="AG157" s="110" t="str">
        <f ca="1">Leverancer!BH114</f>
        <v/>
      </c>
      <c r="AH157" s="110" t="str">
        <f ca="1">Leverancer!BI114</f>
        <v/>
      </c>
      <c r="AI157" s="110" t="str">
        <f ca="1">Leverancer!BJ114</f>
        <v/>
      </c>
      <c r="AJ157" s="110" t="str">
        <f ca="1">Leverancer!BK114</f>
        <v/>
      </c>
      <c r="AK157" s="110" t="str">
        <f ca="1">Leverancer!BL114</f>
        <v/>
      </c>
      <c r="AL157" s="110" t="str">
        <f ca="1">Leverancer!BM114</f>
        <v/>
      </c>
      <c r="AM157" s="110" t="str">
        <f ca="1">Leverancer!BN114</f>
        <v/>
      </c>
      <c r="AN157" s="110" t="str">
        <f ca="1">Leverancer!BO114</f>
        <v/>
      </c>
      <c r="AO157" s="110" t="str">
        <f ca="1">Leverancer!BP114</f>
        <v/>
      </c>
      <c r="AP157" s="110" t="str">
        <f ca="1">Leverancer!BQ114</f>
        <v/>
      </c>
      <c r="AQ157" s="110" t="str">
        <f ca="1">Leverancer!BR114</f>
        <v/>
      </c>
      <c r="AR157" s="110" t="str">
        <f ca="1">Leverancer!BS114</f>
        <v/>
      </c>
      <c r="AS157" s="110" t="str">
        <f ca="1">Leverancer!BT114</f>
        <v/>
      </c>
      <c r="AT157" s="110" t="str">
        <f ca="1">Leverancer!BU114</f>
        <v/>
      </c>
      <c r="AU157" s="110" t="str">
        <f ca="1">Leverancer!BV114</f>
        <v/>
      </c>
      <c r="AV157" s="110" t="str">
        <f ca="1">Leverancer!BW114</f>
        <v/>
      </c>
      <c r="AW157" s="110" t="str">
        <f ca="1">Leverancer!BX114</f>
        <v/>
      </c>
      <c r="AX157" s="90"/>
      <c r="AY157" s="90"/>
      <c r="AZ157" s="87"/>
    </row>
    <row r="158" spans="3:52" ht="12.75" customHeight="1" thickTop="1" x14ac:dyDescent="0.2">
      <c r="N158" s="85"/>
      <c r="O158" s="90"/>
      <c r="P158" s="90"/>
      <c r="Q158" s="118" t="str">
        <f>INDEX(g_assets_sc_1,3)</f>
        <v/>
      </c>
      <c r="R158" s="118"/>
      <c r="S158" s="113"/>
      <c r="T158" s="125">
        <f ca="1">T$157</f>
        <v>2026</v>
      </c>
      <c r="U158" s="125">
        <f t="shared" ref="U158:AW158" ca="1" si="19">U$157</f>
        <v>2027</v>
      </c>
      <c r="V158" s="125">
        <f t="shared" ca="1" si="19"/>
        <v>2028</v>
      </c>
      <c r="W158" s="125">
        <f ca="1">W$157</f>
        <v>2029</v>
      </c>
      <c r="X158" s="125" t="str">
        <f t="shared" ca="1" si="19"/>
        <v/>
      </c>
      <c r="Y158" s="125" t="str">
        <f t="shared" ca="1" si="19"/>
        <v/>
      </c>
      <c r="Z158" s="125" t="str">
        <f t="shared" ca="1" si="19"/>
        <v/>
      </c>
      <c r="AA158" s="125" t="str">
        <f t="shared" ca="1" si="19"/>
        <v/>
      </c>
      <c r="AB158" s="125" t="str">
        <f t="shared" ca="1" si="19"/>
        <v/>
      </c>
      <c r="AC158" s="125" t="str">
        <f t="shared" ca="1" si="19"/>
        <v/>
      </c>
      <c r="AD158" s="125" t="str">
        <f t="shared" ca="1" si="19"/>
        <v/>
      </c>
      <c r="AE158" s="125" t="str">
        <f t="shared" ca="1" si="19"/>
        <v/>
      </c>
      <c r="AF158" s="125" t="str">
        <f t="shared" ca="1" si="19"/>
        <v/>
      </c>
      <c r="AG158" s="125" t="str">
        <f t="shared" ca="1" si="19"/>
        <v/>
      </c>
      <c r="AH158" s="125" t="str">
        <f t="shared" ca="1" si="19"/>
        <v/>
      </c>
      <c r="AI158" s="125" t="str">
        <f t="shared" ca="1" si="19"/>
        <v/>
      </c>
      <c r="AJ158" s="125" t="str">
        <f t="shared" ca="1" si="19"/>
        <v/>
      </c>
      <c r="AK158" s="125" t="str">
        <f t="shared" ca="1" si="19"/>
        <v/>
      </c>
      <c r="AL158" s="125" t="str">
        <f t="shared" ca="1" si="19"/>
        <v/>
      </c>
      <c r="AM158" s="125" t="str">
        <f t="shared" ca="1" si="19"/>
        <v/>
      </c>
      <c r="AN158" s="125" t="str">
        <f t="shared" ca="1" si="19"/>
        <v/>
      </c>
      <c r="AO158" s="125" t="str">
        <f t="shared" ca="1" si="19"/>
        <v/>
      </c>
      <c r="AP158" s="125" t="str">
        <f t="shared" ca="1" si="19"/>
        <v/>
      </c>
      <c r="AQ158" s="125" t="str">
        <f t="shared" ca="1" si="19"/>
        <v/>
      </c>
      <c r="AR158" s="125" t="str">
        <f t="shared" ca="1" si="19"/>
        <v/>
      </c>
      <c r="AS158" s="125" t="str">
        <f t="shared" ca="1" si="19"/>
        <v/>
      </c>
      <c r="AT158" s="125" t="str">
        <f t="shared" ca="1" si="19"/>
        <v/>
      </c>
      <c r="AU158" s="125" t="str">
        <f t="shared" ca="1" si="19"/>
        <v/>
      </c>
      <c r="AV158" s="125" t="str">
        <f t="shared" ca="1" si="19"/>
        <v/>
      </c>
      <c r="AW158" s="125" t="str">
        <f t="shared" ca="1" si="19"/>
        <v/>
      </c>
      <c r="AX158" s="90"/>
      <c r="AY158" s="90"/>
      <c r="AZ158" s="87"/>
    </row>
    <row r="159" spans="3:52" ht="12.75" customHeight="1" x14ac:dyDescent="0.2">
      <c r="C159" s="126">
        <f>INDEX(g_sc_1_assets_dates,G159)</f>
        <v>0</v>
      </c>
      <c r="G159" s="127">
        <v>1</v>
      </c>
      <c r="N159" s="85"/>
      <c r="O159" s="90"/>
      <c r="P159" s="90"/>
      <c r="Q159" s="115" t="str">
        <f>INDEX(g_lang_val,MATCH("tb_2_4_1",g_lang_key,0))</f>
        <v>Køb af anlægsaktiver</v>
      </c>
      <c r="R159" s="116"/>
      <c r="S159" s="119">
        <f ca="1">SUM(T159:BG159)</f>
        <v>0</v>
      </c>
      <c r="T159" s="199">
        <f ca="1">IF(T158="","",SUMPRODUCT(--(Leverancer!$C$28:$C$88=($G159+2)),Leverancer!D$28:D$88)/1000)</f>
        <v>0</v>
      </c>
      <c r="U159" s="114">
        <f ca="1">IF(U158="","",SUMPRODUCT(--(Leverancer!$C$28:$C$88=($G159+2)),Leverancer!E$28:E$88)/1000)</f>
        <v>0</v>
      </c>
      <c r="V159" s="114">
        <f ca="1">IF(V158="","",SUMPRODUCT(--(Leverancer!$C$28:$C$88=($G159+2)),Leverancer!F$28:F$88)/1000)</f>
        <v>0</v>
      </c>
      <c r="W159" s="114">
        <f ca="1">IF(W158="","",SUMPRODUCT(--(Leverancer!$C$28:$C$88=($G159+2)),Leverancer!G$28:G$88)/1000)</f>
        <v>0</v>
      </c>
      <c r="X159" s="114" t="str">
        <f ca="1">IF(X158="","",SUMPRODUCT(--(Leverancer!$C$28:$C$88=($G159+2)),Leverancer!H$28:H$88)/1000)</f>
        <v/>
      </c>
      <c r="Y159" s="114" t="str">
        <f ca="1">IF(Y158="","",SUMPRODUCT(--(Leverancer!$C$28:$C$88=($G159+2)),Leverancer!I$28:I$88)/1000)</f>
        <v/>
      </c>
      <c r="Z159" s="114" t="str">
        <f ca="1">IF(Z158="","",SUMPRODUCT(--(Leverancer!$C$28:$C$88=($G159+2)),Leverancer!J$28:J$88)/1000)</f>
        <v/>
      </c>
      <c r="AA159" s="114" t="str">
        <f ca="1">IF(AA158="","",SUMPRODUCT(--(Leverancer!$C$28:$C$88=($G159+2)),Leverancer!K$28:K$88)/1000)</f>
        <v/>
      </c>
      <c r="AB159" s="114" t="str">
        <f ca="1">IF(AB158="","",SUMPRODUCT(--(Leverancer!$C$28:$C$88=($G159+2)),Leverancer!L$28:L$88)/1000)</f>
        <v/>
      </c>
      <c r="AC159" s="114" t="str">
        <f ca="1">IF(AC158="","",SUMPRODUCT(--(Leverancer!$C$28:$C$88=($G159+2)),Leverancer!M$28:M$88)/1000)</f>
        <v/>
      </c>
      <c r="AD159" s="114" t="str">
        <f ca="1">IF(AD158="","",SUMPRODUCT(--(Leverancer!$C$28:$C$88=($G159+2)),Leverancer!N$28:N$88)/1000)</f>
        <v/>
      </c>
      <c r="AE159" s="114" t="str">
        <f ca="1">IF(AE158="","",SUMPRODUCT(--(Leverancer!$C$28:$C$88=($G159+2)),Leverancer!O$28:O$88)/1000)</f>
        <v/>
      </c>
      <c r="AF159" s="114" t="str">
        <f ca="1">IF(AF158="","",SUMPRODUCT(--(Leverancer!$C$28:$C$88=($G159+2)),Leverancer!P$28:P$88)/1000)</f>
        <v/>
      </c>
      <c r="AG159" s="114" t="str">
        <f ca="1">IF(AG158="","",SUMPRODUCT(--(Leverancer!$C$28:$C$88=($G159+2)),Leverancer!Q$28:Q$88)/1000)</f>
        <v/>
      </c>
      <c r="AH159" s="114" t="str">
        <f ca="1">IF(AH158="","",SUMPRODUCT(--(Leverancer!$C$28:$C$88=($G159+2)),Leverancer!R$28:R$88)/1000)</f>
        <v/>
      </c>
      <c r="AI159" s="114" t="str">
        <f ca="1">IF(AI158="","",SUMPRODUCT(--(Leverancer!$C$28:$C$88=($G159+2)),Leverancer!S$28:S$88)/1000)</f>
        <v/>
      </c>
      <c r="AJ159" s="114" t="str">
        <f ca="1">IF(AJ158="","",SUMPRODUCT(--(Leverancer!$C$28:$C$88=($G159+2)),Leverancer!T$28:T$88)/1000)</f>
        <v/>
      </c>
      <c r="AK159" s="114" t="str">
        <f ca="1">IF(AK158="","",SUMPRODUCT(--(Leverancer!$C$28:$C$88=($G159+2)),Leverancer!U$28:U$88)/1000)</f>
        <v/>
      </c>
      <c r="AL159" s="114" t="str">
        <f ca="1">IF(AL158="","",SUMPRODUCT(--(Leverancer!$C$28:$C$88=($G159+2)),Leverancer!V$28:V$88)/1000)</f>
        <v/>
      </c>
      <c r="AM159" s="114" t="str">
        <f ca="1">IF(AM158="","",SUMPRODUCT(--(Leverancer!$C$28:$C$88=($G159+2)),Leverancer!W$28:W$88)/1000)</f>
        <v/>
      </c>
      <c r="AN159" s="114" t="str">
        <f ca="1">IF(AN158="","",SUMPRODUCT(--(Leverancer!$C$28:$C$88=($G159+2)),Leverancer!X$28:X$88)/1000)</f>
        <v/>
      </c>
      <c r="AO159" s="114" t="str">
        <f ca="1">IF(AO158="","",SUMPRODUCT(--(Leverancer!$C$28:$C$88=($G159+2)),Leverancer!Y$28:Y$88)/1000)</f>
        <v/>
      </c>
      <c r="AP159" s="114" t="str">
        <f ca="1">IF(AP158="","",SUMPRODUCT(--(Leverancer!$C$28:$C$88=($G159+2)),Leverancer!Z$28:Z$88)/1000)</f>
        <v/>
      </c>
      <c r="AQ159" s="114" t="str">
        <f ca="1">IF(AQ158="","",SUMPRODUCT(--(Leverancer!$C$28:$C$88=($G159+2)),Leverancer!AA$28:AA$88)/1000)</f>
        <v/>
      </c>
      <c r="AR159" s="114" t="str">
        <f ca="1">IF(AR158="","",SUMPRODUCT(--(Leverancer!$C$28:$C$88=($G159+2)),Leverancer!AB$28:AB$88)/1000)</f>
        <v/>
      </c>
      <c r="AS159" s="114" t="str">
        <f ca="1">IF(AS158="","",SUMPRODUCT(--(Leverancer!$C$28:$C$88=($G159+2)),Leverancer!AC$28:AC$88)/1000)</f>
        <v/>
      </c>
      <c r="AT159" s="114" t="str">
        <f ca="1">IF(AT158="","",SUMPRODUCT(--(Leverancer!$C$28:$C$88=($G159+2)),Leverancer!AD$28:AD$88)/1000)</f>
        <v/>
      </c>
      <c r="AU159" s="114" t="str">
        <f ca="1">IF(AU158="","",SUMPRODUCT(--(Leverancer!$C$28:$C$88=($G159+2)),Leverancer!AE$28:AE$88)/1000)</f>
        <v/>
      </c>
      <c r="AV159" s="114" t="str">
        <f ca="1">IF(AV158="","",SUMPRODUCT(--(Leverancer!$C$28:$C$88=($G159+2)),Leverancer!AF$28:AF$88)/1000)</f>
        <v/>
      </c>
      <c r="AW159" s="114" t="str">
        <f ca="1">IF(AW158="","",SUMPRODUCT(--(Leverancer!$C$28:$C$88=($G159+2)),Leverancer!AG$28:AG$88)/1000)</f>
        <v/>
      </c>
      <c r="AX159" s="90"/>
      <c r="AY159" s="90"/>
      <c r="AZ159" s="87"/>
    </row>
    <row r="160" spans="3:52" ht="12.75" customHeight="1" x14ac:dyDescent="0.2">
      <c r="C160" s="128">
        <f>IFERROR(YEAR(C159),"")</f>
        <v>1900</v>
      </c>
      <c r="D160" s="128">
        <f>IFERROR(MONTH(C159),"")</f>
        <v>1</v>
      </c>
      <c r="E160" s="128">
        <f>INDEX(g_sc_1_assets_years,G159)</f>
        <v>0</v>
      </c>
      <c r="N160" s="85"/>
      <c r="O160" s="90"/>
      <c r="P160" s="90"/>
      <c r="Q160" s="115" t="str">
        <f>INDEX(g_lang_val,MATCH("tb_2_4_2",g_lang_key,0))</f>
        <v>Afskrivninger</v>
      </c>
      <c r="R160" s="116"/>
      <c r="S160" s="119">
        <f ca="1">SUM(T160:BG160)</f>
        <v>0</v>
      </c>
      <c r="T160" s="199">
        <f t="shared" ref="T160:Y160" ca="1" si="20">IF(T158="","",IF(T158&lt;$C160,0,IF(T158=$C160,T159/$C161*$E161+S161/$C161*$E161,IF(AND(T158&gt;$C160,T158&lt;ROUNDDOWN(($C160+($D160+$C161-1)/12),0)),(T159/2+S161)/($C161-$E161-12*(T158-$C160-1))*12,IF(AND($D161&lt;0,T158=ROUNDDOWN(($C160+($D160+$C161-1)/12),0)),S161+T159,IF(T158=ROUNDDOWN(($C160+($D160+$C161-1)/12),0),(T159+S161)/$C161*($D161+(T158-$C160-1)*12+$E161),IF(T158&gt;ROUNDDOWN(($C160+($D160+$C161)/12),0),0,0)))))))</f>
        <v>0</v>
      </c>
      <c r="U160" s="199">
        <f ca="1">IF(U158="","",IF(U158&lt;$C160,0,IF(U158=$C160,U159/$C161*$E161+T161/$C161*$E161,IF(AND(U158&gt;$C160,U158&lt;ROUNDDOWN(($C160+($D160+$C161-1)/12),0)),(U159/2+T161)/($C161-$E161-12*(U158-$C160-1))*12,IF(AND($D161&lt;0,U158=ROUNDDOWN(($C160+($D160+$C161-1)/12),0)),T161+U159,IF(U158=ROUNDDOWN(($C160+($D160+$C161-1)/12),0),(U159+T161)/$C161*($D161+(U158-$C160-1)*12+$E161),IF(U158&gt;ROUNDDOWN(($C160+($D160+$C161)/12),0),0,0)))))))</f>
        <v>0</v>
      </c>
      <c r="V160" s="114">
        <f t="shared" ca="1" si="20"/>
        <v>0</v>
      </c>
      <c r="W160" s="114">
        <f t="shared" ca="1" si="20"/>
        <v>0</v>
      </c>
      <c r="X160" s="114" t="str">
        <f t="shared" ca="1" si="20"/>
        <v/>
      </c>
      <c r="Y160" s="114" t="str">
        <f t="shared" ca="1" si="20"/>
        <v/>
      </c>
      <c r="Z160" s="114" t="str">
        <f ca="1">IF(Z158="","",IF(Z158&lt;$C160,0,IF(Z158=$C160,Z159/$C161*$E161+Y161/$C161*$E161,IF(AND(Z158&gt;$C160,Z158&lt;ROUNDDOWN(($C160+($D160+$C161-1)/12),0)),(Z159/2+Y161)/($C161-$E161-12*(Z158-$C160-1))*12,IF(AND($D161&lt;0,Z158=ROUNDDOWN(($C160+($D160+$C161-1)/12),0)),Y161+Z159,IF(Z158=ROUNDDOWN(($C160+($D160+$C161-1)/12),0),(Z159+Y161)/$C161*($D161+(Z158-$C160-1)*12+$E161),IF(Z158&gt;ROUNDDOWN(($C160+($D160+$C161)/12),0),0,0)))))))</f>
        <v/>
      </c>
      <c r="AA160" s="114" t="str">
        <f t="shared" ref="AA160" ca="1" si="21">IF(AA158="","",IF(AA158&lt;$C160,0,IF(AA158=$C160,AA159/$C161*$E161+Z161/$C161*$E161,IF(AND(AA158&gt;$C160,AA158&lt;ROUNDDOWN(($C160+($D160+$C161-1)/12),0)),(AA159/2+Z161)/($C161-$E161-12*(AA158-$C160-1))*12,IF(AND($D161&lt;0,AA158=ROUNDDOWN(($C160+($D160+$C161-1)/12),0)),Z161+AA159,IF(AA158=ROUNDDOWN(($C160+($D160+$C161-1)/12),0),(AA159+Z161)/$C161*($D161+(AA158-$C160-1)*12+$E161),IF(AA158&gt;ROUNDDOWN(($C160+($D160+$C161)/12),0),0,0)))))))</f>
        <v/>
      </c>
      <c r="AB160" s="114" t="str">
        <f t="shared" ref="AB160" ca="1" si="22">IF(AB158="","",IF(AB158&lt;$C160,0,IF(AB158=$C160,AB159/$C161*$E161+AA161/$C161*$E161,IF(AND(AB158&gt;$C160,AB158&lt;ROUNDDOWN(($C160+($D160+$C161-1)/12),0)),(AB159/2+AA161)/($C161-$E161-12*(AB158-$C160-1))*12,IF(AND($D161&lt;0,AB158=ROUNDDOWN(($C160+($D160+$C161-1)/12),0)),AA161+AB159,IF(AB158=ROUNDDOWN(($C160+($D160+$C161-1)/12),0),(AB159+AA161)/$C161*($D161+(AB158-$C160-1)*12+$E161),IF(AB158&gt;ROUNDDOWN(($C160+($D160+$C161)/12),0),0,0)))))))</f>
        <v/>
      </c>
      <c r="AC160" s="114" t="str">
        <f t="shared" ref="AC160" ca="1" si="23">IF(AC158="","",IF(AC158&lt;$C160,0,IF(AC158=$C160,AC159/$C161*$E161+AB161/$C161*$E161,IF(AND(AC158&gt;$C160,AC158&lt;ROUNDDOWN(($C160+($D160+$C161-1)/12),0)),(AC159/2+AB161)/($C161-$E161-12*(AC158-$C160-1))*12,IF(AND($D161&lt;0,AC158=ROUNDDOWN(($C160+($D160+$C161-1)/12),0)),AB161+AC159,IF(AC158=ROUNDDOWN(($C160+($D160+$C161-1)/12),0),(AC159+AB161)/$C161*($D161+(AC158-$C160-1)*12+$E161),IF(AC158&gt;ROUNDDOWN(($C160+($D160+$C161)/12),0),0,0)))))))</f>
        <v/>
      </c>
      <c r="AD160" s="114" t="str">
        <f t="shared" ref="AD160" ca="1" si="24">IF(AD158="","",IF(AD158&lt;$C160,0,IF(AD158=$C160,AD159/$C161*$E161+AC161/$C161*$E161,IF(AND(AD158&gt;$C160,AD158&lt;ROUNDDOWN(($C160+($D160+$C161-1)/12),0)),(AD159/2+AC161)/($C161-$E161-12*(AD158-$C160-1))*12,IF(AND($D161&lt;0,AD158=ROUNDDOWN(($C160+($D160+$C161-1)/12),0)),AC161+AD159,IF(AD158=ROUNDDOWN(($C160+($D160+$C161-1)/12),0),(AD159+AC161)/$C161*($D161+(AD158-$C160-1)*12+$E161),IF(AD158&gt;ROUNDDOWN(($C160+($D160+$C161)/12),0),0,0)))))))</f>
        <v/>
      </c>
      <c r="AE160" s="114" t="str">
        <f t="shared" ref="AE160" ca="1" si="25">IF(AE158="","",IF(AE158&lt;$C160,0,IF(AE158=$C160,AE159/$C161*$E161+AD161/$C161*$E161,IF(AND(AE158&gt;$C160,AE158&lt;ROUNDDOWN(($C160+($D160+$C161-1)/12),0)),(AE159/2+AD161)/($C161-$E161-12*(AE158-$C160-1))*12,IF(AND($D161&lt;0,AE158=ROUNDDOWN(($C160+($D160+$C161-1)/12),0)),AD161+AE159,IF(AE158=ROUNDDOWN(($C160+($D160+$C161-1)/12),0),(AE159+AD161)/$C161*($D161+(AE158-$C160-1)*12+$E161),IF(AE158&gt;ROUNDDOWN(($C160+($D160+$C161)/12),0),0,0)))))))</f>
        <v/>
      </c>
      <c r="AF160" s="114" t="str">
        <f t="shared" ref="AF160:AG160" ca="1" si="26">IF(AF158="","",IF(AF158&lt;$C160,0,IF(AF158=$C160,AF159/$C161*$E161+AE161/$C161*$E161,IF(AND(AF158&gt;$C160,AF158&lt;ROUNDDOWN(($C160+($D160+$C161-1)/12),0)),(AF159/2+AE161)/($C161-$E161-12*(AF158-$C160-1))*12,IF(AND($D161&lt;0,AF158=ROUNDDOWN(($C160+($D160+$C161-1)/12),0)),AE161+AF159,IF(AF158=ROUNDDOWN(($C160+($D160+$C161-1)/12),0),(AF159+AE161)/$C161*($D161+(AF158-$C160-1)*12+$E161),IF(AF158&gt;ROUNDDOWN(($C160+($D160+$C161)/12),0),0,0)))))))</f>
        <v/>
      </c>
      <c r="AG160" s="114" t="str">
        <f t="shared" ca="1" si="26"/>
        <v/>
      </c>
      <c r="AH160" s="114" t="str">
        <f t="shared" ref="AH160" ca="1" si="27">IF(AH158="","",IF(AH158&lt;$C160,0,IF(AH158=$C160,AH159/$C161*$E161+AG161/$C161*$E161,IF(AND(AH158&gt;$C160,AH158&lt;ROUNDDOWN(($C160+($D160+$C161-1)/12),0)),(AH159/2+AG161)/($C161-$E161-12*(AH158-$C160-1))*12,IF(AND($D161&lt;0,AH158=ROUNDDOWN(($C160+($D160+$C161-1)/12),0)),AG161+AH159,IF(AH158=ROUNDDOWN(($C160+($D160+$C161-1)/12),0),(AH159+AG161)/$C161*($D161+(AH158-$C160-1)*12+$E161),IF(AH158&gt;ROUNDDOWN(($C160+($D160+$C161)/12),0),0,0)))))))</f>
        <v/>
      </c>
      <c r="AI160" s="114" t="str">
        <f t="shared" ref="AI160" ca="1" si="28">IF(AI158="","",IF(AI158&lt;$C160,0,IF(AI158=$C160,AI159/$C161*$E161+AH161/$C161*$E161,IF(AND(AI158&gt;$C160,AI158&lt;ROUNDDOWN(($C160+($D160+$C161-1)/12),0)),(AI159/2+AH161)/($C161-$E161-12*(AI158-$C160-1))*12,IF(AND($D161&lt;0,AI158=ROUNDDOWN(($C160+($D160+$C161-1)/12),0)),AH161+AI159,IF(AI158=ROUNDDOWN(($C160+($D160+$C161-1)/12),0),(AI159+AH161)/$C161*($D161+(AI158-$C160-1)*12+$E161),IF(AI158&gt;ROUNDDOWN(($C160+($D160+$C161)/12),0),0,0)))))))</f>
        <v/>
      </c>
      <c r="AJ160" s="114" t="str">
        <f t="shared" ref="AJ160" ca="1" si="29">IF(AJ158="","",IF(AJ158&lt;$C160,0,IF(AJ158=$C160,AJ159/$C161*$E161+AI161/$C161*$E161,IF(AND(AJ158&gt;$C160,AJ158&lt;ROUNDDOWN(($C160+($D160+$C161-1)/12),0)),(AJ159/2+AI161)/($C161-$E161-12*(AJ158-$C160-1))*12,IF(AND($D161&lt;0,AJ158=ROUNDDOWN(($C160+($D160+$C161-1)/12),0)),AI161+AJ159,IF(AJ158=ROUNDDOWN(($C160+($D160+$C161-1)/12),0),(AJ159+AI161)/$C161*($D161+(AJ158-$C160-1)*12+$E161),IF(AJ158&gt;ROUNDDOWN(($C160+($D160+$C161)/12),0),0,0)))))))</f>
        <v/>
      </c>
      <c r="AK160" s="114" t="str">
        <f t="shared" ref="AK160" ca="1" si="30">IF(AK158="","",IF(AK158&lt;$C160,0,IF(AK158=$C160,AK159/$C161*$E161+AJ161/$C161*$E161,IF(AND(AK158&gt;$C160,AK158&lt;ROUNDDOWN(($C160+($D160+$C161-1)/12),0)),(AK159/2+AJ161)/($C161-$E161-12*(AK158-$C160-1))*12,IF(AND($D161&lt;0,AK158=ROUNDDOWN(($C160+($D160+$C161-1)/12),0)),AJ161+AK159,IF(AK158=ROUNDDOWN(($C160+($D160+$C161-1)/12),0),(AK159+AJ161)/$C161*($D161+(AK158-$C160-1)*12+$E161),IF(AK158&gt;ROUNDDOWN(($C160+($D160+$C161)/12),0),0,0)))))))</f>
        <v/>
      </c>
      <c r="AL160" s="114" t="str">
        <f t="shared" ref="AL160" ca="1" si="31">IF(AL158="","",IF(AL158&lt;$C160,0,IF(AL158=$C160,AL159/$C161*$E161+AK161/$C161*$E161,IF(AND(AL158&gt;$C160,AL158&lt;ROUNDDOWN(($C160+($D160+$C161-1)/12),0)),(AL159/2+AK161)/($C161-$E161-12*(AL158-$C160-1))*12,IF(AND($D161&lt;0,AL158=ROUNDDOWN(($C160+($D160+$C161-1)/12),0)),AK161+AL159,IF(AL158=ROUNDDOWN(($C160+($D160+$C161-1)/12),0),(AL159+AK161)/$C161*($D161+(AL158-$C160-1)*12+$E161),IF(AL158&gt;ROUNDDOWN(($C160+($D160+$C161)/12),0),0,0)))))))</f>
        <v/>
      </c>
      <c r="AM160" s="114" t="str">
        <f t="shared" ref="AM160:AN160" ca="1" si="32">IF(AM158="","",IF(AM158&lt;$C160,0,IF(AM158=$C160,AM159/$C161*$E161+AL161/$C161*$E161,IF(AND(AM158&gt;$C160,AM158&lt;ROUNDDOWN(($C160+($D160+$C161-1)/12),0)),(AM159/2+AL161)/($C161-$E161-12*(AM158-$C160-1))*12,IF(AND($D161&lt;0,AM158=ROUNDDOWN(($C160+($D160+$C161-1)/12),0)),AL161+AM159,IF(AM158=ROUNDDOWN(($C160+($D160+$C161-1)/12),0),(AM159+AL161)/$C161*($D161+(AM158-$C160-1)*12+$E161),IF(AM158&gt;ROUNDDOWN(($C160+($D160+$C161)/12),0),0,0)))))))</f>
        <v/>
      </c>
      <c r="AN160" s="114" t="str">
        <f t="shared" ca="1" si="32"/>
        <v/>
      </c>
      <c r="AO160" s="114" t="str">
        <f t="shared" ref="AO160" ca="1" si="33">IF(AO158="","",IF(AO158&lt;$C160,0,IF(AO158=$C160,AO159/$C161*$E161+AN161/$C161*$E161,IF(AND(AO158&gt;$C160,AO158&lt;ROUNDDOWN(($C160+($D160+$C161-1)/12),0)),(AO159/2+AN161)/($C161-$E161-12*(AO158-$C160-1))*12,IF(AND($D161&lt;0,AO158=ROUNDDOWN(($C160+($D160+$C161-1)/12),0)),AN161+AO159,IF(AO158=ROUNDDOWN(($C160+($D160+$C161-1)/12),0),(AO159+AN161)/$C161*($D161+(AO158-$C160-1)*12+$E161),IF(AO158&gt;ROUNDDOWN(($C160+($D160+$C161)/12),0),0,0)))))))</f>
        <v/>
      </c>
      <c r="AP160" s="114" t="str">
        <f t="shared" ref="AP160" ca="1" si="34">IF(AP158="","",IF(AP158&lt;$C160,0,IF(AP158=$C160,AP159/$C161*$E161+AO161/$C161*$E161,IF(AND(AP158&gt;$C160,AP158&lt;ROUNDDOWN(($C160+($D160+$C161-1)/12),0)),(AP159/2+AO161)/($C161-$E161-12*(AP158-$C160-1))*12,IF(AND($D161&lt;0,AP158=ROUNDDOWN(($C160+($D160+$C161-1)/12),0)),AO161+AP159,IF(AP158=ROUNDDOWN(($C160+($D160+$C161-1)/12),0),(AP159+AO161)/$C161*($D161+(AP158-$C160-1)*12+$E161),IF(AP158&gt;ROUNDDOWN(($C160+($D160+$C161)/12),0),0,0)))))))</f>
        <v/>
      </c>
      <c r="AQ160" s="114" t="str">
        <f t="shared" ref="AQ160" ca="1" si="35">IF(AQ158="","",IF(AQ158&lt;$C160,0,IF(AQ158=$C160,AQ159/$C161*$E161+AP161/$C161*$E161,IF(AND(AQ158&gt;$C160,AQ158&lt;ROUNDDOWN(($C160+($D160+$C161-1)/12),0)),(AQ159/2+AP161)/($C161-$E161-12*(AQ158-$C160-1))*12,IF(AND($D161&lt;0,AQ158=ROUNDDOWN(($C160+($D160+$C161-1)/12),0)),AP161+AQ159,IF(AQ158=ROUNDDOWN(($C160+($D160+$C161-1)/12),0),(AQ159+AP161)/$C161*($D161+(AQ158-$C160-1)*12+$E161),IF(AQ158&gt;ROUNDDOWN(($C160+($D160+$C161)/12),0),0,0)))))))</f>
        <v/>
      </c>
      <c r="AR160" s="114" t="str">
        <f t="shared" ref="AR160" ca="1" si="36">IF(AR158="","",IF(AR158&lt;$C160,0,IF(AR158=$C160,AR159/$C161*$E161+AQ161/$C161*$E161,IF(AND(AR158&gt;$C160,AR158&lt;ROUNDDOWN(($C160+($D160+$C161-1)/12),0)),(AR159/2+AQ161)/($C161-$E161-12*(AR158-$C160-1))*12,IF(AND($D161&lt;0,AR158=ROUNDDOWN(($C160+($D160+$C161-1)/12),0)),AQ161+AR159,IF(AR158=ROUNDDOWN(($C160+($D160+$C161-1)/12),0),(AR159+AQ161)/$C161*($D161+(AR158-$C160-1)*12+$E161),IF(AR158&gt;ROUNDDOWN(($C160+($D160+$C161)/12),0),0,0)))))))</f>
        <v/>
      </c>
      <c r="AS160" s="114" t="str">
        <f t="shared" ref="AS160" ca="1" si="37">IF(AS158="","",IF(AS158&lt;$C160,0,IF(AS158=$C160,AS159/$C161*$E161+AR161/$C161*$E161,IF(AND(AS158&gt;$C160,AS158&lt;ROUNDDOWN(($C160+($D160+$C161-1)/12),0)),(AS159/2+AR161)/($C161-$E161-12*(AS158-$C160-1))*12,IF(AND($D161&lt;0,AS158=ROUNDDOWN(($C160+($D160+$C161-1)/12),0)),AR161+AS159,IF(AS158=ROUNDDOWN(($C160+($D160+$C161-1)/12),0),(AS159+AR161)/$C161*($D161+(AS158-$C160-1)*12+$E161),IF(AS158&gt;ROUNDDOWN(($C160+($D160+$C161)/12),0),0,0)))))))</f>
        <v/>
      </c>
      <c r="AT160" s="114" t="str">
        <f t="shared" ref="AT160:AU160" ca="1" si="38">IF(AT158="","",IF(AT158&lt;$C160,0,IF(AT158=$C160,AT159/$C161*$E161+AS161/$C161*$E161,IF(AND(AT158&gt;$C160,AT158&lt;ROUNDDOWN(($C160+($D160+$C161-1)/12),0)),(AT159/2+AS161)/($C161-$E161-12*(AT158-$C160-1))*12,IF(AND($D161&lt;0,AT158=ROUNDDOWN(($C160+($D160+$C161-1)/12),0)),AS161+AT159,IF(AT158=ROUNDDOWN(($C160+($D160+$C161-1)/12),0),(AT159+AS161)/$C161*($D161+(AT158-$C160-1)*12+$E161),IF(AT158&gt;ROUNDDOWN(($C160+($D160+$C161)/12),0),0,0)))))))</f>
        <v/>
      </c>
      <c r="AU160" s="114" t="str">
        <f t="shared" ca="1" si="38"/>
        <v/>
      </c>
      <c r="AV160" s="114" t="str">
        <f t="shared" ref="AV160" ca="1" si="39">IF(AV158="","",IF(AV158&lt;$C160,0,IF(AV158=$C160,AV159/$C161*$E161+AU161/$C161*$E161,IF(AND(AV158&gt;$C160,AV158&lt;ROUNDDOWN(($C160+($D160+$C161-1)/12),0)),(AV159/2+AU161)/($C161-$E161-12*(AV158-$C160-1))*12,IF(AND($D161&lt;0,AV158=ROUNDDOWN(($C160+($D160+$C161-1)/12),0)),AU161+AV159,IF(AV158=ROUNDDOWN(($C160+($D160+$C161-1)/12),0),(AV159+AU161)/$C161*($D161+(AV158-$C160-1)*12+$E161),IF(AV158&gt;ROUNDDOWN(($C160+($D160+$C161)/12),0),0,0)))))))</f>
        <v/>
      </c>
      <c r="AW160" s="114" t="str">
        <f t="shared" ref="AW160" ca="1" si="40">IF(AW158="","",IF(AW158&lt;$C160,0,IF(AW158=$C160,AW159/$C161*$E161+AV161/$C161*$E161,IF(AND(AW158&gt;$C160,AW158&lt;ROUNDDOWN(($C160+($D160+$C161-1)/12),0)),(AW159/2+AV161)/($C161-$E161-12*(AW158-$C160-1))*12,IF(AND($D161&lt;0,AW158=ROUNDDOWN(($C160+($D160+$C161-1)/12),0)),AV161+AW159,IF(AW158=ROUNDDOWN(($C160+($D160+$C161-1)/12),0),(AW159+AV161)/$C161*($D161+(AW158-$C160-1)*12+$E161),IF(AW158&gt;ROUNDDOWN(($C160+($D160+$C161)/12),0),0,0)))))))</f>
        <v/>
      </c>
      <c r="AX160" s="90"/>
      <c r="AY160" s="90"/>
      <c r="AZ160" s="87"/>
    </row>
    <row r="161" spans="3:52" ht="12.75" customHeight="1" x14ac:dyDescent="0.2">
      <c r="C161" s="128">
        <f>ROUNDUP((E160-ROUNDDOWN(E160,0))*12,0)+ROUNDDOWN(E160,0)*12</f>
        <v>0</v>
      </c>
      <c r="D161" s="128">
        <f>C161-E161-ROUNDDOWN(E160,0)*12</f>
        <v>-12</v>
      </c>
      <c r="E161" s="128">
        <f>13-MONTH(C159)</f>
        <v>12</v>
      </c>
      <c r="N161" s="85"/>
      <c r="O161" s="90"/>
      <c r="P161" s="90"/>
      <c r="Q161" s="115" t="str">
        <f>INDEX(g_lang_val,MATCH("tb_2_4_3",g_lang_key,0))</f>
        <v>FF4-gæld, ultimo året</v>
      </c>
      <c r="R161" s="116"/>
      <c r="S161" s="119"/>
      <c r="T161" s="114">
        <f t="shared" ref="T161" ca="1" si="41">IF(T158="","",S161+T159-T160)</f>
        <v>0</v>
      </c>
      <c r="U161" s="114">
        <f t="shared" ref="U161" ca="1" si="42">IF(U158="","",T161+U159-U160)</f>
        <v>0</v>
      </c>
      <c r="V161" s="114">
        <f t="shared" ref="V161" ca="1" si="43">IF(V158="","",U161+V159-V160)</f>
        <v>0</v>
      </c>
      <c r="W161" s="114">
        <f t="shared" ref="W161" ca="1" si="44">IF(W158="","",V161+W159-W160)</f>
        <v>0</v>
      </c>
      <c r="X161" s="114" t="str">
        <f t="shared" ref="X161" ca="1" si="45">IF(X158="","",W161+X159-X160)</f>
        <v/>
      </c>
      <c r="Y161" s="114" t="str">
        <f t="shared" ref="Y161" ca="1" si="46">IF(Y158="","",X161+Y159-Y160)</f>
        <v/>
      </c>
      <c r="Z161" s="114" t="str">
        <f t="shared" ref="Z161" ca="1" si="47">IF(Z158="","",Y161+Z159-Z160)</f>
        <v/>
      </c>
      <c r="AA161" s="114" t="str">
        <f ca="1">IF(AA158="","",Z161+AA159-AA160)</f>
        <v/>
      </c>
      <c r="AB161" s="114" t="str">
        <f t="shared" ref="AB161" ca="1" si="48">IF(AB158="","",AA161+AB159-AB160)</f>
        <v/>
      </c>
      <c r="AC161" s="114" t="str">
        <f t="shared" ref="AC161" ca="1" si="49">IF(AC158="","",AB161+AC159-AC160)</f>
        <v/>
      </c>
      <c r="AD161" s="114" t="str">
        <f t="shared" ref="AD161" ca="1" si="50">IF(AD158="","",AC161+AD159-AD160)</f>
        <v/>
      </c>
      <c r="AE161" s="114" t="str">
        <f t="shared" ref="AE161" ca="1" si="51">IF(AE158="","",AD161+AE159-AE160)</f>
        <v/>
      </c>
      <c r="AF161" s="114" t="str">
        <f t="shared" ref="AF161" ca="1" si="52">IF(AF158="","",AE161+AF159-AF160)</f>
        <v/>
      </c>
      <c r="AG161" s="114" t="str">
        <f t="shared" ref="AG161" ca="1" si="53">IF(AG158="","",AF161+AG159-AG160)</f>
        <v/>
      </c>
      <c r="AH161" s="114" t="str">
        <f t="shared" ref="AH161" ca="1" si="54">IF(AH158="","",AG161+AH159-AH160)</f>
        <v/>
      </c>
      <c r="AI161" s="114" t="str">
        <f t="shared" ref="AI161" ca="1" si="55">IF(AI158="","",AH161+AI159-AI160)</f>
        <v/>
      </c>
      <c r="AJ161" s="114" t="str">
        <f t="shared" ref="AJ161" ca="1" si="56">IF(AJ158="","",AI161+AJ159-AJ160)</f>
        <v/>
      </c>
      <c r="AK161" s="114" t="str">
        <f t="shared" ref="AK161" ca="1" si="57">IF(AK158="","",AJ161+AK159-AK160)</f>
        <v/>
      </c>
      <c r="AL161" s="114" t="str">
        <f t="shared" ref="AL161" ca="1" si="58">IF(AL158="","",AK161+AL159-AL160)</f>
        <v/>
      </c>
      <c r="AM161" s="114" t="str">
        <f t="shared" ref="AM161" ca="1" si="59">IF(AM158="","",AL161+AM159-AM160)</f>
        <v/>
      </c>
      <c r="AN161" s="114" t="str">
        <f t="shared" ref="AN161" ca="1" si="60">IF(AN158="","",AM161+AN159-AN160)</f>
        <v/>
      </c>
      <c r="AO161" s="114" t="str">
        <f t="shared" ref="AO161" ca="1" si="61">IF(AO158="","",AN161+AO159-AO160)</f>
        <v/>
      </c>
      <c r="AP161" s="114" t="str">
        <f t="shared" ref="AP161" ca="1" si="62">IF(AP158="","",AO161+AP159-AP160)</f>
        <v/>
      </c>
      <c r="AQ161" s="114" t="str">
        <f t="shared" ref="AQ161" ca="1" si="63">IF(AQ158="","",AP161+AQ159-AQ160)</f>
        <v/>
      </c>
      <c r="AR161" s="114" t="str">
        <f t="shared" ref="AR161" ca="1" si="64">IF(AR158="","",AQ161+AR159-AR160)</f>
        <v/>
      </c>
      <c r="AS161" s="114" t="str">
        <f t="shared" ref="AS161" ca="1" si="65">IF(AS158="","",AR161+AS159-AS160)</f>
        <v/>
      </c>
      <c r="AT161" s="114" t="str">
        <f t="shared" ref="AT161" ca="1" si="66">IF(AT158="","",AS161+AT159-AT160)</f>
        <v/>
      </c>
      <c r="AU161" s="114" t="str">
        <f t="shared" ref="AU161" ca="1" si="67">IF(AU158="","",AT161+AU159-AU160)</f>
        <v/>
      </c>
      <c r="AV161" s="114" t="str">
        <f t="shared" ref="AV161" ca="1" si="68">IF(AV158="","",AU161+AV159-AV160)</f>
        <v/>
      </c>
      <c r="AW161" s="114" t="str">
        <f t="shared" ref="AW161" ca="1" si="69">IF(AW158="","",AV161+AW159-AW160)</f>
        <v/>
      </c>
      <c r="AX161" s="90"/>
      <c r="AY161" s="90"/>
      <c r="AZ161" s="87"/>
    </row>
    <row r="162" spans="3:52" ht="12.75" customHeight="1" x14ac:dyDescent="0.2">
      <c r="N162" s="85"/>
      <c r="O162" s="90"/>
      <c r="P162" s="90"/>
      <c r="Q162" s="115" t="str">
        <f>INDEX(g_lang_val,MATCH("tb_2_4_4",g_lang_key,0))</f>
        <v>Renter (FF4)</v>
      </c>
      <c r="R162" s="116"/>
      <c r="S162" s="119">
        <f ca="1">SUM(T162:BG162)</f>
        <v>0</v>
      </c>
      <c r="T162" s="114">
        <f t="shared" ref="T162" ca="1" si="70">IF(T158="","",g_interest_FF4*(S161+(T159/2)-(T160/2)))</f>
        <v>0</v>
      </c>
      <c r="U162" s="114">
        <f t="shared" ref="U162" ca="1" si="71">IF(U158="","",g_interest_FF4*(T161+(U159/2)-(U160/2)))</f>
        <v>0</v>
      </c>
      <c r="V162" s="114">
        <f t="shared" ref="V162" ca="1" si="72">IF(V158="","",g_interest_FF4*(U161+(V159/2)-(V160/2)))</f>
        <v>0</v>
      </c>
      <c r="W162" s="114">
        <f t="shared" ref="W162" ca="1" si="73">IF(W158="","",g_interest_FF4*(V161+(W159/2)-(W160/2)))</f>
        <v>0</v>
      </c>
      <c r="X162" s="114" t="str">
        <f t="shared" ref="X162" ca="1" si="74">IF(X158="","",g_interest_FF4*(W161+(X159/2)-(X160/2)))</f>
        <v/>
      </c>
      <c r="Y162" s="114" t="str">
        <f t="shared" ref="Y162" ca="1" si="75">IF(Y158="","",g_interest_FF4*(X161+(Y159/2)-(Y160/2)))</f>
        <v/>
      </c>
      <c r="Z162" s="114" t="str">
        <f t="shared" ref="Z162" ca="1" si="76">IF(Z158="","",g_interest_FF4*(Y161+(Z159/2)-(Z160/2)))</f>
        <v/>
      </c>
      <c r="AA162" s="114" t="str">
        <f t="shared" ref="AA162" ca="1" si="77">IF(AA158="","",g_interest_FF4*(Z161+(AA159/2)-(AA160/2)))</f>
        <v/>
      </c>
      <c r="AB162" s="114" t="str">
        <f t="shared" ref="AB162" ca="1" si="78">IF(AB158="","",g_interest_FF4*(AA161+(AB159/2)-(AB160/2)))</f>
        <v/>
      </c>
      <c r="AC162" s="114" t="str">
        <f t="shared" ref="AC162" ca="1" si="79">IF(AC158="","",g_interest_FF4*(AB161+(AC159/2)-(AC160/2)))</f>
        <v/>
      </c>
      <c r="AD162" s="114" t="str">
        <f t="shared" ref="AD162" ca="1" si="80">IF(AD158="","",g_interest_FF4*(AC161+(AD159/2)-(AD160/2)))</f>
        <v/>
      </c>
      <c r="AE162" s="114" t="str">
        <f t="shared" ref="AE162" ca="1" si="81">IF(AE158="","",g_interest_FF4*(AD161+(AE159/2)-(AE160/2)))</f>
        <v/>
      </c>
      <c r="AF162" s="114" t="str">
        <f t="shared" ref="AF162" ca="1" si="82">IF(AF158="","",g_interest_FF4*(AE161+(AF159/2)-(AF160/2)))</f>
        <v/>
      </c>
      <c r="AG162" s="114" t="str">
        <f t="shared" ref="AG162" ca="1" si="83">IF(AG158="","",g_interest_FF4*(AF161+(AG159/2)-(AG160/2)))</f>
        <v/>
      </c>
      <c r="AH162" s="114" t="str">
        <f t="shared" ref="AH162" ca="1" si="84">IF(AH158="","",g_interest_FF4*(AG161+(AH159/2)-(AH160/2)))</f>
        <v/>
      </c>
      <c r="AI162" s="114" t="str">
        <f t="shared" ref="AI162" ca="1" si="85">IF(AI158="","",g_interest_FF4*(AH161+(AI159/2)-(AI160/2)))</f>
        <v/>
      </c>
      <c r="AJ162" s="114" t="str">
        <f t="shared" ref="AJ162" ca="1" si="86">IF(AJ158="","",g_interest_FF4*(AI161+(AJ159/2)-(AJ160/2)))</f>
        <v/>
      </c>
      <c r="AK162" s="114" t="str">
        <f t="shared" ref="AK162" ca="1" si="87">IF(AK158="","",g_interest_FF4*(AJ161+(AK159/2)-(AK160/2)))</f>
        <v/>
      </c>
      <c r="AL162" s="114" t="str">
        <f t="shared" ref="AL162" ca="1" si="88">IF(AL158="","",g_interest_FF4*(AK161+(AL159/2)-(AL160/2)))</f>
        <v/>
      </c>
      <c r="AM162" s="114" t="str">
        <f t="shared" ref="AM162" ca="1" si="89">IF(AM158="","",g_interest_FF4*(AL161+(AM159/2)-(AM160/2)))</f>
        <v/>
      </c>
      <c r="AN162" s="114" t="str">
        <f t="shared" ref="AN162" ca="1" si="90">IF(AN158="","",g_interest_FF4*(AM161+(AN159/2)-(AN160/2)))</f>
        <v/>
      </c>
      <c r="AO162" s="114" t="str">
        <f t="shared" ref="AO162" ca="1" si="91">IF(AO158="","",g_interest_FF4*(AN161+(AO159/2)-(AO160/2)))</f>
        <v/>
      </c>
      <c r="AP162" s="114" t="str">
        <f t="shared" ref="AP162" ca="1" si="92">IF(AP158="","",g_interest_FF4*(AO161+(AP159/2)-(AP160/2)))</f>
        <v/>
      </c>
      <c r="AQ162" s="114" t="str">
        <f t="shared" ref="AQ162" ca="1" si="93">IF(AQ158="","",g_interest_FF4*(AP161+(AQ159/2)-(AQ160/2)))</f>
        <v/>
      </c>
      <c r="AR162" s="114" t="str">
        <f t="shared" ref="AR162" ca="1" si="94">IF(AR158="","",g_interest_FF4*(AQ161+(AR159/2)-(AR160/2)))</f>
        <v/>
      </c>
      <c r="AS162" s="114" t="str">
        <f t="shared" ref="AS162" ca="1" si="95">IF(AS158="","",g_interest_FF4*(AR161+(AS159/2)-(AS160/2)))</f>
        <v/>
      </c>
      <c r="AT162" s="114" t="str">
        <f t="shared" ref="AT162" ca="1" si="96">IF(AT158="","",g_interest_FF4*(AS161+(AT159/2)-(AT160/2)))</f>
        <v/>
      </c>
      <c r="AU162" s="114" t="str">
        <f t="shared" ref="AU162" ca="1" si="97">IF(AU158="","",g_interest_FF4*(AT161+(AU159/2)-(AU160/2)))</f>
        <v/>
      </c>
      <c r="AV162" s="114" t="str">
        <f t="shared" ref="AV162" ca="1" si="98">IF(AV158="","",g_interest_FF4*(AU161+(AV159/2)-(AV160/2)))</f>
        <v/>
      </c>
      <c r="AW162" s="114" t="str">
        <f t="shared" ref="AW162" ca="1" si="99">IF(AW158="","",g_interest_FF4*(AV161+(AW159/2)-(AW160/2)))</f>
        <v/>
      </c>
      <c r="AX162" s="90"/>
      <c r="AY162" s="90"/>
      <c r="AZ162" s="87"/>
    </row>
    <row r="163" spans="3:52" ht="12.75" customHeight="1" x14ac:dyDescent="0.2">
      <c r="N163" s="85"/>
      <c r="O163" s="90"/>
      <c r="P163" s="90"/>
      <c r="Q163" s="118" t="str">
        <f>INDEX(g_assets_sc_1,4)</f>
        <v/>
      </c>
      <c r="R163" s="118"/>
      <c r="S163" s="113"/>
      <c r="T163" s="125">
        <f ca="1">T$157</f>
        <v>2026</v>
      </c>
      <c r="U163" s="125">
        <f t="shared" ref="U163:AW163" ca="1" si="100">U$157</f>
        <v>2027</v>
      </c>
      <c r="V163" s="125">
        <f t="shared" ca="1" si="100"/>
        <v>2028</v>
      </c>
      <c r="W163" s="125">
        <f t="shared" ca="1" si="100"/>
        <v>2029</v>
      </c>
      <c r="X163" s="125" t="str">
        <f t="shared" ca="1" si="100"/>
        <v/>
      </c>
      <c r="Y163" s="125" t="str">
        <f t="shared" ca="1" si="100"/>
        <v/>
      </c>
      <c r="Z163" s="125" t="str">
        <f t="shared" ca="1" si="100"/>
        <v/>
      </c>
      <c r="AA163" s="125" t="str">
        <f t="shared" ca="1" si="100"/>
        <v/>
      </c>
      <c r="AB163" s="125" t="str">
        <f t="shared" ca="1" si="100"/>
        <v/>
      </c>
      <c r="AC163" s="125" t="str">
        <f t="shared" ca="1" si="100"/>
        <v/>
      </c>
      <c r="AD163" s="125" t="str">
        <f t="shared" ca="1" si="100"/>
        <v/>
      </c>
      <c r="AE163" s="125" t="str">
        <f t="shared" ca="1" si="100"/>
        <v/>
      </c>
      <c r="AF163" s="125" t="str">
        <f t="shared" ca="1" si="100"/>
        <v/>
      </c>
      <c r="AG163" s="125" t="str">
        <f t="shared" ca="1" si="100"/>
        <v/>
      </c>
      <c r="AH163" s="125" t="str">
        <f t="shared" ca="1" si="100"/>
        <v/>
      </c>
      <c r="AI163" s="125" t="str">
        <f t="shared" ca="1" si="100"/>
        <v/>
      </c>
      <c r="AJ163" s="125" t="str">
        <f t="shared" ca="1" si="100"/>
        <v/>
      </c>
      <c r="AK163" s="125" t="str">
        <f t="shared" ca="1" si="100"/>
        <v/>
      </c>
      <c r="AL163" s="125" t="str">
        <f t="shared" ca="1" si="100"/>
        <v/>
      </c>
      <c r="AM163" s="125" t="str">
        <f t="shared" ca="1" si="100"/>
        <v/>
      </c>
      <c r="AN163" s="125" t="str">
        <f t="shared" ca="1" si="100"/>
        <v/>
      </c>
      <c r="AO163" s="125" t="str">
        <f t="shared" ca="1" si="100"/>
        <v/>
      </c>
      <c r="AP163" s="125" t="str">
        <f t="shared" ca="1" si="100"/>
        <v/>
      </c>
      <c r="AQ163" s="125" t="str">
        <f t="shared" ca="1" si="100"/>
        <v/>
      </c>
      <c r="AR163" s="125" t="str">
        <f t="shared" ca="1" si="100"/>
        <v/>
      </c>
      <c r="AS163" s="125" t="str">
        <f t="shared" ca="1" si="100"/>
        <v/>
      </c>
      <c r="AT163" s="125" t="str">
        <f t="shared" ca="1" si="100"/>
        <v/>
      </c>
      <c r="AU163" s="125" t="str">
        <f t="shared" ca="1" si="100"/>
        <v/>
      </c>
      <c r="AV163" s="125" t="str">
        <f t="shared" ca="1" si="100"/>
        <v/>
      </c>
      <c r="AW163" s="125" t="str">
        <f t="shared" ca="1" si="100"/>
        <v/>
      </c>
      <c r="AX163" s="90"/>
      <c r="AY163" s="90"/>
      <c r="AZ163" s="87"/>
    </row>
    <row r="164" spans="3:52" ht="12.75" customHeight="1" x14ac:dyDescent="0.2">
      <c r="C164" s="126">
        <f>INDEX(g_sc_1_assets_dates,G164)</f>
        <v>0</v>
      </c>
      <c r="G164" s="127">
        <v>2</v>
      </c>
      <c r="N164" s="85"/>
      <c r="O164" s="90"/>
      <c r="P164" s="90"/>
      <c r="Q164" s="115" t="str">
        <f>INDEX(g_lang_val,MATCH("tb_2_4_1",g_lang_key,0))</f>
        <v>Køb af anlægsaktiver</v>
      </c>
      <c r="R164" s="116"/>
      <c r="S164" s="119">
        <f ca="1">SUM(T164:BG164)</f>
        <v>0</v>
      </c>
      <c r="T164" s="114">
        <f ca="1">IF(T163="","",SUMPRODUCT(--(Leverancer!$C$28:$C$88=($G164+2)),Leverancer!D$28:D$88)/1000)</f>
        <v>0</v>
      </c>
      <c r="U164" s="114">
        <f ca="1">IF(U163="","",SUMPRODUCT(--(Leverancer!$C$28:$C$88=($G164+2)),Leverancer!E$28:E$88)/1000)</f>
        <v>0</v>
      </c>
      <c r="V164" s="114">
        <f ca="1">IF(V163="","",SUMPRODUCT(--(Leverancer!$C$28:$C$88=($G164+2)),Leverancer!F$28:F$88)/1000)</f>
        <v>0</v>
      </c>
      <c r="W164" s="114">
        <f ca="1">IF(W163="","",SUMPRODUCT(--(Leverancer!$C$28:$C$88=($G164+2)),Leverancer!G$28:G$88)/1000)</f>
        <v>0</v>
      </c>
      <c r="X164" s="114" t="str">
        <f ca="1">IF(X163="","",SUMPRODUCT(--(Leverancer!$C$28:$C$88=($G164+2)),Leverancer!H$28:H$88)/1000)</f>
        <v/>
      </c>
      <c r="Y164" s="114" t="str">
        <f ca="1">IF(Y163="","",SUMPRODUCT(--(Leverancer!$C$28:$C$88=($G164+2)),Leverancer!I$28:I$88)/1000)</f>
        <v/>
      </c>
      <c r="Z164" s="114" t="str">
        <f ca="1">IF(Z163="","",SUMPRODUCT(--(Leverancer!$C$28:$C$88=($G164+2)),Leverancer!J$28:J$88)/1000)</f>
        <v/>
      </c>
      <c r="AA164" s="114" t="str">
        <f ca="1">IF(AA163="","",SUMPRODUCT(--(Leverancer!$C$28:$C$88=($G164+2)),Leverancer!K$28:K$88)/1000)</f>
        <v/>
      </c>
      <c r="AB164" s="114" t="str">
        <f ca="1">IF(AB163="","",SUMPRODUCT(--(Leverancer!$C$28:$C$88=($G164+2)),Leverancer!L$28:L$88)/1000)</f>
        <v/>
      </c>
      <c r="AC164" s="114" t="str">
        <f ca="1">IF(AC163="","",SUMPRODUCT(--(Leverancer!$C$28:$C$88=($G164+2)),Leverancer!M$28:M$88)/1000)</f>
        <v/>
      </c>
      <c r="AD164" s="114" t="str">
        <f ca="1">IF(AD163="","",SUMPRODUCT(--(Leverancer!$C$28:$C$88=($G164+2)),Leverancer!N$28:N$88)/1000)</f>
        <v/>
      </c>
      <c r="AE164" s="114" t="str">
        <f ca="1">IF(AE163="","",SUMPRODUCT(--(Leverancer!$C$28:$C$88=($G164+2)),Leverancer!O$28:O$88)/1000)</f>
        <v/>
      </c>
      <c r="AF164" s="114" t="str">
        <f ca="1">IF(AF163="","",SUMPRODUCT(--(Leverancer!$C$28:$C$88=($G164+2)),Leverancer!P$28:P$88)/1000)</f>
        <v/>
      </c>
      <c r="AG164" s="114" t="str">
        <f ca="1">IF(AG163="","",SUMPRODUCT(--(Leverancer!$C$28:$C$88=($G164+2)),Leverancer!Q$28:Q$88)/1000)</f>
        <v/>
      </c>
      <c r="AH164" s="114" t="str">
        <f ca="1">IF(AH163="","",SUMPRODUCT(--(Leverancer!$C$28:$C$88=($G164+2)),Leverancer!R$28:R$88)/1000)</f>
        <v/>
      </c>
      <c r="AI164" s="114" t="str">
        <f ca="1">IF(AI163="","",SUMPRODUCT(--(Leverancer!$C$28:$C$88=($G164+2)),Leverancer!S$28:S$88)/1000)</f>
        <v/>
      </c>
      <c r="AJ164" s="114" t="str">
        <f ca="1">IF(AJ163="","",SUMPRODUCT(--(Leverancer!$C$28:$C$88=($G164+2)),Leverancer!T$28:T$88)/1000)</f>
        <v/>
      </c>
      <c r="AK164" s="114" t="str">
        <f ca="1">IF(AK163="","",SUMPRODUCT(--(Leverancer!$C$28:$C$88=($G164+2)),Leverancer!U$28:U$88)/1000)</f>
        <v/>
      </c>
      <c r="AL164" s="114" t="str">
        <f ca="1">IF(AL163="","",SUMPRODUCT(--(Leverancer!$C$28:$C$88=($G164+2)),Leverancer!V$28:V$88)/1000)</f>
        <v/>
      </c>
      <c r="AM164" s="114" t="str">
        <f ca="1">IF(AM163="","",SUMPRODUCT(--(Leverancer!$C$28:$C$88=($G164+2)),Leverancer!W$28:W$88)/1000)</f>
        <v/>
      </c>
      <c r="AN164" s="114" t="str">
        <f ca="1">IF(AN163="","",SUMPRODUCT(--(Leverancer!$C$28:$C$88=($G164+2)),Leverancer!X$28:X$88)/1000)</f>
        <v/>
      </c>
      <c r="AO164" s="114" t="str">
        <f ca="1">IF(AO163="","",SUMPRODUCT(--(Leverancer!$C$28:$C$88=($G164+2)),Leverancer!Y$28:Y$88)/1000)</f>
        <v/>
      </c>
      <c r="AP164" s="114" t="str">
        <f ca="1">IF(AP163="","",SUMPRODUCT(--(Leverancer!$C$28:$C$88=($G164+2)),Leverancer!Z$28:Z$88)/1000)</f>
        <v/>
      </c>
      <c r="AQ164" s="114" t="str">
        <f ca="1">IF(AQ163="","",SUMPRODUCT(--(Leverancer!$C$28:$C$88=($G164+2)),Leverancer!AA$28:AA$88)/1000)</f>
        <v/>
      </c>
      <c r="AR164" s="114" t="str">
        <f ca="1">IF(AR163="","",SUMPRODUCT(--(Leverancer!$C$28:$C$88=($G164+2)),Leverancer!AB$28:AB$88)/1000)</f>
        <v/>
      </c>
      <c r="AS164" s="114" t="str">
        <f ca="1">IF(AS163="","",SUMPRODUCT(--(Leverancer!$C$28:$C$88=($G164+2)),Leverancer!AC$28:AC$88)/1000)</f>
        <v/>
      </c>
      <c r="AT164" s="114" t="str">
        <f ca="1">IF(AT163="","",SUMPRODUCT(--(Leverancer!$C$28:$C$88=($G164+2)),Leverancer!AD$28:AD$88)/1000)</f>
        <v/>
      </c>
      <c r="AU164" s="114" t="str">
        <f ca="1">IF(AU163="","",SUMPRODUCT(--(Leverancer!$C$28:$C$88=($G164+2)),Leverancer!AE$28:AE$88)/1000)</f>
        <v/>
      </c>
      <c r="AV164" s="114" t="str">
        <f ca="1">IF(AV163="","",SUMPRODUCT(--(Leverancer!$C$28:$C$88=($G164+2)),Leverancer!AF$28:AF$88)/1000)</f>
        <v/>
      </c>
      <c r="AW164" s="114" t="str">
        <f ca="1">IF(AW163="","",SUMPRODUCT(--(Leverancer!$C$28:$C$88=($G164+2)),Leverancer!AG$28:AG$88)/1000)</f>
        <v/>
      </c>
      <c r="AX164" s="90"/>
      <c r="AY164" s="90"/>
      <c r="AZ164" s="87"/>
    </row>
    <row r="165" spans="3:52" ht="12.75" customHeight="1" x14ac:dyDescent="0.2">
      <c r="C165" s="128">
        <f>IFERROR(YEAR(C164),"")</f>
        <v>1900</v>
      </c>
      <c r="D165" s="128">
        <f>IFERROR(MONTH(C164),"")</f>
        <v>1</v>
      </c>
      <c r="E165" s="128">
        <f>INDEX(g_sc_1_assets_years,G164)</f>
        <v>0</v>
      </c>
      <c r="N165" s="85"/>
      <c r="O165" s="90"/>
      <c r="P165" s="90"/>
      <c r="Q165" s="115" t="str">
        <f>INDEX(g_lang_val,MATCH("tb_2_4_2",g_lang_key,0))</f>
        <v>Afskrivninger</v>
      </c>
      <c r="R165" s="116"/>
      <c r="S165" s="119">
        <f ca="1">SUM(T165:BG165)</f>
        <v>0</v>
      </c>
      <c r="T165" s="114">
        <f t="shared" ref="T165" ca="1" si="101">IF(T163="","",IF(T163&lt;$C165,0,IF(T163=$C165,T164/$C166*$E166+S166/$C166*$E166,IF(AND(T163&gt;$C165,T163&lt;ROUNDDOWN(($C165+($D165+$C166-1)/12),0)),(T164/2+S166)/($C166-$E166-12*(T163-$C165-1))*12,IF(AND($D166&lt;0,T163=ROUNDDOWN(($C165+($D165+$C166-1)/12),0)),S166+T164,IF(T163=ROUNDDOWN(($C165+($D165+$C166-1)/12),0),(T164+S166)/$C166*($D166+(T163-$C165-1)*12+$E166),IF(T163&gt;ROUNDDOWN(($C165+($D165+$C166)/12),0),0,0)))))))</f>
        <v>0</v>
      </c>
      <c r="U165" s="114">
        <f t="shared" ref="U165" ca="1" si="102">IF(U163="","",IF(U163&lt;$C165,0,IF(U163=$C165,U164/$C166*$E166+T166/$C166*$E166,IF(AND(U163&gt;$C165,U163&lt;ROUNDDOWN(($C165+($D165+$C166-1)/12),0)),(U164/2+T166)/($C166-$E166-12*(U163-$C165-1))*12,IF(AND($D166&lt;0,U163=ROUNDDOWN(($C165+($D165+$C166-1)/12),0)),T166+U164,IF(U163=ROUNDDOWN(($C165+($D165+$C166-1)/12),0),(U164+T166)/$C166*($D166+(U163-$C165-1)*12+$E166),IF(U163&gt;ROUNDDOWN(($C165+($D165+$C166)/12),0),0,0)))))))</f>
        <v>0</v>
      </c>
      <c r="V165" s="114">
        <f t="shared" ref="V165" ca="1" si="103">IF(V163="","",IF(V163&lt;$C165,0,IF(V163=$C165,V164/$C166*$E166+U166/$C166*$E166,IF(AND(V163&gt;$C165,V163&lt;ROUNDDOWN(($C165+($D165+$C166-1)/12),0)),(V164/2+U166)/($C166-$E166-12*(V163-$C165-1))*12,IF(AND($D166&lt;0,V163=ROUNDDOWN(($C165+($D165+$C166-1)/12),0)),U166+V164,IF(V163=ROUNDDOWN(($C165+($D165+$C166-1)/12),0),(V164+U166)/$C166*($D166+(V163-$C165-1)*12+$E166),IF(V163&gt;ROUNDDOWN(($C165+($D165+$C166)/12),0),0,0)))))))</f>
        <v>0</v>
      </c>
      <c r="W165" s="114">
        <f t="shared" ref="W165" ca="1" si="104">IF(W163="","",IF(W163&lt;$C165,0,IF(W163=$C165,W164/$C166*$E166+V166/$C166*$E166,IF(AND(W163&gt;$C165,W163&lt;ROUNDDOWN(($C165+($D165+$C166-1)/12),0)),(W164/2+V166)/($C166-$E166-12*(W163-$C165-1))*12,IF(AND($D166&lt;0,W163=ROUNDDOWN(($C165+($D165+$C166-1)/12),0)),V166+W164,IF(W163=ROUNDDOWN(($C165+($D165+$C166-1)/12),0),(W164+V166)/$C166*($D166+(W163-$C165-1)*12+$E166),IF(W163&gt;ROUNDDOWN(($C165+($D165+$C166)/12),0),0,0)))))))</f>
        <v>0</v>
      </c>
      <c r="X165" s="114" t="str">
        <f t="shared" ref="X165" ca="1" si="105">IF(X163="","",IF(X163&lt;$C165,0,IF(X163=$C165,X164/$C166*$E166+W166/$C166*$E166,IF(AND(X163&gt;$C165,X163&lt;ROUNDDOWN(($C165+($D165+$C166-1)/12),0)),(X164/2+W166)/($C166-$E166-12*(X163-$C165-1))*12,IF(AND($D166&lt;0,X163=ROUNDDOWN(($C165+($D165+$C166-1)/12),0)),W166+X164,IF(X163=ROUNDDOWN(($C165+($D165+$C166-1)/12),0),(X164+W166)/$C166*($D166+(X163-$C165-1)*12+$E166),IF(X163&gt;ROUNDDOWN(($C165+($D165+$C166)/12),0),0,0)))))))</f>
        <v/>
      </c>
      <c r="Y165" s="114" t="str">
        <f t="shared" ref="Y165" ca="1" si="106">IF(Y163="","",IF(Y163&lt;$C165,0,IF(Y163=$C165,Y164/$C166*$E166+X166/$C166*$E166,IF(AND(Y163&gt;$C165,Y163&lt;ROUNDDOWN(($C165+($D165+$C166-1)/12),0)),(Y164/2+X166)/($C166-$E166-12*(Y163-$C165-1))*12,IF(AND($D166&lt;0,Y163=ROUNDDOWN(($C165+($D165+$C166-1)/12),0)),X166+Y164,IF(Y163=ROUNDDOWN(($C165+($D165+$C166-1)/12),0),(Y164+X166)/$C166*($D166+(Y163-$C165-1)*12+$E166),IF(Y163&gt;ROUNDDOWN(($C165+($D165+$C166)/12),0),0,0)))))))</f>
        <v/>
      </c>
      <c r="Z165" s="114" t="str">
        <f ca="1">IF(Z163="","",IF(Z163&lt;$C165,0,IF(Z163=$C165,Z164/$C166*$E166+Y166/$C166*$E166,IF(AND(Z163&gt;$C165,Z163&lt;ROUNDDOWN(($C165+($D165+$C166-1)/12),0)),(Z164/2+Y166)/($C166-$E166-12*(Z163-$C165-1))*12,IF(AND($D166&lt;0,Z163=ROUNDDOWN(($C165+($D165+$C166-1)/12),0)),Y166+Z164,IF(Z163=ROUNDDOWN(($C165+($D165+$C166-1)/12),0),(Z164+Y166)/$C166*($D166+(Z163-$C165-1)*12+$E166),IF(Z163&gt;ROUNDDOWN(($C165+($D165+$C166)/12),0),0,0)))))))</f>
        <v/>
      </c>
      <c r="AA165" s="114" t="str">
        <f t="shared" ref="AA165" ca="1" si="107">IF(AA163="","",IF(AA163&lt;$C165,0,IF(AA163=$C165,AA164/$C166*$E166+Z166/$C166*$E166,IF(AND(AA163&gt;$C165,AA163&lt;ROUNDDOWN(($C165+($D165+$C166-1)/12),0)),(AA164/2+Z166)/($C166-$E166-12*(AA163-$C165-1))*12,IF(AND($D166&lt;0,AA163=ROUNDDOWN(($C165+($D165+$C166-1)/12),0)),Z166+AA164,IF(AA163=ROUNDDOWN(($C165+($D165+$C166-1)/12),0),(AA164+Z166)/$C166*($D166+(AA163-$C165-1)*12+$E166),IF(AA163&gt;ROUNDDOWN(($C165+($D165+$C166)/12),0),0,0)))))))</f>
        <v/>
      </c>
      <c r="AB165" s="114" t="str">
        <f t="shared" ref="AB165" ca="1" si="108">IF(AB163="","",IF(AB163&lt;$C165,0,IF(AB163=$C165,AB164/$C166*$E166+AA166/$C166*$E166,IF(AND(AB163&gt;$C165,AB163&lt;ROUNDDOWN(($C165+($D165+$C166-1)/12),0)),(AB164/2+AA166)/($C166-$E166-12*(AB163-$C165-1))*12,IF(AND($D166&lt;0,AB163=ROUNDDOWN(($C165+($D165+$C166-1)/12),0)),AA166+AB164,IF(AB163=ROUNDDOWN(($C165+($D165+$C166-1)/12),0),(AB164+AA166)/$C166*($D166+(AB163-$C165-1)*12+$E166),IF(AB163&gt;ROUNDDOWN(($C165+($D165+$C166)/12),0),0,0)))))))</f>
        <v/>
      </c>
      <c r="AC165" s="114" t="str">
        <f t="shared" ref="AC165" ca="1" si="109">IF(AC163="","",IF(AC163&lt;$C165,0,IF(AC163=$C165,AC164/$C166*$E166+AB166/$C166*$E166,IF(AND(AC163&gt;$C165,AC163&lt;ROUNDDOWN(($C165+($D165+$C166-1)/12),0)),(AC164/2+AB166)/($C166-$E166-12*(AC163-$C165-1))*12,IF(AND($D166&lt;0,AC163=ROUNDDOWN(($C165+($D165+$C166-1)/12),0)),AB166+AC164,IF(AC163=ROUNDDOWN(($C165+($D165+$C166-1)/12),0),(AC164+AB166)/$C166*($D166+(AC163-$C165-1)*12+$E166),IF(AC163&gt;ROUNDDOWN(($C165+($D165+$C166)/12),0),0,0)))))))</f>
        <v/>
      </c>
      <c r="AD165" s="114" t="str">
        <f t="shared" ref="AD165" ca="1" si="110">IF(AD163="","",IF(AD163&lt;$C165,0,IF(AD163=$C165,AD164/$C166*$E166+AC166/$C166*$E166,IF(AND(AD163&gt;$C165,AD163&lt;ROUNDDOWN(($C165+($D165+$C166-1)/12),0)),(AD164/2+AC166)/($C166-$E166-12*(AD163-$C165-1))*12,IF(AND($D166&lt;0,AD163=ROUNDDOWN(($C165+($D165+$C166-1)/12),0)),AC166+AD164,IF(AD163=ROUNDDOWN(($C165+($D165+$C166-1)/12),0),(AD164+AC166)/$C166*($D166+(AD163-$C165-1)*12+$E166),IF(AD163&gt;ROUNDDOWN(($C165+($D165+$C166)/12),0),0,0)))))))</f>
        <v/>
      </c>
      <c r="AE165" s="114" t="str">
        <f t="shared" ref="AE165" ca="1" si="111">IF(AE163="","",IF(AE163&lt;$C165,0,IF(AE163=$C165,AE164/$C166*$E166+AD166/$C166*$E166,IF(AND(AE163&gt;$C165,AE163&lt;ROUNDDOWN(($C165+($D165+$C166-1)/12),0)),(AE164/2+AD166)/($C166-$E166-12*(AE163-$C165-1))*12,IF(AND($D166&lt;0,AE163=ROUNDDOWN(($C165+($D165+$C166-1)/12),0)),AD166+AE164,IF(AE163=ROUNDDOWN(($C165+($D165+$C166-1)/12),0),(AE164+AD166)/$C166*($D166+(AE163-$C165-1)*12+$E166),IF(AE163&gt;ROUNDDOWN(($C165+($D165+$C166)/12),0),0,0)))))))</f>
        <v/>
      </c>
      <c r="AF165" s="114" t="str">
        <f t="shared" ref="AF165" ca="1" si="112">IF(AF163="","",IF(AF163&lt;$C165,0,IF(AF163=$C165,AF164/$C166*$E166+AE166/$C166*$E166,IF(AND(AF163&gt;$C165,AF163&lt;ROUNDDOWN(($C165+($D165+$C166-1)/12),0)),(AF164/2+AE166)/($C166-$E166-12*(AF163-$C165-1))*12,IF(AND($D166&lt;0,AF163=ROUNDDOWN(($C165+($D165+$C166-1)/12),0)),AE166+AF164,IF(AF163=ROUNDDOWN(($C165+($D165+$C166-1)/12),0),(AF164+AE166)/$C166*($D166+(AF163-$C165-1)*12+$E166),IF(AF163&gt;ROUNDDOWN(($C165+($D165+$C166)/12),0),0,0)))))))</f>
        <v/>
      </c>
      <c r="AG165" s="114" t="str">
        <f t="shared" ref="AG165" ca="1" si="113">IF(AG163="","",IF(AG163&lt;$C165,0,IF(AG163=$C165,AG164/$C166*$E166+AF166/$C166*$E166,IF(AND(AG163&gt;$C165,AG163&lt;ROUNDDOWN(($C165+($D165+$C166-1)/12),0)),(AG164/2+AF166)/($C166-$E166-12*(AG163-$C165-1))*12,IF(AND($D166&lt;0,AG163=ROUNDDOWN(($C165+($D165+$C166-1)/12),0)),AF166+AG164,IF(AG163=ROUNDDOWN(($C165+($D165+$C166-1)/12),0),(AG164+AF166)/$C166*($D166+(AG163-$C165-1)*12+$E166),IF(AG163&gt;ROUNDDOWN(($C165+($D165+$C166)/12),0),0,0)))))))</f>
        <v/>
      </c>
      <c r="AH165" s="114" t="str">
        <f t="shared" ref="AH165" ca="1" si="114">IF(AH163="","",IF(AH163&lt;$C165,0,IF(AH163=$C165,AH164/$C166*$E166+AG166/$C166*$E166,IF(AND(AH163&gt;$C165,AH163&lt;ROUNDDOWN(($C165+($D165+$C166-1)/12),0)),(AH164/2+AG166)/($C166-$E166-12*(AH163-$C165-1))*12,IF(AND($D166&lt;0,AH163=ROUNDDOWN(($C165+($D165+$C166-1)/12),0)),AG166+AH164,IF(AH163=ROUNDDOWN(($C165+($D165+$C166-1)/12),0),(AH164+AG166)/$C166*($D166+(AH163-$C165-1)*12+$E166),IF(AH163&gt;ROUNDDOWN(($C165+($D165+$C166)/12),0),0,0)))))))</f>
        <v/>
      </c>
      <c r="AI165" s="114" t="str">
        <f t="shared" ref="AI165" ca="1" si="115">IF(AI163="","",IF(AI163&lt;$C165,0,IF(AI163=$C165,AI164/$C166*$E166+AH166/$C166*$E166,IF(AND(AI163&gt;$C165,AI163&lt;ROUNDDOWN(($C165+($D165+$C166-1)/12),0)),(AI164/2+AH166)/($C166-$E166-12*(AI163-$C165-1))*12,IF(AND($D166&lt;0,AI163=ROUNDDOWN(($C165+($D165+$C166-1)/12),0)),AH166+AI164,IF(AI163=ROUNDDOWN(($C165+($D165+$C166-1)/12),0),(AI164+AH166)/$C166*($D166+(AI163-$C165-1)*12+$E166),IF(AI163&gt;ROUNDDOWN(($C165+($D165+$C166)/12),0),0,0)))))))</f>
        <v/>
      </c>
      <c r="AJ165" s="114" t="str">
        <f t="shared" ref="AJ165" ca="1" si="116">IF(AJ163="","",IF(AJ163&lt;$C165,0,IF(AJ163=$C165,AJ164/$C166*$E166+AI166/$C166*$E166,IF(AND(AJ163&gt;$C165,AJ163&lt;ROUNDDOWN(($C165+($D165+$C166-1)/12),0)),(AJ164/2+AI166)/($C166-$E166-12*(AJ163-$C165-1))*12,IF(AND($D166&lt;0,AJ163=ROUNDDOWN(($C165+($D165+$C166-1)/12),0)),AI166+AJ164,IF(AJ163=ROUNDDOWN(($C165+($D165+$C166-1)/12),0),(AJ164+AI166)/$C166*($D166+(AJ163-$C165-1)*12+$E166),IF(AJ163&gt;ROUNDDOWN(($C165+($D165+$C166)/12),0),0,0)))))))</f>
        <v/>
      </c>
      <c r="AK165" s="114" t="str">
        <f t="shared" ref="AK165" ca="1" si="117">IF(AK163="","",IF(AK163&lt;$C165,0,IF(AK163=$C165,AK164/$C166*$E166+AJ166/$C166*$E166,IF(AND(AK163&gt;$C165,AK163&lt;ROUNDDOWN(($C165+($D165+$C166-1)/12),0)),(AK164/2+AJ166)/($C166-$E166-12*(AK163-$C165-1))*12,IF(AND($D166&lt;0,AK163=ROUNDDOWN(($C165+($D165+$C166-1)/12),0)),AJ166+AK164,IF(AK163=ROUNDDOWN(($C165+($D165+$C166-1)/12),0),(AK164+AJ166)/$C166*($D166+(AK163-$C165-1)*12+$E166),IF(AK163&gt;ROUNDDOWN(($C165+($D165+$C166)/12),0),0,0)))))))</f>
        <v/>
      </c>
      <c r="AL165" s="114" t="str">
        <f t="shared" ref="AL165" ca="1" si="118">IF(AL163="","",IF(AL163&lt;$C165,0,IF(AL163=$C165,AL164/$C166*$E166+AK166/$C166*$E166,IF(AND(AL163&gt;$C165,AL163&lt;ROUNDDOWN(($C165+($D165+$C166-1)/12),0)),(AL164/2+AK166)/($C166-$E166-12*(AL163-$C165-1))*12,IF(AND($D166&lt;0,AL163=ROUNDDOWN(($C165+($D165+$C166-1)/12),0)),AK166+AL164,IF(AL163=ROUNDDOWN(($C165+($D165+$C166-1)/12),0),(AL164+AK166)/$C166*($D166+(AL163-$C165-1)*12+$E166),IF(AL163&gt;ROUNDDOWN(($C165+($D165+$C166)/12),0),0,0)))))))</f>
        <v/>
      </c>
      <c r="AM165" s="114" t="str">
        <f t="shared" ref="AM165" ca="1" si="119">IF(AM163="","",IF(AM163&lt;$C165,0,IF(AM163=$C165,AM164/$C166*$E166+AL166/$C166*$E166,IF(AND(AM163&gt;$C165,AM163&lt;ROUNDDOWN(($C165+($D165+$C166-1)/12),0)),(AM164/2+AL166)/($C166-$E166-12*(AM163-$C165-1))*12,IF(AND($D166&lt;0,AM163=ROUNDDOWN(($C165+($D165+$C166-1)/12),0)),AL166+AM164,IF(AM163=ROUNDDOWN(($C165+($D165+$C166-1)/12),0),(AM164+AL166)/$C166*($D166+(AM163-$C165-1)*12+$E166),IF(AM163&gt;ROUNDDOWN(($C165+($D165+$C166)/12),0),0,0)))))))</f>
        <v/>
      </c>
      <c r="AN165" s="114" t="str">
        <f t="shared" ref="AN165" ca="1" si="120">IF(AN163="","",IF(AN163&lt;$C165,0,IF(AN163=$C165,AN164/$C166*$E166+AM166/$C166*$E166,IF(AND(AN163&gt;$C165,AN163&lt;ROUNDDOWN(($C165+($D165+$C166-1)/12),0)),(AN164/2+AM166)/($C166-$E166-12*(AN163-$C165-1))*12,IF(AND($D166&lt;0,AN163=ROUNDDOWN(($C165+($D165+$C166-1)/12),0)),AM166+AN164,IF(AN163=ROUNDDOWN(($C165+($D165+$C166-1)/12),0),(AN164+AM166)/$C166*($D166+(AN163-$C165-1)*12+$E166),IF(AN163&gt;ROUNDDOWN(($C165+($D165+$C166)/12),0),0,0)))))))</f>
        <v/>
      </c>
      <c r="AO165" s="114" t="str">
        <f t="shared" ref="AO165" ca="1" si="121">IF(AO163="","",IF(AO163&lt;$C165,0,IF(AO163=$C165,AO164/$C166*$E166+AN166/$C166*$E166,IF(AND(AO163&gt;$C165,AO163&lt;ROUNDDOWN(($C165+($D165+$C166-1)/12),0)),(AO164/2+AN166)/($C166-$E166-12*(AO163-$C165-1))*12,IF(AND($D166&lt;0,AO163=ROUNDDOWN(($C165+($D165+$C166-1)/12),0)),AN166+AO164,IF(AO163=ROUNDDOWN(($C165+($D165+$C166-1)/12),0),(AO164+AN166)/$C166*($D166+(AO163-$C165-1)*12+$E166),IF(AO163&gt;ROUNDDOWN(($C165+($D165+$C166)/12),0),0,0)))))))</f>
        <v/>
      </c>
      <c r="AP165" s="114" t="str">
        <f t="shared" ref="AP165" ca="1" si="122">IF(AP163="","",IF(AP163&lt;$C165,0,IF(AP163=$C165,AP164/$C166*$E166+AO166/$C166*$E166,IF(AND(AP163&gt;$C165,AP163&lt;ROUNDDOWN(($C165+($D165+$C166-1)/12),0)),(AP164/2+AO166)/($C166-$E166-12*(AP163-$C165-1))*12,IF(AND($D166&lt;0,AP163=ROUNDDOWN(($C165+($D165+$C166-1)/12),0)),AO166+AP164,IF(AP163=ROUNDDOWN(($C165+($D165+$C166-1)/12),0),(AP164+AO166)/$C166*($D166+(AP163-$C165-1)*12+$E166),IF(AP163&gt;ROUNDDOWN(($C165+($D165+$C166)/12),0),0,0)))))))</f>
        <v/>
      </c>
      <c r="AQ165" s="114" t="str">
        <f t="shared" ref="AQ165" ca="1" si="123">IF(AQ163="","",IF(AQ163&lt;$C165,0,IF(AQ163=$C165,AQ164/$C166*$E166+AP166/$C166*$E166,IF(AND(AQ163&gt;$C165,AQ163&lt;ROUNDDOWN(($C165+($D165+$C166-1)/12),0)),(AQ164/2+AP166)/($C166-$E166-12*(AQ163-$C165-1))*12,IF(AND($D166&lt;0,AQ163=ROUNDDOWN(($C165+($D165+$C166-1)/12),0)),AP166+AQ164,IF(AQ163=ROUNDDOWN(($C165+($D165+$C166-1)/12),0),(AQ164+AP166)/$C166*($D166+(AQ163-$C165-1)*12+$E166),IF(AQ163&gt;ROUNDDOWN(($C165+($D165+$C166)/12),0),0,0)))))))</f>
        <v/>
      </c>
      <c r="AR165" s="114" t="str">
        <f t="shared" ref="AR165" ca="1" si="124">IF(AR163="","",IF(AR163&lt;$C165,0,IF(AR163=$C165,AR164/$C166*$E166+AQ166/$C166*$E166,IF(AND(AR163&gt;$C165,AR163&lt;ROUNDDOWN(($C165+($D165+$C166-1)/12),0)),(AR164/2+AQ166)/($C166-$E166-12*(AR163-$C165-1))*12,IF(AND($D166&lt;0,AR163=ROUNDDOWN(($C165+($D165+$C166-1)/12),0)),AQ166+AR164,IF(AR163=ROUNDDOWN(($C165+($D165+$C166-1)/12),0),(AR164+AQ166)/$C166*($D166+(AR163-$C165-1)*12+$E166),IF(AR163&gt;ROUNDDOWN(($C165+($D165+$C166)/12),0),0,0)))))))</f>
        <v/>
      </c>
      <c r="AS165" s="114" t="str">
        <f t="shared" ref="AS165" ca="1" si="125">IF(AS163="","",IF(AS163&lt;$C165,0,IF(AS163=$C165,AS164/$C166*$E166+AR166/$C166*$E166,IF(AND(AS163&gt;$C165,AS163&lt;ROUNDDOWN(($C165+($D165+$C166-1)/12),0)),(AS164/2+AR166)/($C166-$E166-12*(AS163-$C165-1))*12,IF(AND($D166&lt;0,AS163=ROUNDDOWN(($C165+($D165+$C166-1)/12),0)),AR166+AS164,IF(AS163=ROUNDDOWN(($C165+($D165+$C166-1)/12),0),(AS164+AR166)/$C166*($D166+(AS163-$C165-1)*12+$E166),IF(AS163&gt;ROUNDDOWN(($C165+($D165+$C166)/12),0),0,0)))))))</f>
        <v/>
      </c>
      <c r="AT165" s="114" t="str">
        <f t="shared" ref="AT165" ca="1" si="126">IF(AT163="","",IF(AT163&lt;$C165,0,IF(AT163=$C165,AT164/$C166*$E166+AS166/$C166*$E166,IF(AND(AT163&gt;$C165,AT163&lt;ROUNDDOWN(($C165+($D165+$C166-1)/12),0)),(AT164/2+AS166)/($C166-$E166-12*(AT163-$C165-1))*12,IF(AND($D166&lt;0,AT163=ROUNDDOWN(($C165+($D165+$C166-1)/12),0)),AS166+AT164,IF(AT163=ROUNDDOWN(($C165+($D165+$C166-1)/12),0),(AT164+AS166)/$C166*($D166+(AT163-$C165-1)*12+$E166),IF(AT163&gt;ROUNDDOWN(($C165+($D165+$C166)/12),0),0,0)))))))</f>
        <v/>
      </c>
      <c r="AU165" s="114" t="str">
        <f t="shared" ref="AU165" ca="1" si="127">IF(AU163="","",IF(AU163&lt;$C165,0,IF(AU163=$C165,AU164/$C166*$E166+AT166/$C166*$E166,IF(AND(AU163&gt;$C165,AU163&lt;ROUNDDOWN(($C165+($D165+$C166-1)/12),0)),(AU164/2+AT166)/($C166-$E166-12*(AU163-$C165-1))*12,IF(AND($D166&lt;0,AU163=ROUNDDOWN(($C165+($D165+$C166-1)/12),0)),AT166+AU164,IF(AU163=ROUNDDOWN(($C165+($D165+$C166-1)/12),0),(AU164+AT166)/$C166*($D166+(AU163-$C165-1)*12+$E166),IF(AU163&gt;ROUNDDOWN(($C165+($D165+$C166)/12),0),0,0)))))))</f>
        <v/>
      </c>
      <c r="AV165" s="114" t="str">
        <f t="shared" ref="AV165" ca="1" si="128">IF(AV163="","",IF(AV163&lt;$C165,0,IF(AV163=$C165,AV164/$C166*$E166+AU166/$C166*$E166,IF(AND(AV163&gt;$C165,AV163&lt;ROUNDDOWN(($C165+($D165+$C166-1)/12),0)),(AV164/2+AU166)/($C166-$E166-12*(AV163-$C165-1))*12,IF(AND($D166&lt;0,AV163=ROUNDDOWN(($C165+($D165+$C166-1)/12),0)),AU166+AV164,IF(AV163=ROUNDDOWN(($C165+($D165+$C166-1)/12),0),(AV164+AU166)/$C166*($D166+(AV163-$C165-1)*12+$E166),IF(AV163&gt;ROUNDDOWN(($C165+($D165+$C166)/12),0),0,0)))))))</f>
        <v/>
      </c>
      <c r="AW165" s="114" t="str">
        <f t="shared" ref="AW165" ca="1" si="129">IF(AW163="","",IF(AW163&lt;$C165,0,IF(AW163=$C165,AW164/$C166*$E166+AV166/$C166*$E166,IF(AND(AW163&gt;$C165,AW163&lt;ROUNDDOWN(($C165+($D165+$C166-1)/12),0)),(AW164/2+AV166)/($C166-$E166-12*(AW163-$C165-1))*12,IF(AND($D166&lt;0,AW163=ROUNDDOWN(($C165+($D165+$C166-1)/12),0)),AV166+AW164,IF(AW163=ROUNDDOWN(($C165+($D165+$C166-1)/12),0),(AW164+AV166)/$C166*($D166+(AW163-$C165-1)*12+$E166),IF(AW163&gt;ROUNDDOWN(($C165+($D165+$C166)/12),0),0,0)))))))</f>
        <v/>
      </c>
      <c r="AX165" s="90"/>
      <c r="AY165" s="90"/>
      <c r="AZ165" s="87"/>
    </row>
    <row r="166" spans="3:52" ht="12.75" customHeight="1" x14ac:dyDescent="0.2">
      <c r="C166" s="128">
        <f>ROUNDUP((E165-ROUNDDOWN(E165,0))*12,0)+ROUNDDOWN(E165,0)*12</f>
        <v>0</v>
      </c>
      <c r="D166" s="128">
        <f>C166-E166-ROUNDDOWN(E165,0)*12</f>
        <v>-12</v>
      </c>
      <c r="E166" s="128">
        <f>13-MONTH(C164)</f>
        <v>12</v>
      </c>
      <c r="N166" s="85"/>
      <c r="O166" s="90"/>
      <c r="P166" s="90"/>
      <c r="Q166" s="115" t="str">
        <f>INDEX(g_lang_val,MATCH("tb_2_4_3",g_lang_key,0))</f>
        <v>FF4-gæld, ultimo året</v>
      </c>
      <c r="R166" s="116"/>
      <c r="S166" s="119"/>
      <c r="T166" s="114">
        <f t="shared" ref="T166" ca="1" si="130">IF(T163="","",S166+T164-T165)</f>
        <v>0</v>
      </c>
      <c r="U166" s="114">
        <f t="shared" ref="U166" ca="1" si="131">IF(U163="","",T166+U164-U165)</f>
        <v>0</v>
      </c>
      <c r="V166" s="114">
        <f t="shared" ref="V166" ca="1" si="132">IF(V163="","",U166+V164-V165)</f>
        <v>0</v>
      </c>
      <c r="W166" s="114">
        <f t="shared" ref="W166" ca="1" si="133">IF(W163="","",V166+W164-W165)</f>
        <v>0</v>
      </c>
      <c r="X166" s="114" t="str">
        <f t="shared" ref="X166" ca="1" si="134">IF(X163="","",W166+X164-X165)</f>
        <v/>
      </c>
      <c r="Y166" s="114" t="str">
        <f t="shared" ref="Y166" ca="1" si="135">IF(Y163="","",X166+Y164-Y165)</f>
        <v/>
      </c>
      <c r="Z166" s="114" t="str">
        <f t="shared" ref="Z166" ca="1" si="136">IF(Z163="","",Y166+Z164-Z165)</f>
        <v/>
      </c>
      <c r="AA166" s="114" t="str">
        <f t="shared" ref="AA166" ca="1" si="137">IF(AA163="","",Z166+AA164-AA165)</f>
        <v/>
      </c>
      <c r="AB166" s="114" t="str">
        <f t="shared" ref="AB166" ca="1" si="138">IF(AB163="","",AA166+AB164-AB165)</f>
        <v/>
      </c>
      <c r="AC166" s="114" t="str">
        <f t="shared" ref="AC166" ca="1" si="139">IF(AC163="","",AB166+AC164-AC165)</f>
        <v/>
      </c>
      <c r="AD166" s="114" t="str">
        <f t="shared" ref="AD166" ca="1" si="140">IF(AD163="","",AC166+AD164-AD165)</f>
        <v/>
      </c>
      <c r="AE166" s="114" t="str">
        <f t="shared" ref="AE166" ca="1" si="141">IF(AE163="","",AD166+AE164-AE165)</f>
        <v/>
      </c>
      <c r="AF166" s="114" t="str">
        <f t="shared" ref="AF166" ca="1" si="142">IF(AF163="","",AE166+AF164-AF165)</f>
        <v/>
      </c>
      <c r="AG166" s="114" t="str">
        <f t="shared" ref="AG166" ca="1" si="143">IF(AG163="","",AF166+AG164-AG165)</f>
        <v/>
      </c>
      <c r="AH166" s="114" t="str">
        <f t="shared" ref="AH166" ca="1" si="144">IF(AH163="","",AG166+AH164-AH165)</f>
        <v/>
      </c>
      <c r="AI166" s="114" t="str">
        <f t="shared" ref="AI166" ca="1" si="145">IF(AI163="","",AH166+AI164-AI165)</f>
        <v/>
      </c>
      <c r="AJ166" s="114" t="str">
        <f t="shared" ref="AJ166" ca="1" si="146">IF(AJ163="","",AI166+AJ164-AJ165)</f>
        <v/>
      </c>
      <c r="AK166" s="114" t="str">
        <f t="shared" ref="AK166" ca="1" si="147">IF(AK163="","",AJ166+AK164-AK165)</f>
        <v/>
      </c>
      <c r="AL166" s="114" t="str">
        <f t="shared" ref="AL166" ca="1" si="148">IF(AL163="","",AK166+AL164-AL165)</f>
        <v/>
      </c>
      <c r="AM166" s="114" t="str">
        <f t="shared" ref="AM166" ca="1" si="149">IF(AM163="","",AL166+AM164-AM165)</f>
        <v/>
      </c>
      <c r="AN166" s="114" t="str">
        <f t="shared" ref="AN166" ca="1" si="150">IF(AN163="","",AM166+AN164-AN165)</f>
        <v/>
      </c>
      <c r="AO166" s="114" t="str">
        <f t="shared" ref="AO166" ca="1" si="151">IF(AO163="","",AN166+AO164-AO165)</f>
        <v/>
      </c>
      <c r="AP166" s="114" t="str">
        <f t="shared" ref="AP166" ca="1" si="152">IF(AP163="","",AO166+AP164-AP165)</f>
        <v/>
      </c>
      <c r="AQ166" s="114" t="str">
        <f t="shared" ref="AQ166" ca="1" si="153">IF(AQ163="","",AP166+AQ164-AQ165)</f>
        <v/>
      </c>
      <c r="AR166" s="114" t="str">
        <f t="shared" ref="AR166" ca="1" si="154">IF(AR163="","",AQ166+AR164-AR165)</f>
        <v/>
      </c>
      <c r="AS166" s="114" t="str">
        <f t="shared" ref="AS166" ca="1" si="155">IF(AS163="","",AR166+AS164-AS165)</f>
        <v/>
      </c>
      <c r="AT166" s="114" t="str">
        <f t="shared" ref="AT166" ca="1" si="156">IF(AT163="","",AS166+AT164-AT165)</f>
        <v/>
      </c>
      <c r="AU166" s="114" t="str">
        <f t="shared" ref="AU166" ca="1" si="157">IF(AU163="","",AT166+AU164-AU165)</f>
        <v/>
      </c>
      <c r="AV166" s="114" t="str">
        <f t="shared" ref="AV166" ca="1" si="158">IF(AV163="","",AU166+AV164-AV165)</f>
        <v/>
      </c>
      <c r="AW166" s="114" t="str">
        <f t="shared" ref="AW166" ca="1" si="159">IF(AW163="","",AV166+AW164-AW165)</f>
        <v/>
      </c>
      <c r="AX166" s="90"/>
      <c r="AY166" s="90"/>
      <c r="AZ166" s="87"/>
    </row>
    <row r="167" spans="3:52" ht="12.75" customHeight="1" x14ac:dyDescent="0.2">
      <c r="N167" s="85"/>
      <c r="O167" s="90"/>
      <c r="P167" s="90"/>
      <c r="Q167" s="115" t="str">
        <f>INDEX(g_lang_val,MATCH("tb_2_4_4",g_lang_key,0))</f>
        <v>Renter (FF4)</v>
      </c>
      <c r="R167" s="116"/>
      <c r="S167" s="119">
        <f ca="1">SUM(T167:BG167)</f>
        <v>0</v>
      </c>
      <c r="T167" s="114">
        <f t="shared" ref="T167" ca="1" si="160">IF(T163="","",g_interest_FF4*(S166+(T164/2)-(T165/2)))</f>
        <v>0</v>
      </c>
      <c r="U167" s="114">
        <f t="shared" ref="U167" ca="1" si="161">IF(U163="","",g_interest_FF4*(T166+(U164/2)-(U165/2)))</f>
        <v>0</v>
      </c>
      <c r="V167" s="114">
        <f t="shared" ref="V167" ca="1" si="162">IF(V163="","",g_interest_FF4*(U166+(V164/2)-(V165/2)))</f>
        <v>0</v>
      </c>
      <c r="W167" s="114">
        <f t="shared" ref="W167" ca="1" si="163">IF(W163="","",g_interest_FF4*(V166+(W164/2)-(W165/2)))</f>
        <v>0</v>
      </c>
      <c r="X167" s="114" t="str">
        <f t="shared" ref="X167" ca="1" si="164">IF(X163="","",g_interest_FF4*(W166+(X164/2)-(X165/2)))</f>
        <v/>
      </c>
      <c r="Y167" s="114" t="str">
        <f t="shared" ref="Y167" ca="1" si="165">IF(Y163="","",g_interest_FF4*(X166+(Y164/2)-(Y165/2)))</f>
        <v/>
      </c>
      <c r="Z167" s="114" t="str">
        <f t="shared" ref="Z167" ca="1" si="166">IF(Z163="","",g_interest_FF4*(Y166+(Z164/2)-(Z165/2)))</f>
        <v/>
      </c>
      <c r="AA167" s="114" t="str">
        <f t="shared" ref="AA167" ca="1" si="167">IF(AA163="","",g_interest_FF4*(Z166+(AA164/2)-(AA165/2)))</f>
        <v/>
      </c>
      <c r="AB167" s="114" t="str">
        <f t="shared" ref="AB167" ca="1" si="168">IF(AB163="","",g_interest_FF4*(AA166+(AB164/2)-(AB165/2)))</f>
        <v/>
      </c>
      <c r="AC167" s="114" t="str">
        <f t="shared" ref="AC167" ca="1" si="169">IF(AC163="","",g_interest_FF4*(AB166+(AC164/2)-(AC165/2)))</f>
        <v/>
      </c>
      <c r="AD167" s="114" t="str">
        <f t="shared" ref="AD167" ca="1" si="170">IF(AD163="","",g_interest_FF4*(AC166+(AD164/2)-(AD165/2)))</f>
        <v/>
      </c>
      <c r="AE167" s="114" t="str">
        <f t="shared" ref="AE167" ca="1" si="171">IF(AE163="","",g_interest_FF4*(AD166+(AE164/2)-(AE165/2)))</f>
        <v/>
      </c>
      <c r="AF167" s="114" t="str">
        <f t="shared" ref="AF167" ca="1" si="172">IF(AF163="","",g_interest_FF4*(AE166+(AF164/2)-(AF165/2)))</f>
        <v/>
      </c>
      <c r="AG167" s="114" t="str">
        <f t="shared" ref="AG167" ca="1" si="173">IF(AG163="","",g_interest_FF4*(AF166+(AG164/2)-(AG165/2)))</f>
        <v/>
      </c>
      <c r="AH167" s="114" t="str">
        <f t="shared" ref="AH167" ca="1" si="174">IF(AH163="","",g_interest_FF4*(AG166+(AH164/2)-(AH165/2)))</f>
        <v/>
      </c>
      <c r="AI167" s="114" t="str">
        <f t="shared" ref="AI167" ca="1" si="175">IF(AI163="","",g_interest_FF4*(AH166+(AI164/2)-(AI165/2)))</f>
        <v/>
      </c>
      <c r="AJ167" s="114" t="str">
        <f t="shared" ref="AJ167" ca="1" si="176">IF(AJ163="","",g_interest_FF4*(AI166+(AJ164/2)-(AJ165/2)))</f>
        <v/>
      </c>
      <c r="AK167" s="114" t="str">
        <f t="shared" ref="AK167" ca="1" si="177">IF(AK163="","",g_interest_FF4*(AJ166+(AK164/2)-(AK165/2)))</f>
        <v/>
      </c>
      <c r="AL167" s="114" t="str">
        <f t="shared" ref="AL167" ca="1" si="178">IF(AL163="","",g_interest_FF4*(AK166+(AL164/2)-(AL165/2)))</f>
        <v/>
      </c>
      <c r="AM167" s="114" t="str">
        <f t="shared" ref="AM167" ca="1" si="179">IF(AM163="","",g_interest_FF4*(AL166+(AM164/2)-(AM165/2)))</f>
        <v/>
      </c>
      <c r="AN167" s="114" t="str">
        <f t="shared" ref="AN167" ca="1" si="180">IF(AN163="","",g_interest_FF4*(AM166+(AN164/2)-(AN165/2)))</f>
        <v/>
      </c>
      <c r="AO167" s="114" t="str">
        <f t="shared" ref="AO167" ca="1" si="181">IF(AO163="","",g_interest_FF4*(AN166+(AO164/2)-(AO165/2)))</f>
        <v/>
      </c>
      <c r="AP167" s="114" t="str">
        <f t="shared" ref="AP167" ca="1" si="182">IF(AP163="","",g_interest_FF4*(AO166+(AP164/2)-(AP165/2)))</f>
        <v/>
      </c>
      <c r="AQ167" s="114" t="str">
        <f t="shared" ref="AQ167" ca="1" si="183">IF(AQ163="","",g_interest_FF4*(AP166+(AQ164/2)-(AQ165/2)))</f>
        <v/>
      </c>
      <c r="AR167" s="114" t="str">
        <f t="shared" ref="AR167" ca="1" si="184">IF(AR163="","",g_interest_FF4*(AQ166+(AR164/2)-(AR165/2)))</f>
        <v/>
      </c>
      <c r="AS167" s="114" t="str">
        <f t="shared" ref="AS167" ca="1" si="185">IF(AS163="","",g_interest_FF4*(AR166+(AS164/2)-(AS165/2)))</f>
        <v/>
      </c>
      <c r="AT167" s="114" t="str">
        <f t="shared" ref="AT167" ca="1" si="186">IF(AT163="","",g_interest_FF4*(AS166+(AT164/2)-(AT165/2)))</f>
        <v/>
      </c>
      <c r="AU167" s="114" t="str">
        <f t="shared" ref="AU167" ca="1" si="187">IF(AU163="","",g_interest_FF4*(AT166+(AU164/2)-(AU165/2)))</f>
        <v/>
      </c>
      <c r="AV167" s="114" t="str">
        <f t="shared" ref="AV167" ca="1" si="188">IF(AV163="","",g_interest_FF4*(AU166+(AV164/2)-(AV165/2)))</f>
        <v/>
      </c>
      <c r="AW167" s="114" t="str">
        <f t="shared" ref="AW167" ca="1" si="189">IF(AW163="","",g_interest_FF4*(AV166+(AW164/2)-(AW165/2)))</f>
        <v/>
      </c>
      <c r="AX167" s="90"/>
      <c r="AY167" s="90"/>
      <c r="AZ167" s="87"/>
    </row>
    <row r="168" spans="3:52" ht="12.75" customHeight="1" x14ac:dyDescent="0.2">
      <c r="N168" s="85"/>
      <c r="O168" s="90"/>
      <c r="P168" s="90"/>
      <c r="Q168" s="118" t="str">
        <f>INDEX(g_assets_sc_1,5)</f>
        <v/>
      </c>
      <c r="R168" s="118"/>
      <c r="S168" s="113"/>
      <c r="T168" s="125">
        <f ca="1">T$157</f>
        <v>2026</v>
      </c>
      <c r="U168" s="125">
        <f t="shared" ref="U168:AW168" ca="1" si="190">U$157</f>
        <v>2027</v>
      </c>
      <c r="V168" s="125">
        <f t="shared" ca="1" si="190"/>
        <v>2028</v>
      </c>
      <c r="W168" s="125">
        <f t="shared" ca="1" si="190"/>
        <v>2029</v>
      </c>
      <c r="X168" s="125" t="str">
        <f t="shared" ca="1" si="190"/>
        <v/>
      </c>
      <c r="Y168" s="125" t="str">
        <f t="shared" ca="1" si="190"/>
        <v/>
      </c>
      <c r="Z168" s="125" t="str">
        <f t="shared" ca="1" si="190"/>
        <v/>
      </c>
      <c r="AA168" s="125" t="str">
        <f t="shared" ca="1" si="190"/>
        <v/>
      </c>
      <c r="AB168" s="125" t="str">
        <f t="shared" ca="1" si="190"/>
        <v/>
      </c>
      <c r="AC168" s="125" t="str">
        <f t="shared" ca="1" si="190"/>
        <v/>
      </c>
      <c r="AD168" s="125" t="str">
        <f t="shared" ca="1" si="190"/>
        <v/>
      </c>
      <c r="AE168" s="125" t="str">
        <f t="shared" ca="1" si="190"/>
        <v/>
      </c>
      <c r="AF168" s="125" t="str">
        <f t="shared" ca="1" si="190"/>
        <v/>
      </c>
      <c r="AG168" s="125" t="str">
        <f t="shared" ca="1" si="190"/>
        <v/>
      </c>
      <c r="AH168" s="125" t="str">
        <f t="shared" ca="1" si="190"/>
        <v/>
      </c>
      <c r="AI168" s="125" t="str">
        <f t="shared" ca="1" si="190"/>
        <v/>
      </c>
      <c r="AJ168" s="125" t="str">
        <f t="shared" ca="1" si="190"/>
        <v/>
      </c>
      <c r="AK168" s="125" t="str">
        <f t="shared" ca="1" si="190"/>
        <v/>
      </c>
      <c r="AL168" s="125" t="str">
        <f t="shared" ca="1" si="190"/>
        <v/>
      </c>
      <c r="AM168" s="125" t="str">
        <f t="shared" ca="1" si="190"/>
        <v/>
      </c>
      <c r="AN168" s="125" t="str">
        <f t="shared" ca="1" si="190"/>
        <v/>
      </c>
      <c r="AO168" s="125" t="str">
        <f t="shared" ca="1" si="190"/>
        <v/>
      </c>
      <c r="AP168" s="125" t="str">
        <f t="shared" ca="1" si="190"/>
        <v/>
      </c>
      <c r="AQ168" s="125" t="str">
        <f t="shared" ca="1" si="190"/>
        <v/>
      </c>
      <c r="AR168" s="125" t="str">
        <f t="shared" ca="1" si="190"/>
        <v/>
      </c>
      <c r="AS168" s="125" t="str">
        <f t="shared" ca="1" si="190"/>
        <v/>
      </c>
      <c r="AT168" s="125" t="str">
        <f t="shared" ca="1" si="190"/>
        <v/>
      </c>
      <c r="AU168" s="125" t="str">
        <f t="shared" ca="1" si="190"/>
        <v/>
      </c>
      <c r="AV168" s="125" t="str">
        <f t="shared" ca="1" si="190"/>
        <v/>
      </c>
      <c r="AW168" s="125" t="str">
        <f t="shared" ca="1" si="190"/>
        <v/>
      </c>
      <c r="AX168" s="90"/>
      <c r="AY168" s="90"/>
      <c r="AZ168" s="87"/>
    </row>
    <row r="169" spans="3:52" ht="12.75" customHeight="1" x14ac:dyDescent="0.2">
      <c r="C169" s="126">
        <f>INDEX(g_sc_1_assets_dates,G169)</f>
        <v>0</v>
      </c>
      <c r="G169" s="127">
        <v>3</v>
      </c>
      <c r="N169" s="85"/>
      <c r="O169" s="90"/>
      <c r="P169" s="90"/>
      <c r="Q169" s="115" t="str">
        <f>INDEX(g_lang_val,MATCH("tb_2_4_1",g_lang_key,0))</f>
        <v>Køb af anlægsaktiver</v>
      </c>
      <c r="R169" s="116"/>
      <c r="S169" s="119">
        <f ca="1">SUM(T169:BG169)</f>
        <v>0</v>
      </c>
      <c r="T169" s="114">
        <f ca="1">IF(T168="","",SUMPRODUCT(--(Leverancer!$C$28:$C$88=($G169+2)),Leverancer!D$28:D$88)/1000)</f>
        <v>0</v>
      </c>
      <c r="U169" s="114">
        <f ca="1">IF(U168="","",SUMPRODUCT(--(Leverancer!$C$28:$C$88=($G169+2)),Leverancer!E$28:E$88)/1000)</f>
        <v>0</v>
      </c>
      <c r="V169" s="114">
        <f ca="1">IF(V168="","",SUMPRODUCT(--(Leverancer!$C$28:$C$88=($G169+2)),Leverancer!F$28:F$88)/1000)</f>
        <v>0</v>
      </c>
      <c r="W169" s="114">
        <f ca="1">IF(W168="","",SUMPRODUCT(--(Leverancer!$C$28:$C$88=($G169+2)),Leverancer!G$28:G$88)/1000)</f>
        <v>0</v>
      </c>
      <c r="X169" s="114" t="str">
        <f ca="1">IF(X168="","",SUMPRODUCT(--(Leverancer!$C$28:$C$88=($G169+2)),Leverancer!H$28:H$88)/1000)</f>
        <v/>
      </c>
      <c r="Y169" s="114" t="str">
        <f ca="1">IF(Y168="","",SUMPRODUCT(--(Leverancer!$C$28:$C$88=($G169+2)),Leverancer!I$28:I$88)/1000)</f>
        <v/>
      </c>
      <c r="Z169" s="114" t="str">
        <f ca="1">IF(Z168="","",SUMPRODUCT(--(Leverancer!$C$28:$C$88=($G169+2)),Leverancer!J$28:J$88)/1000)</f>
        <v/>
      </c>
      <c r="AA169" s="114" t="str">
        <f ca="1">IF(AA168="","",SUMPRODUCT(--(Leverancer!$C$28:$C$88=($G169+2)),Leverancer!K$28:K$88)/1000)</f>
        <v/>
      </c>
      <c r="AB169" s="114" t="str">
        <f ca="1">IF(AB168="","",SUMPRODUCT(--(Leverancer!$C$28:$C$88=($G169+2)),Leverancer!L$28:L$88)/1000)</f>
        <v/>
      </c>
      <c r="AC169" s="114" t="str">
        <f ca="1">IF(AC168="","",SUMPRODUCT(--(Leverancer!$C$28:$C$88=($G169+2)),Leverancer!M$28:M$88)/1000)</f>
        <v/>
      </c>
      <c r="AD169" s="114" t="str">
        <f ca="1">IF(AD168="","",SUMPRODUCT(--(Leverancer!$C$28:$C$88=($G169+2)),Leverancer!N$28:N$88)/1000)</f>
        <v/>
      </c>
      <c r="AE169" s="114" t="str">
        <f ca="1">IF(AE168="","",SUMPRODUCT(--(Leverancer!$C$28:$C$88=($G169+2)),Leverancer!O$28:O$88)/1000)</f>
        <v/>
      </c>
      <c r="AF169" s="114" t="str">
        <f ca="1">IF(AF168="","",SUMPRODUCT(--(Leverancer!$C$28:$C$88=($G169+2)),Leverancer!P$28:P$88)/1000)</f>
        <v/>
      </c>
      <c r="AG169" s="114" t="str">
        <f ca="1">IF(AG168="","",SUMPRODUCT(--(Leverancer!$C$28:$C$88=($G169+2)),Leverancer!Q$28:Q$88)/1000)</f>
        <v/>
      </c>
      <c r="AH169" s="114" t="str">
        <f ca="1">IF(AH168="","",SUMPRODUCT(--(Leverancer!$C$28:$C$88=($G169+2)),Leverancer!R$28:R$88)/1000)</f>
        <v/>
      </c>
      <c r="AI169" s="114" t="str">
        <f ca="1">IF(AI168="","",SUMPRODUCT(--(Leverancer!$C$28:$C$88=($G169+2)),Leverancer!S$28:S$88)/1000)</f>
        <v/>
      </c>
      <c r="AJ169" s="114" t="str">
        <f ca="1">IF(AJ168="","",SUMPRODUCT(--(Leverancer!$C$28:$C$88=($G169+2)),Leverancer!T$28:T$88)/1000)</f>
        <v/>
      </c>
      <c r="AK169" s="114" t="str">
        <f ca="1">IF(AK168="","",SUMPRODUCT(--(Leverancer!$C$28:$C$88=($G169+2)),Leverancer!U$28:U$88)/1000)</f>
        <v/>
      </c>
      <c r="AL169" s="114" t="str">
        <f ca="1">IF(AL168="","",SUMPRODUCT(--(Leverancer!$C$28:$C$88=($G169+2)),Leverancer!V$28:V$88)/1000)</f>
        <v/>
      </c>
      <c r="AM169" s="114" t="str">
        <f ca="1">IF(AM168="","",SUMPRODUCT(--(Leverancer!$C$28:$C$88=($G169+2)),Leverancer!W$28:W$88)/1000)</f>
        <v/>
      </c>
      <c r="AN169" s="114" t="str">
        <f ca="1">IF(AN168="","",SUMPRODUCT(--(Leverancer!$C$28:$C$88=($G169+2)),Leverancer!X$28:X$88)/1000)</f>
        <v/>
      </c>
      <c r="AO169" s="114" t="str">
        <f ca="1">IF(AO168="","",SUMPRODUCT(--(Leverancer!$C$28:$C$88=($G169+2)),Leverancer!Y$28:Y$88)/1000)</f>
        <v/>
      </c>
      <c r="AP169" s="114" t="str">
        <f ca="1">IF(AP168="","",SUMPRODUCT(--(Leverancer!$C$28:$C$88=($G169+2)),Leverancer!Z$28:Z$88)/1000)</f>
        <v/>
      </c>
      <c r="AQ169" s="114" t="str">
        <f ca="1">IF(AQ168="","",SUMPRODUCT(--(Leverancer!$C$28:$C$88=($G169+2)),Leverancer!AA$28:AA$88)/1000)</f>
        <v/>
      </c>
      <c r="AR169" s="114" t="str">
        <f ca="1">IF(AR168="","",SUMPRODUCT(--(Leverancer!$C$28:$C$88=($G169+2)),Leverancer!AB$28:AB$88)/1000)</f>
        <v/>
      </c>
      <c r="AS169" s="114" t="str">
        <f ca="1">IF(AS168="","",SUMPRODUCT(--(Leverancer!$C$28:$C$88=($G169+2)),Leverancer!AC$28:AC$88)/1000)</f>
        <v/>
      </c>
      <c r="AT169" s="114" t="str">
        <f ca="1">IF(AT168="","",SUMPRODUCT(--(Leverancer!$C$28:$C$88=($G169+2)),Leverancer!AD$28:AD$88)/1000)</f>
        <v/>
      </c>
      <c r="AU169" s="114" t="str">
        <f ca="1">IF(AU168="","",SUMPRODUCT(--(Leverancer!$C$28:$C$88=($G169+2)),Leverancer!AE$28:AE$88)/1000)</f>
        <v/>
      </c>
      <c r="AV169" s="114" t="str">
        <f ca="1">IF(AV168="","",SUMPRODUCT(--(Leverancer!$C$28:$C$88=($G169+2)),Leverancer!AF$28:AF$88)/1000)</f>
        <v/>
      </c>
      <c r="AW169" s="114" t="str">
        <f ca="1">IF(AW168="","",SUMPRODUCT(--(Leverancer!$C$28:$C$88=($G169+2)),Leverancer!AG$28:AG$88)/1000)</f>
        <v/>
      </c>
      <c r="AX169" s="114"/>
      <c r="AY169" s="90"/>
      <c r="AZ169" s="87"/>
    </row>
    <row r="170" spans="3:52" ht="12.75" customHeight="1" x14ac:dyDescent="0.2">
      <c r="C170" s="128">
        <f>IFERROR(YEAR(C169),"")</f>
        <v>1900</v>
      </c>
      <c r="D170" s="128">
        <f>IFERROR(MONTH(C169),"")</f>
        <v>1</v>
      </c>
      <c r="E170" s="128">
        <f>INDEX(g_sc_1_assets_years,G169)</f>
        <v>0</v>
      </c>
      <c r="N170" s="85"/>
      <c r="O170" s="90"/>
      <c r="P170" s="90"/>
      <c r="Q170" s="115" t="str">
        <f>INDEX(g_lang_val,MATCH("tb_2_4_2",g_lang_key,0))</f>
        <v>Afskrivninger</v>
      </c>
      <c r="R170" s="116"/>
      <c r="S170" s="119">
        <f ca="1">SUM(T170:BG170)</f>
        <v>0</v>
      </c>
      <c r="T170" s="114">
        <f t="shared" ref="T170" ca="1" si="191">IF(T168="","",IF(T168&lt;$C170,0,IF(T168=$C170,T169/$C171*$E171+S171/$C171*$E171,IF(AND(T168&gt;$C170,T168&lt;ROUNDDOWN(($C170+($D170+$C171-1)/12),0)),(T169/2+S171)/($C171-$E171-12*(T168-$C170-1))*12,IF(AND($D171&lt;0,T168=ROUNDDOWN(($C170+($D170+$C171-1)/12),0)),S171+T169,IF(T168=ROUNDDOWN(($C170+($D170+$C171-1)/12),0),(T169+S171)/$C171*($D171+(T168-$C170-1)*12+$E171),IF(T168&gt;ROUNDDOWN(($C170+($D170+$C171)/12),0),0,0)))))))</f>
        <v>0</v>
      </c>
      <c r="U170" s="114">
        <f t="shared" ref="U170" ca="1" si="192">IF(U168="","",IF(U168&lt;$C170,0,IF(U168=$C170,U169/$C171*$E171+T171/$C171*$E171,IF(AND(U168&gt;$C170,U168&lt;ROUNDDOWN(($C170+($D170+$C171-1)/12),0)),(U169/2+T171)/($C171-$E171-12*(U168-$C170-1))*12,IF(AND($D171&lt;0,U168=ROUNDDOWN(($C170+($D170+$C171-1)/12),0)),T171+U169,IF(U168=ROUNDDOWN(($C170+($D170+$C171-1)/12),0),(U169+T171)/$C171*($D171+(U168-$C170-1)*12+$E171),IF(U168&gt;ROUNDDOWN(($C170+($D170+$C171)/12),0),0,0)))))))</f>
        <v>0</v>
      </c>
      <c r="V170" s="114">
        <f t="shared" ref="V170" ca="1" si="193">IF(V168="","",IF(V168&lt;$C170,0,IF(V168=$C170,V169/$C171*$E171+U171/$C171*$E171,IF(AND(V168&gt;$C170,V168&lt;ROUNDDOWN(($C170+($D170+$C171-1)/12),0)),(V169/2+U171)/($C171-$E171-12*(V168-$C170-1))*12,IF(AND($D171&lt;0,V168=ROUNDDOWN(($C170+($D170+$C171-1)/12),0)),U171+V169,IF(V168=ROUNDDOWN(($C170+($D170+$C171-1)/12),0),(V169+U171)/$C171*($D171+(V168-$C170-1)*12+$E171),IF(V168&gt;ROUNDDOWN(($C170+($D170+$C171)/12),0),0,0)))))))</f>
        <v>0</v>
      </c>
      <c r="W170" s="114">
        <f t="shared" ref="W170" ca="1" si="194">IF(W168="","",IF(W168&lt;$C170,0,IF(W168=$C170,W169/$C171*$E171+V171/$C171*$E171,IF(AND(W168&gt;$C170,W168&lt;ROUNDDOWN(($C170+($D170+$C171-1)/12),0)),(W169/2+V171)/($C171-$E171-12*(W168-$C170-1))*12,IF(AND($D171&lt;0,W168=ROUNDDOWN(($C170+($D170+$C171-1)/12),0)),V171+W169,IF(W168=ROUNDDOWN(($C170+($D170+$C171-1)/12),0),(W169+V171)/$C171*($D171+(W168-$C170-1)*12+$E171),IF(W168&gt;ROUNDDOWN(($C170+($D170+$C171)/12),0),0,0)))))))</f>
        <v>0</v>
      </c>
      <c r="X170" s="114" t="str">
        <f t="shared" ref="X170" ca="1" si="195">IF(X168="","",IF(X168&lt;$C170,0,IF(X168=$C170,X169/$C171*$E171+W171/$C171*$E171,IF(AND(X168&gt;$C170,X168&lt;ROUNDDOWN(($C170+($D170+$C171-1)/12),0)),(X169/2+W171)/($C171-$E171-12*(X168-$C170-1))*12,IF(AND($D171&lt;0,X168=ROUNDDOWN(($C170+($D170+$C171-1)/12),0)),W171+X169,IF(X168=ROUNDDOWN(($C170+($D170+$C171-1)/12),0),(X169+W171)/$C171*($D171+(X168-$C170-1)*12+$E171),IF(X168&gt;ROUNDDOWN(($C170+($D170+$C171)/12),0),0,0)))))))</f>
        <v/>
      </c>
      <c r="Y170" s="114" t="str">
        <f t="shared" ref="Y170" ca="1" si="196">IF(Y168="","",IF(Y168&lt;$C170,0,IF(Y168=$C170,Y169/$C171*$E171+X171/$C171*$E171,IF(AND(Y168&gt;$C170,Y168&lt;ROUNDDOWN(($C170+($D170+$C171-1)/12),0)),(Y169/2+X171)/($C171-$E171-12*(Y168-$C170-1))*12,IF(AND($D171&lt;0,Y168=ROUNDDOWN(($C170+($D170+$C171-1)/12),0)),X171+Y169,IF(Y168=ROUNDDOWN(($C170+($D170+$C171-1)/12),0),(Y169+X171)/$C171*($D171+(Y168-$C170-1)*12+$E171),IF(Y168&gt;ROUNDDOWN(($C170+($D170+$C171)/12),0),0,0)))))))</f>
        <v/>
      </c>
      <c r="Z170" s="114" t="str">
        <f ca="1">IF(Z168="","",IF(Z168&lt;$C170,0,IF(Z168=$C170,Z169/$C171*$E171+Y171/$C171*$E171,IF(AND(Z168&gt;$C170,Z168&lt;ROUNDDOWN(($C170+($D170+$C171-1)/12),0)),(Z169/2+Y171)/($C171-$E171-12*(Z168-$C170-1))*12,IF(AND($D171&lt;0,Z168=ROUNDDOWN(($C170+($D170+$C171-1)/12),0)),Y171+Z169,IF(Z168=ROUNDDOWN(($C170+($D170+$C171-1)/12),0),(Z169+Y171)/$C171*($D171+(Z168-$C170-1)*12+$E171),IF(Z168&gt;ROUNDDOWN(($C170+($D170+$C171)/12),0),0,0)))))))</f>
        <v/>
      </c>
      <c r="AA170" s="114" t="str">
        <f t="shared" ref="AA170" ca="1" si="197">IF(AA168="","",IF(AA168&lt;$C170,0,IF(AA168=$C170,AA169/$C171*$E171+Z171/$C171*$E171,IF(AND(AA168&gt;$C170,AA168&lt;ROUNDDOWN(($C170+($D170+$C171-1)/12),0)),(AA169/2+Z171)/($C171-$E171-12*(AA168-$C170-1))*12,IF(AND($D171&lt;0,AA168=ROUNDDOWN(($C170+($D170+$C171-1)/12),0)),Z171+AA169,IF(AA168=ROUNDDOWN(($C170+($D170+$C171-1)/12),0),(AA169+Z171)/$C171*($D171+(AA168-$C170-1)*12+$E171),IF(AA168&gt;ROUNDDOWN(($C170+($D170+$C171)/12),0),0,0)))))))</f>
        <v/>
      </c>
      <c r="AB170" s="114" t="str">
        <f t="shared" ref="AB170" ca="1" si="198">IF(AB168="","",IF(AB168&lt;$C170,0,IF(AB168=$C170,AB169/$C171*$E171+AA171/$C171*$E171,IF(AND(AB168&gt;$C170,AB168&lt;ROUNDDOWN(($C170+($D170+$C171-1)/12),0)),(AB169/2+AA171)/($C171-$E171-12*(AB168-$C170-1))*12,IF(AND($D171&lt;0,AB168=ROUNDDOWN(($C170+($D170+$C171-1)/12),0)),AA171+AB169,IF(AB168=ROUNDDOWN(($C170+($D170+$C171-1)/12),0),(AB169+AA171)/$C171*($D171+(AB168-$C170-1)*12+$E171),IF(AB168&gt;ROUNDDOWN(($C170+($D170+$C171)/12),0),0,0)))))))</f>
        <v/>
      </c>
      <c r="AC170" s="114" t="str">
        <f t="shared" ref="AC170" ca="1" si="199">IF(AC168="","",IF(AC168&lt;$C170,0,IF(AC168=$C170,AC169/$C171*$E171+AB171/$C171*$E171,IF(AND(AC168&gt;$C170,AC168&lt;ROUNDDOWN(($C170+($D170+$C171-1)/12),0)),(AC169/2+AB171)/($C171-$E171-12*(AC168-$C170-1))*12,IF(AND($D171&lt;0,AC168=ROUNDDOWN(($C170+($D170+$C171-1)/12),0)),AB171+AC169,IF(AC168=ROUNDDOWN(($C170+($D170+$C171-1)/12),0),(AC169+AB171)/$C171*($D171+(AC168-$C170-1)*12+$E171),IF(AC168&gt;ROUNDDOWN(($C170+($D170+$C171)/12),0),0,0)))))))</f>
        <v/>
      </c>
      <c r="AD170" s="114" t="str">
        <f t="shared" ref="AD170" ca="1" si="200">IF(AD168="","",IF(AD168&lt;$C170,0,IF(AD168=$C170,AD169/$C171*$E171+AC171/$C171*$E171,IF(AND(AD168&gt;$C170,AD168&lt;ROUNDDOWN(($C170+($D170+$C171-1)/12),0)),(AD169/2+AC171)/($C171-$E171-12*(AD168-$C170-1))*12,IF(AND($D171&lt;0,AD168=ROUNDDOWN(($C170+($D170+$C171-1)/12),0)),AC171+AD169,IF(AD168=ROUNDDOWN(($C170+($D170+$C171-1)/12),0),(AD169+AC171)/$C171*($D171+(AD168-$C170-1)*12+$E171),IF(AD168&gt;ROUNDDOWN(($C170+($D170+$C171)/12),0),0,0)))))))</f>
        <v/>
      </c>
      <c r="AE170" s="114" t="str">
        <f t="shared" ref="AE170" ca="1" si="201">IF(AE168="","",IF(AE168&lt;$C170,0,IF(AE168=$C170,AE169/$C171*$E171+AD171/$C171*$E171,IF(AND(AE168&gt;$C170,AE168&lt;ROUNDDOWN(($C170+($D170+$C171-1)/12),0)),(AE169/2+AD171)/($C171-$E171-12*(AE168-$C170-1))*12,IF(AND($D171&lt;0,AE168=ROUNDDOWN(($C170+($D170+$C171-1)/12),0)),AD171+AE169,IF(AE168=ROUNDDOWN(($C170+($D170+$C171-1)/12),0),(AE169+AD171)/$C171*($D171+(AE168-$C170-1)*12+$E171),IF(AE168&gt;ROUNDDOWN(($C170+($D170+$C171)/12),0),0,0)))))))</f>
        <v/>
      </c>
      <c r="AF170" s="114" t="str">
        <f t="shared" ref="AF170" ca="1" si="202">IF(AF168="","",IF(AF168&lt;$C170,0,IF(AF168=$C170,AF169/$C171*$E171+AE171/$C171*$E171,IF(AND(AF168&gt;$C170,AF168&lt;ROUNDDOWN(($C170+($D170+$C171-1)/12),0)),(AF169/2+AE171)/($C171-$E171-12*(AF168-$C170-1))*12,IF(AND($D171&lt;0,AF168=ROUNDDOWN(($C170+($D170+$C171-1)/12),0)),AE171+AF169,IF(AF168=ROUNDDOWN(($C170+($D170+$C171-1)/12),0),(AF169+AE171)/$C171*($D171+(AF168-$C170-1)*12+$E171),IF(AF168&gt;ROUNDDOWN(($C170+($D170+$C171)/12),0),0,0)))))))</f>
        <v/>
      </c>
      <c r="AG170" s="114" t="str">
        <f t="shared" ref="AG170" ca="1" si="203">IF(AG168="","",IF(AG168&lt;$C170,0,IF(AG168=$C170,AG169/$C171*$E171+AF171/$C171*$E171,IF(AND(AG168&gt;$C170,AG168&lt;ROUNDDOWN(($C170+($D170+$C171-1)/12),0)),(AG169/2+AF171)/($C171-$E171-12*(AG168-$C170-1))*12,IF(AND($D171&lt;0,AG168=ROUNDDOWN(($C170+($D170+$C171-1)/12),0)),AF171+AG169,IF(AG168=ROUNDDOWN(($C170+($D170+$C171-1)/12),0),(AG169+AF171)/$C171*($D171+(AG168-$C170-1)*12+$E171),IF(AG168&gt;ROUNDDOWN(($C170+($D170+$C171)/12),0),0,0)))))))</f>
        <v/>
      </c>
      <c r="AH170" s="114" t="str">
        <f t="shared" ref="AH170" ca="1" si="204">IF(AH168="","",IF(AH168&lt;$C170,0,IF(AH168=$C170,AH169/$C171*$E171+AG171/$C171*$E171,IF(AND(AH168&gt;$C170,AH168&lt;ROUNDDOWN(($C170+($D170+$C171-1)/12),0)),(AH169/2+AG171)/($C171-$E171-12*(AH168-$C170-1))*12,IF(AND($D171&lt;0,AH168=ROUNDDOWN(($C170+($D170+$C171-1)/12),0)),AG171+AH169,IF(AH168=ROUNDDOWN(($C170+($D170+$C171-1)/12),0),(AH169+AG171)/$C171*($D171+(AH168-$C170-1)*12+$E171),IF(AH168&gt;ROUNDDOWN(($C170+($D170+$C171)/12),0),0,0)))))))</f>
        <v/>
      </c>
      <c r="AI170" s="114" t="str">
        <f t="shared" ref="AI170" ca="1" si="205">IF(AI168="","",IF(AI168&lt;$C170,0,IF(AI168=$C170,AI169/$C171*$E171+AH171/$C171*$E171,IF(AND(AI168&gt;$C170,AI168&lt;ROUNDDOWN(($C170+($D170+$C171-1)/12),0)),(AI169/2+AH171)/($C171-$E171-12*(AI168-$C170-1))*12,IF(AND($D171&lt;0,AI168=ROUNDDOWN(($C170+($D170+$C171-1)/12),0)),AH171+AI169,IF(AI168=ROUNDDOWN(($C170+($D170+$C171-1)/12),0),(AI169+AH171)/$C171*($D171+(AI168-$C170-1)*12+$E171),IF(AI168&gt;ROUNDDOWN(($C170+($D170+$C171)/12),0),0,0)))))))</f>
        <v/>
      </c>
      <c r="AJ170" s="114" t="str">
        <f t="shared" ref="AJ170" ca="1" si="206">IF(AJ168="","",IF(AJ168&lt;$C170,0,IF(AJ168=$C170,AJ169/$C171*$E171+AI171/$C171*$E171,IF(AND(AJ168&gt;$C170,AJ168&lt;ROUNDDOWN(($C170+($D170+$C171-1)/12),0)),(AJ169/2+AI171)/($C171-$E171-12*(AJ168-$C170-1))*12,IF(AND($D171&lt;0,AJ168=ROUNDDOWN(($C170+($D170+$C171-1)/12),0)),AI171+AJ169,IF(AJ168=ROUNDDOWN(($C170+($D170+$C171-1)/12),0),(AJ169+AI171)/$C171*($D171+(AJ168-$C170-1)*12+$E171),IF(AJ168&gt;ROUNDDOWN(($C170+($D170+$C171)/12),0),0,0)))))))</f>
        <v/>
      </c>
      <c r="AK170" s="114" t="str">
        <f t="shared" ref="AK170" ca="1" si="207">IF(AK168="","",IF(AK168&lt;$C170,0,IF(AK168=$C170,AK169/$C171*$E171+AJ171/$C171*$E171,IF(AND(AK168&gt;$C170,AK168&lt;ROUNDDOWN(($C170+($D170+$C171-1)/12),0)),(AK169/2+AJ171)/($C171-$E171-12*(AK168-$C170-1))*12,IF(AND($D171&lt;0,AK168=ROUNDDOWN(($C170+($D170+$C171-1)/12),0)),AJ171+AK169,IF(AK168=ROUNDDOWN(($C170+($D170+$C171-1)/12),0),(AK169+AJ171)/$C171*($D171+(AK168-$C170-1)*12+$E171),IF(AK168&gt;ROUNDDOWN(($C170+($D170+$C171)/12),0),0,0)))))))</f>
        <v/>
      </c>
      <c r="AL170" s="114" t="str">
        <f t="shared" ref="AL170" ca="1" si="208">IF(AL168="","",IF(AL168&lt;$C170,0,IF(AL168=$C170,AL169/$C171*$E171+AK171/$C171*$E171,IF(AND(AL168&gt;$C170,AL168&lt;ROUNDDOWN(($C170+($D170+$C171-1)/12),0)),(AL169/2+AK171)/($C171-$E171-12*(AL168-$C170-1))*12,IF(AND($D171&lt;0,AL168=ROUNDDOWN(($C170+($D170+$C171-1)/12),0)),AK171+AL169,IF(AL168=ROUNDDOWN(($C170+($D170+$C171-1)/12),0),(AL169+AK171)/$C171*($D171+(AL168-$C170-1)*12+$E171),IF(AL168&gt;ROUNDDOWN(($C170+($D170+$C171)/12),0),0,0)))))))</f>
        <v/>
      </c>
      <c r="AM170" s="114" t="str">
        <f t="shared" ref="AM170" ca="1" si="209">IF(AM168="","",IF(AM168&lt;$C170,0,IF(AM168=$C170,AM169/$C171*$E171+AL171/$C171*$E171,IF(AND(AM168&gt;$C170,AM168&lt;ROUNDDOWN(($C170+($D170+$C171-1)/12),0)),(AM169/2+AL171)/($C171-$E171-12*(AM168-$C170-1))*12,IF(AND($D171&lt;0,AM168=ROUNDDOWN(($C170+($D170+$C171-1)/12),0)),AL171+AM169,IF(AM168=ROUNDDOWN(($C170+($D170+$C171-1)/12),0),(AM169+AL171)/$C171*($D171+(AM168-$C170-1)*12+$E171),IF(AM168&gt;ROUNDDOWN(($C170+($D170+$C171)/12),0),0,0)))))))</f>
        <v/>
      </c>
      <c r="AN170" s="114" t="str">
        <f t="shared" ref="AN170" ca="1" si="210">IF(AN168="","",IF(AN168&lt;$C170,0,IF(AN168=$C170,AN169/$C171*$E171+AM171/$C171*$E171,IF(AND(AN168&gt;$C170,AN168&lt;ROUNDDOWN(($C170+($D170+$C171-1)/12),0)),(AN169/2+AM171)/($C171-$E171-12*(AN168-$C170-1))*12,IF(AND($D171&lt;0,AN168=ROUNDDOWN(($C170+($D170+$C171-1)/12),0)),AM171+AN169,IF(AN168=ROUNDDOWN(($C170+($D170+$C171-1)/12),0),(AN169+AM171)/$C171*($D171+(AN168-$C170-1)*12+$E171),IF(AN168&gt;ROUNDDOWN(($C170+($D170+$C171)/12),0),0,0)))))))</f>
        <v/>
      </c>
      <c r="AO170" s="114" t="str">
        <f t="shared" ref="AO170" ca="1" si="211">IF(AO168="","",IF(AO168&lt;$C170,0,IF(AO168=$C170,AO169/$C171*$E171+AN171/$C171*$E171,IF(AND(AO168&gt;$C170,AO168&lt;ROUNDDOWN(($C170+($D170+$C171-1)/12),0)),(AO169/2+AN171)/($C171-$E171-12*(AO168-$C170-1))*12,IF(AND($D171&lt;0,AO168=ROUNDDOWN(($C170+($D170+$C171-1)/12),0)),AN171+AO169,IF(AO168=ROUNDDOWN(($C170+($D170+$C171-1)/12),0),(AO169+AN171)/$C171*($D171+(AO168-$C170-1)*12+$E171),IF(AO168&gt;ROUNDDOWN(($C170+($D170+$C171)/12),0),0,0)))))))</f>
        <v/>
      </c>
      <c r="AP170" s="114" t="str">
        <f t="shared" ref="AP170" ca="1" si="212">IF(AP168="","",IF(AP168&lt;$C170,0,IF(AP168=$C170,AP169/$C171*$E171+AO171/$C171*$E171,IF(AND(AP168&gt;$C170,AP168&lt;ROUNDDOWN(($C170+($D170+$C171-1)/12),0)),(AP169/2+AO171)/($C171-$E171-12*(AP168-$C170-1))*12,IF(AND($D171&lt;0,AP168=ROUNDDOWN(($C170+($D170+$C171-1)/12),0)),AO171+AP169,IF(AP168=ROUNDDOWN(($C170+($D170+$C171-1)/12),0),(AP169+AO171)/$C171*($D171+(AP168-$C170-1)*12+$E171),IF(AP168&gt;ROUNDDOWN(($C170+($D170+$C171)/12),0),0,0)))))))</f>
        <v/>
      </c>
      <c r="AQ170" s="114" t="str">
        <f t="shared" ref="AQ170" ca="1" si="213">IF(AQ168="","",IF(AQ168&lt;$C170,0,IF(AQ168=$C170,AQ169/$C171*$E171+AP171/$C171*$E171,IF(AND(AQ168&gt;$C170,AQ168&lt;ROUNDDOWN(($C170+($D170+$C171-1)/12),0)),(AQ169/2+AP171)/($C171-$E171-12*(AQ168-$C170-1))*12,IF(AND($D171&lt;0,AQ168=ROUNDDOWN(($C170+($D170+$C171-1)/12),0)),AP171+AQ169,IF(AQ168=ROUNDDOWN(($C170+($D170+$C171-1)/12),0),(AQ169+AP171)/$C171*($D171+(AQ168-$C170-1)*12+$E171),IF(AQ168&gt;ROUNDDOWN(($C170+($D170+$C171)/12),0),0,0)))))))</f>
        <v/>
      </c>
      <c r="AR170" s="114" t="str">
        <f t="shared" ref="AR170" ca="1" si="214">IF(AR168="","",IF(AR168&lt;$C170,0,IF(AR168=$C170,AR169/$C171*$E171+AQ171/$C171*$E171,IF(AND(AR168&gt;$C170,AR168&lt;ROUNDDOWN(($C170+($D170+$C171-1)/12),0)),(AR169/2+AQ171)/($C171-$E171-12*(AR168-$C170-1))*12,IF(AND($D171&lt;0,AR168=ROUNDDOWN(($C170+($D170+$C171-1)/12),0)),AQ171+AR169,IF(AR168=ROUNDDOWN(($C170+($D170+$C171-1)/12),0),(AR169+AQ171)/$C171*($D171+(AR168-$C170-1)*12+$E171),IF(AR168&gt;ROUNDDOWN(($C170+($D170+$C171)/12),0),0,0)))))))</f>
        <v/>
      </c>
      <c r="AS170" s="114" t="str">
        <f t="shared" ref="AS170" ca="1" si="215">IF(AS168="","",IF(AS168&lt;$C170,0,IF(AS168=$C170,AS169/$C171*$E171+AR171/$C171*$E171,IF(AND(AS168&gt;$C170,AS168&lt;ROUNDDOWN(($C170+($D170+$C171-1)/12),0)),(AS169/2+AR171)/($C171-$E171-12*(AS168-$C170-1))*12,IF(AND($D171&lt;0,AS168=ROUNDDOWN(($C170+($D170+$C171-1)/12),0)),AR171+AS169,IF(AS168=ROUNDDOWN(($C170+($D170+$C171-1)/12),0),(AS169+AR171)/$C171*($D171+(AS168-$C170-1)*12+$E171),IF(AS168&gt;ROUNDDOWN(($C170+($D170+$C171)/12),0),0,0)))))))</f>
        <v/>
      </c>
      <c r="AT170" s="114" t="str">
        <f t="shared" ref="AT170" ca="1" si="216">IF(AT168="","",IF(AT168&lt;$C170,0,IF(AT168=$C170,AT169/$C171*$E171+AS171/$C171*$E171,IF(AND(AT168&gt;$C170,AT168&lt;ROUNDDOWN(($C170+($D170+$C171-1)/12),0)),(AT169/2+AS171)/($C171-$E171-12*(AT168-$C170-1))*12,IF(AND($D171&lt;0,AT168=ROUNDDOWN(($C170+($D170+$C171-1)/12),0)),AS171+AT169,IF(AT168=ROUNDDOWN(($C170+($D170+$C171-1)/12),0),(AT169+AS171)/$C171*($D171+(AT168-$C170-1)*12+$E171),IF(AT168&gt;ROUNDDOWN(($C170+($D170+$C171)/12),0),0,0)))))))</f>
        <v/>
      </c>
      <c r="AU170" s="114" t="str">
        <f t="shared" ref="AU170" ca="1" si="217">IF(AU168="","",IF(AU168&lt;$C170,0,IF(AU168=$C170,AU169/$C171*$E171+AT171/$C171*$E171,IF(AND(AU168&gt;$C170,AU168&lt;ROUNDDOWN(($C170+($D170+$C171-1)/12),0)),(AU169/2+AT171)/($C171-$E171-12*(AU168-$C170-1))*12,IF(AND($D171&lt;0,AU168=ROUNDDOWN(($C170+($D170+$C171-1)/12),0)),AT171+AU169,IF(AU168=ROUNDDOWN(($C170+($D170+$C171-1)/12),0),(AU169+AT171)/$C171*($D171+(AU168-$C170-1)*12+$E171),IF(AU168&gt;ROUNDDOWN(($C170+($D170+$C171)/12),0),0,0)))))))</f>
        <v/>
      </c>
      <c r="AV170" s="114" t="str">
        <f t="shared" ref="AV170" ca="1" si="218">IF(AV168="","",IF(AV168&lt;$C170,0,IF(AV168=$C170,AV169/$C171*$E171+AU171/$C171*$E171,IF(AND(AV168&gt;$C170,AV168&lt;ROUNDDOWN(($C170+($D170+$C171-1)/12),0)),(AV169/2+AU171)/($C171-$E171-12*(AV168-$C170-1))*12,IF(AND($D171&lt;0,AV168=ROUNDDOWN(($C170+($D170+$C171-1)/12),0)),AU171+AV169,IF(AV168=ROUNDDOWN(($C170+($D170+$C171-1)/12),0),(AV169+AU171)/$C171*($D171+(AV168-$C170-1)*12+$E171),IF(AV168&gt;ROUNDDOWN(($C170+($D170+$C171)/12),0),0,0)))))))</f>
        <v/>
      </c>
      <c r="AW170" s="114" t="str">
        <f t="shared" ref="AW170" ca="1" si="219">IF(AW168="","",IF(AW168&lt;$C170,0,IF(AW168=$C170,AW169/$C171*$E171+AV171/$C171*$E171,IF(AND(AW168&gt;$C170,AW168&lt;ROUNDDOWN(($C170+($D170+$C171-1)/12),0)),(AW169/2+AV171)/($C171-$E171-12*(AW168-$C170-1))*12,IF(AND($D171&lt;0,AW168=ROUNDDOWN(($C170+($D170+$C171-1)/12),0)),AV171+AW169,IF(AW168=ROUNDDOWN(($C170+($D170+$C171-1)/12),0),(AW169+AV171)/$C171*($D171+(AW168-$C170-1)*12+$E171),IF(AW168&gt;ROUNDDOWN(($C170+($D170+$C171)/12),0),0,0)))))))</f>
        <v/>
      </c>
      <c r="AX170" s="90"/>
      <c r="AY170" s="90"/>
      <c r="AZ170" s="87"/>
    </row>
    <row r="171" spans="3:52" ht="12.75" customHeight="1" x14ac:dyDescent="0.2">
      <c r="C171" s="128">
        <f>ROUNDUP((E170-ROUNDDOWN(E170,0))*12,0)+ROUNDDOWN(E170,0)*12</f>
        <v>0</v>
      </c>
      <c r="D171" s="128">
        <f>C171-E171-ROUNDDOWN(E170,0)*12</f>
        <v>-12</v>
      </c>
      <c r="E171" s="128">
        <f>13-MONTH(C169)</f>
        <v>12</v>
      </c>
      <c r="N171" s="85"/>
      <c r="O171" s="90"/>
      <c r="P171" s="90"/>
      <c r="Q171" s="115" t="str">
        <f>INDEX(g_lang_val,MATCH("tb_2_4_3",g_lang_key,0))</f>
        <v>FF4-gæld, ultimo året</v>
      </c>
      <c r="R171" s="116"/>
      <c r="S171" s="119"/>
      <c r="T171" s="114">
        <f t="shared" ref="T171" ca="1" si="220">IF(T168="","",S171+T169-T170)</f>
        <v>0</v>
      </c>
      <c r="U171" s="114">
        <f t="shared" ref="U171" ca="1" si="221">IF(U168="","",T171+U169-U170)</f>
        <v>0</v>
      </c>
      <c r="V171" s="114">
        <f t="shared" ref="V171" ca="1" si="222">IF(V168="","",U171+V169-V170)</f>
        <v>0</v>
      </c>
      <c r="W171" s="114">
        <f t="shared" ref="W171" ca="1" si="223">IF(W168="","",V171+W169-W170)</f>
        <v>0</v>
      </c>
      <c r="X171" s="114" t="str">
        <f t="shared" ref="X171" ca="1" si="224">IF(X168="","",W171+X169-X170)</f>
        <v/>
      </c>
      <c r="Y171" s="114" t="str">
        <f t="shared" ref="Y171" ca="1" si="225">IF(Y168="","",X171+Y169-Y170)</f>
        <v/>
      </c>
      <c r="Z171" s="114" t="str">
        <f t="shared" ref="Z171" ca="1" si="226">IF(Z168="","",Y171+Z169-Z170)</f>
        <v/>
      </c>
      <c r="AA171" s="114" t="str">
        <f t="shared" ref="AA171" ca="1" si="227">IF(AA168="","",Z171+AA169-AA170)</f>
        <v/>
      </c>
      <c r="AB171" s="114" t="str">
        <f t="shared" ref="AB171" ca="1" si="228">IF(AB168="","",AA171+AB169-AB170)</f>
        <v/>
      </c>
      <c r="AC171" s="114" t="str">
        <f t="shared" ref="AC171" ca="1" si="229">IF(AC168="","",AB171+AC169-AC170)</f>
        <v/>
      </c>
      <c r="AD171" s="114" t="str">
        <f t="shared" ref="AD171" ca="1" si="230">IF(AD168="","",AC171+AD169-AD170)</f>
        <v/>
      </c>
      <c r="AE171" s="114" t="str">
        <f t="shared" ref="AE171" ca="1" si="231">IF(AE168="","",AD171+AE169-AE170)</f>
        <v/>
      </c>
      <c r="AF171" s="114" t="str">
        <f t="shared" ref="AF171" ca="1" si="232">IF(AF168="","",AE171+AF169-AF170)</f>
        <v/>
      </c>
      <c r="AG171" s="114" t="str">
        <f t="shared" ref="AG171" ca="1" si="233">IF(AG168="","",AF171+AG169-AG170)</f>
        <v/>
      </c>
      <c r="AH171" s="114" t="str">
        <f t="shared" ref="AH171" ca="1" si="234">IF(AH168="","",AG171+AH169-AH170)</f>
        <v/>
      </c>
      <c r="AI171" s="114" t="str">
        <f t="shared" ref="AI171" ca="1" si="235">IF(AI168="","",AH171+AI169-AI170)</f>
        <v/>
      </c>
      <c r="AJ171" s="114" t="str">
        <f t="shared" ref="AJ171" ca="1" si="236">IF(AJ168="","",AI171+AJ169-AJ170)</f>
        <v/>
      </c>
      <c r="AK171" s="114" t="str">
        <f t="shared" ref="AK171" ca="1" si="237">IF(AK168="","",AJ171+AK169-AK170)</f>
        <v/>
      </c>
      <c r="AL171" s="114" t="str">
        <f t="shared" ref="AL171" ca="1" si="238">IF(AL168="","",AK171+AL169-AL170)</f>
        <v/>
      </c>
      <c r="AM171" s="114" t="str">
        <f t="shared" ref="AM171" ca="1" si="239">IF(AM168="","",AL171+AM169-AM170)</f>
        <v/>
      </c>
      <c r="AN171" s="114" t="str">
        <f t="shared" ref="AN171" ca="1" si="240">IF(AN168="","",AM171+AN169-AN170)</f>
        <v/>
      </c>
      <c r="AO171" s="114" t="str">
        <f t="shared" ref="AO171" ca="1" si="241">IF(AO168="","",AN171+AO169-AO170)</f>
        <v/>
      </c>
      <c r="AP171" s="114" t="str">
        <f t="shared" ref="AP171" ca="1" si="242">IF(AP168="","",AO171+AP169-AP170)</f>
        <v/>
      </c>
      <c r="AQ171" s="114" t="str">
        <f t="shared" ref="AQ171" ca="1" si="243">IF(AQ168="","",AP171+AQ169-AQ170)</f>
        <v/>
      </c>
      <c r="AR171" s="114" t="str">
        <f t="shared" ref="AR171" ca="1" si="244">IF(AR168="","",AQ171+AR169-AR170)</f>
        <v/>
      </c>
      <c r="AS171" s="114" t="str">
        <f t="shared" ref="AS171" ca="1" si="245">IF(AS168="","",AR171+AS169-AS170)</f>
        <v/>
      </c>
      <c r="AT171" s="114" t="str">
        <f t="shared" ref="AT171" ca="1" si="246">IF(AT168="","",AS171+AT169-AT170)</f>
        <v/>
      </c>
      <c r="AU171" s="114" t="str">
        <f t="shared" ref="AU171" ca="1" si="247">IF(AU168="","",AT171+AU169-AU170)</f>
        <v/>
      </c>
      <c r="AV171" s="114" t="str">
        <f t="shared" ref="AV171" ca="1" si="248">IF(AV168="","",AU171+AV169-AV170)</f>
        <v/>
      </c>
      <c r="AW171" s="114" t="str">
        <f t="shared" ref="AW171" ca="1" si="249">IF(AW168="","",AV171+AW169-AW170)</f>
        <v/>
      </c>
      <c r="AX171" s="90"/>
      <c r="AY171" s="90"/>
      <c r="AZ171" s="87"/>
    </row>
    <row r="172" spans="3:52" ht="12.75" customHeight="1" x14ac:dyDescent="0.2">
      <c r="N172" s="85"/>
      <c r="O172" s="90"/>
      <c r="P172" s="90"/>
      <c r="Q172" s="115" t="str">
        <f>INDEX(g_lang_val,MATCH("tb_2_4_4",g_lang_key,0))</f>
        <v>Renter (FF4)</v>
      </c>
      <c r="R172" s="116"/>
      <c r="S172" s="119">
        <f ca="1">SUM(T172:BG172)</f>
        <v>0</v>
      </c>
      <c r="T172" s="114">
        <f t="shared" ref="T172" ca="1" si="250">IF(T168="","",g_interest_FF4*(S171+(T169/2)-(T170/2)))</f>
        <v>0</v>
      </c>
      <c r="U172" s="114">
        <f t="shared" ref="U172" ca="1" si="251">IF(U168="","",g_interest_FF4*(T171+(U169/2)-(U170/2)))</f>
        <v>0</v>
      </c>
      <c r="V172" s="114">
        <f t="shared" ref="V172" ca="1" si="252">IF(V168="","",g_interest_FF4*(U171+(V169/2)-(V170/2)))</f>
        <v>0</v>
      </c>
      <c r="W172" s="114">
        <f t="shared" ref="W172" ca="1" si="253">IF(W168="","",g_interest_FF4*(V171+(W169/2)-(W170/2)))</f>
        <v>0</v>
      </c>
      <c r="X172" s="114" t="str">
        <f t="shared" ref="X172" ca="1" si="254">IF(X168="","",g_interest_FF4*(W171+(X169/2)-(X170/2)))</f>
        <v/>
      </c>
      <c r="Y172" s="114" t="str">
        <f t="shared" ref="Y172" ca="1" si="255">IF(Y168="","",g_interest_FF4*(X171+(Y169/2)-(Y170/2)))</f>
        <v/>
      </c>
      <c r="Z172" s="114" t="str">
        <f t="shared" ref="Z172" ca="1" si="256">IF(Z168="","",g_interest_FF4*(Y171+(Z169/2)-(Z170/2)))</f>
        <v/>
      </c>
      <c r="AA172" s="114" t="str">
        <f t="shared" ref="AA172" ca="1" si="257">IF(AA168="","",g_interest_FF4*(Z171+(AA169/2)-(AA170/2)))</f>
        <v/>
      </c>
      <c r="AB172" s="114" t="str">
        <f t="shared" ref="AB172" ca="1" si="258">IF(AB168="","",g_interest_FF4*(AA171+(AB169/2)-(AB170/2)))</f>
        <v/>
      </c>
      <c r="AC172" s="114" t="str">
        <f t="shared" ref="AC172" ca="1" si="259">IF(AC168="","",g_interest_FF4*(AB171+(AC169/2)-(AC170/2)))</f>
        <v/>
      </c>
      <c r="AD172" s="114" t="str">
        <f t="shared" ref="AD172" ca="1" si="260">IF(AD168="","",g_interest_FF4*(AC171+(AD169/2)-(AD170/2)))</f>
        <v/>
      </c>
      <c r="AE172" s="114" t="str">
        <f t="shared" ref="AE172" ca="1" si="261">IF(AE168="","",g_interest_FF4*(AD171+(AE169/2)-(AE170/2)))</f>
        <v/>
      </c>
      <c r="AF172" s="114" t="str">
        <f t="shared" ref="AF172" ca="1" si="262">IF(AF168="","",g_interest_FF4*(AE171+(AF169/2)-(AF170/2)))</f>
        <v/>
      </c>
      <c r="AG172" s="114" t="str">
        <f t="shared" ref="AG172" ca="1" si="263">IF(AG168="","",g_interest_FF4*(AF171+(AG169/2)-(AG170/2)))</f>
        <v/>
      </c>
      <c r="AH172" s="114" t="str">
        <f t="shared" ref="AH172" ca="1" si="264">IF(AH168="","",g_interest_FF4*(AG171+(AH169/2)-(AH170/2)))</f>
        <v/>
      </c>
      <c r="AI172" s="114" t="str">
        <f t="shared" ref="AI172" ca="1" si="265">IF(AI168="","",g_interest_FF4*(AH171+(AI169/2)-(AI170/2)))</f>
        <v/>
      </c>
      <c r="AJ172" s="114" t="str">
        <f t="shared" ref="AJ172" ca="1" si="266">IF(AJ168="","",g_interest_FF4*(AI171+(AJ169/2)-(AJ170/2)))</f>
        <v/>
      </c>
      <c r="AK172" s="114" t="str">
        <f t="shared" ref="AK172" ca="1" si="267">IF(AK168="","",g_interest_FF4*(AJ171+(AK169/2)-(AK170/2)))</f>
        <v/>
      </c>
      <c r="AL172" s="114" t="str">
        <f t="shared" ref="AL172" ca="1" si="268">IF(AL168="","",g_interest_FF4*(AK171+(AL169/2)-(AL170/2)))</f>
        <v/>
      </c>
      <c r="AM172" s="114" t="str">
        <f t="shared" ref="AM172" ca="1" si="269">IF(AM168="","",g_interest_FF4*(AL171+(AM169/2)-(AM170/2)))</f>
        <v/>
      </c>
      <c r="AN172" s="114" t="str">
        <f t="shared" ref="AN172" ca="1" si="270">IF(AN168="","",g_interest_FF4*(AM171+(AN169/2)-(AN170/2)))</f>
        <v/>
      </c>
      <c r="AO172" s="114" t="str">
        <f t="shared" ref="AO172" ca="1" si="271">IF(AO168="","",g_interest_FF4*(AN171+(AO169/2)-(AO170/2)))</f>
        <v/>
      </c>
      <c r="AP172" s="114" t="str">
        <f t="shared" ref="AP172" ca="1" si="272">IF(AP168="","",g_interest_FF4*(AO171+(AP169/2)-(AP170/2)))</f>
        <v/>
      </c>
      <c r="AQ172" s="114" t="str">
        <f t="shared" ref="AQ172" ca="1" si="273">IF(AQ168="","",g_interest_FF4*(AP171+(AQ169/2)-(AQ170/2)))</f>
        <v/>
      </c>
      <c r="AR172" s="114" t="str">
        <f t="shared" ref="AR172" ca="1" si="274">IF(AR168="","",g_interest_FF4*(AQ171+(AR169/2)-(AR170/2)))</f>
        <v/>
      </c>
      <c r="AS172" s="114" t="str">
        <f t="shared" ref="AS172" ca="1" si="275">IF(AS168="","",g_interest_FF4*(AR171+(AS169/2)-(AS170/2)))</f>
        <v/>
      </c>
      <c r="AT172" s="114" t="str">
        <f t="shared" ref="AT172" ca="1" si="276">IF(AT168="","",g_interest_FF4*(AS171+(AT169/2)-(AT170/2)))</f>
        <v/>
      </c>
      <c r="AU172" s="114" t="str">
        <f t="shared" ref="AU172" ca="1" si="277">IF(AU168="","",g_interest_FF4*(AT171+(AU169/2)-(AU170/2)))</f>
        <v/>
      </c>
      <c r="AV172" s="114" t="str">
        <f t="shared" ref="AV172" ca="1" si="278">IF(AV168="","",g_interest_FF4*(AU171+(AV169/2)-(AV170/2)))</f>
        <v/>
      </c>
      <c r="AW172" s="114" t="str">
        <f t="shared" ref="AW172" ca="1" si="279">IF(AW168="","",g_interest_FF4*(AV171+(AW169/2)-(AW170/2)))</f>
        <v/>
      </c>
      <c r="AX172" s="90"/>
      <c r="AY172" s="90"/>
      <c r="AZ172" s="87"/>
    </row>
    <row r="173" spans="3:52" ht="12.75" customHeight="1" x14ac:dyDescent="0.2">
      <c r="N173" s="85"/>
      <c r="O173" s="90"/>
      <c r="P173" s="90"/>
      <c r="Q173" s="118" t="str">
        <f>INDEX(g_assets_sc_1,6)</f>
        <v/>
      </c>
      <c r="R173" s="118"/>
      <c r="S173" s="113"/>
      <c r="T173" s="125">
        <f ca="1">T$157</f>
        <v>2026</v>
      </c>
      <c r="U173" s="125">
        <f t="shared" ref="U173:AW173" ca="1" si="280">U$157</f>
        <v>2027</v>
      </c>
      <c r="V173" s="125">
        <f t="shared" ca="1" si="280"/>
        <v>2028</v>
      </c>
      <c r="W173" s="125">
        <f t="shared" ca="1" si="280"/>
        <v>2029</v>
      </c>
      <c r="X173" s="125" t="str">
        <f t="shared" ca="1" si="280"/>
        <v/>
      </c>
      <c r="Y173" s="125" t="str">
        <f t="shared" ca="1" si="280"/>
        <v/>
      </c>
      <c r="Z173" s="125" t="str">
        <f t="shared" ca="1" si="280"/>
        <v/>
      </c>
      <c r="AA173" s="125" t="str">
        <f t="shared" ca="1" si="280"/>
        <v/>
      </c>
      <c r="AB173" s="125" t="str">
        <f t="shared" ca="1" si="280"/>
        <v/>
      </c>
      <c r="AC173" s="125" t="str">
        <f t="shared" ca="1" si="280"/>
        <v/>
      </c>
      <c r="AD173" s="125" t="str">
        <f t="shared" ca="1" si="280"/>
        <v/>
      </c>
      <c r="AE173" s="125" t="str">
        <f t="shared" ca="1" si="280"/>
        <v/>
      </c>
      <c r="AF173" s="125" t="str">
        <f t="shared" ca="1" si="280"/>
        <v/>
      </c>
      <c r="AG173" s="125" t="str">
        <f t="shared" ca="1" si="280"/>
        <v/>
      </c>
      <c r="AH173" s="125" t="str">
        <f t="shared" ca="1" si="280"/>
        <v/>
      </c>
      <c r="AI173" s="125" t="str">
        <f t="shared" ca="1" si="280"/>
        <v/>
      </c>
      <c r="AJ173" s="125" t="str">
        <f t="shared" ca="1" si="280"/>
        <v/>
      </c>
      <c r="AK173" s="125" t="str">
        <f t="shared" ca="1" si="280"/>
        <v/>
      </c>
      <c r="AL173" s="125" t="str">
        <f t="shared" ca="1" si="280"/>
        <v/>
      </c>
      <c r="AM173" s="125" t="str">
        <f t="shared" ca="1" si="280"/>
        <v/>
      </c>
      <c r="AN173" s="125" t="str">
        <f t="shared" ca="1" si="280"/>
        <v/>
      </c>
      <c r="AO173" s="125" t="str">
        <f t="shared" ca="1" si="280"/>
        <v/>
      </c>
      <c r="AP173" s="125" t="str">
        <f t="shared" ca="1" si="280"/>
        <v/>
      </c>
      <c r="AQ173" s="125" t="str">
        <f t="shared" ca="1" si="280"/>
        <v/>
      </c>
      <c r="AR173" s="125" t="str">
        <f t="shared" ca="1" si="280"/>
        <v/>
      </c>
      <c r="AS173" s="125" t="str">
        <f t="shared" ca="1" si="280"/>
        <v/>
      </c>
      <c r="AT173" s="125" t="str">
        <f t="shared" ca="1" si="280"/>
        <v/>
      </c>
      <c r="AU173" s="125" t="str">
        <f t="shared" ca="1" si="280"/>
        <v/>
      </c>
      <c r="AV173" s="125" t="str">
        <f t="shared" ca="1" si="280"/>
        <v/>
      </c>
      <c r="AW173" s="125" t="str">
        <f t="shared" ca="1" si="280"/>
        <v/>
      </c>
      <c r="AX173" s="90"/>
      <c r="AY173" s="90"/>
      <c r="AZ173" s="87"/>
    </row>
    <row r="174" spans="3:52" ht="12.75" customHeight="1" x14ac:dyDescent="0.2">
      <c r="C174" s="126">
        <f>INDEX(g_sc_1_assets_dates,G174)</f>
        <v>0</v>
      </c>
      <c r="G174" s="127">
        <v>4</v>
      </c>
      <c r="N174" s="85"/>
      <c r="O174" s="90"/>
      <c r="P174" s="90"/>
      <c r="Q174" s="115" t="str">
        <f>INDEX(g_lang_val,MATCH("tb_2_4_1",g_lang_key,0))</f>
        <v>Køb af anlægsaktiver</v>
      </c>
      <c r="R174" s="116"/>
      <c r="S174" s="119">
        <f ca="1">SUM(T174:BG174)</f>
        <v>0</v>
      </c>
      <c r="T174" s="114">
        <f ca="1">IF(T173="","",SUMPRODUCT(--(Leverancer!$C$28:$C$88=($G174+2)),Leverancer!D$28:D$88)/1000)</f>
        <v>0</v>
      </c>
      <c r="U174" s="114">
        <f ca="1">IF(U173="","",SUMPRODUCT(--(Leverancer!$C$28:$C$88=($G174+2)),Leverancer!E$28:E$88)/1000)</f>
        <v>0</v>
      </c>
      <c r="V174" s="114">
        <f ca="1">IF(V173="","",SUMPRODUCT(--(Leverancer!$C$28:$C$88=($G174+2)),Leverancer!F$28:F$88)/1000)</f>
        <v>0</v>
      </c>
      <c r="W174" s="114">
        <f ca="1">IF(W173="","",SUMPRODUCT(--(Leverancer!$C$28:$C$88=($G174+2)),Leverancer!G$28:G$88)/1000)</f>
        <v>0</v>
      </c>
      <c r="X174" s="114" t="str">
        <f ca="1">IF(X173="","",SUMPRODUCT(--(Leverancer!$C$28:$C$88=($G174+2)),Leverancer!H$28:H$88)/1000)</f>
        <v/>
      </c>
      <c r="Y174" s="114" t="str">
        <f ca="1">IF(Y173="","",SUMPRODUCT(--(Leverancer!$C$28:$C$88=($G174+2)),Leverancer!I$28:I$88)/1000)</f>
        <v/>
      </c>
      <c r="Z174" s="114" t="str">
        <f ca="1">IF(Z173="","",SUMPRODUCT(--(Leverancer!$C$28:$C$88=($G174+2)),Leverancer!J$28:J$88)/1000)</f>
        <v/>
      </c>
      <c r="AA174" s="114" t="str">
        <f ca="1">IF(AA173="","",SUMPRODUCT(--(Leverancer!$C$28:$C$88=($G174+2)),Leverancer!K$28:K$88)/1000)</f>
        <v/>
      </c>
      <c r="AB174" s="114" t="str">
        <f ca="1">IF(AB173="","",SUMPRODUCT(--(Leverancer!$C$28:$C$88=($G174+2)),Leverancer!L$28:L$88)/1000)</f>
        <v/>
      </c>
      <c r="AC174" s="114" t="str">
        <f ca="1">IF(AC173="","",SUMPRODUCT(--(Leverancer!$C$28:$C$88=($G174+2)),Leverancer!M$28:M$88)/1000)</f>
        <v/>
      </c>
      <c r="AD174" s="114" t="str">
        <f ca="1">IF(AD173="","",SUMPRODUCT(--(Leverancer!$C$28:$C$88=($G174+2)),Leverancer!N$28:N$88)/1000)</f>
        <v/>
      </c>
      <c r="AE174" s="114" t="str">
        <f ca="1">IF(AE173="","",SUMPRODUCT(--(Leverancer!$C$28:$C$88=($G174+2)),Leverancer!O$28:O$88)/1000)</f>
        <v/>
      </c>
      <c r="AF174" s="114" t="str">
        <f ca="1">IF(AF173="","",SUMPRODUCT(--(Leverancer!$C$28:$C$88=($G174+2)),Leverancer!P$28:P$88)/1000)</f>
        <v/>
      </c>
      <c r="AG174" s="114" t="str">
        <f ca="1">IF(AG173="","",SUMPRODUCT(--(Leverancer!$C$28:$C$88=($G174+2)),Leverancer!Q$28:Q$88)/1000)</f>
        <v/>
      </c>
      <c r="AH174" s="114" t="str">
        <f ca="1">IF(AH173="","",SUMPRODUCT(--(Leverancer!$C$28:$C$88=($G174+2)),Leverancer!R$28:R$88)/1000)</f>
        <v/>
      </c>
      <c r="AI174" s="114" t="str">
        <f ca="1">IF(AI173="","",SUMPRODUCT(--(Leverancer!$C$28:$C$88=($G174+2)),Leverancer!S$28:S$88)/1000)</f>
        <v/>
      </c>
      <c r="AJ174" s="114" t="str">
        <f ca="1">IF(AJ173="","",SUMPRODUCT(--(Leverancer!$C$28:$C$88=($G174+2)),Leverancer!T$28:T$88)/1000)</f>
        <v/>
      </c>
      <c r="AK174" s="114" t="str">
        <f ca="1">IF(AK173="","",SUMPRODUCT(--(Leverancer!$C$28:$C$88=($G174+2)),Leverancer!U$28:U$88)/1000)</f>
        <v/>
      </c>
      <c r="AL174" s="114" t="str">
        <f ca="1">IF(AL173="","",SUMPRODUCT(--(Leverancer!$C$28:$C$88=($G174+2)),Leverancer!V$28:V$88)/1000)</f>
        <v/>
      </c>
      <c r="AM174" s="114" t="str">
        <f ca="1">IF(AM173="","",SUMPRODUCT(--(Leverancer!$C$28:$C$88=($G174+2)),Leverancer!W$28:W$88)/1000)</f>
        <v/>
      </c>
      <c r="AN174" s="114" t="str">
        <f ca="1">IF(AN173="","",SUMPRODUCT(--(Leverancer!$C$28:$C$88=($G174+2)),Leverancer!X$28:X$88)/1000)</f>
        <v/>
      </c>
      <c r="AO174" s="114" t="str">
        <f ca="1">IF(AO173="","",SUMPRODUCT(--(Leverancer!$C$28:$C$88=($G174+2)),Leverancer!Y$28:Y$88)/1000)</f>
        <v/>
      </c>
      <c r="AP174" s="114" t="str">
        <f ca="1">IF(AP173="","",SUMPRODUCT(--(Leverancer!$C$28:$C$88=($G174+2)),Leverancer!Z$28:Z$88)/1000)</f>
        <v/>
      </c>
      <c r="AQ174" s="114" t="str">
        <f ca="1">IF(AQ173="","",SUMPRODUCT(--(Leverancer!$C$28:$C$88=($G174+2)),Leverancer!AA$28:AA$88)/1000)</f>
        <v/>
      </c>
      <c r="AR174" s="114" t="str">
        <f ca="1">IF(AR173="","",SUMPRODUCT(--(Leverancer!$C$28:$C$88=($G174+2)),Leverancer!AB$28:AB$88)/1000)</f>
        <v/>
      </c>
      <c r="AS174" s="114" t="str">
        <f ca="1">IF(AS173="","",SUMPRODUCT(--(Leverancer!$C$28:$C$88=($G174+2)),Leverancer!AC$28:AC$88)/1000)</f>
        <v/>
      </c>
      <c r="AT174" s="114" t="str">
        <f ca="1">IF(AT173="","",SUMPRODUCT(--(Leverancer!$C$28:$C$88=($G174+2)),Leverancer!AD$28:AD$88)/1000)</f>
        <v/>
      </c>
      <c r="AU174" s="114" t="str">
        <f ca="1">IF(AU173="","",SUMPRODUCT(--(Leverancer!$C$28:$C$88=($G174+2)),Leverancer!AE$28:AE$88)/1000)</f>
        <v/>
      </c>
      <c r="AV174" s="114" t="str">
        <f ca="1">IF(AV173="","",SUMPRODUCT(--(Leverancer!$C$28:$C$88=($G174+2)),Leverancer!AF$28:AF$88)/1000)</f>
        <v/>
      </c>
      <c r="AW174" s="114" t="str">
        <f ca="1">IF(AW173="","",SUMPRODUCT(--(Leverancer!$C$28:$C$88=($G174+2)),Leverancer!AG$28:AG$88)/1000)</f>
        <v/>
      </c>
      <c r="AX174" s="90"/>
      <c r="AY174" s="90"/>
      <c r="AZ174" s="87"/>
    </row>
    <row r="175" spans="3:52" ht="12.75" customHeight="1" x14ac:dyDescent="0.2">
      <c r="C175" s="128">
        <f>IFERROR(YEAR(C174),"")</f>
        <v>1900</v>
      </c>
      <c r="D175" s="128">
        <f>IFERROR(MONTH(C174),"")</f>
        <v>1</v>
      </c>
      <c r="E175" s="128">
        <f>INDEX(g_sc_1_assets_years,G174)</f>
        <v>0</v>
      </c>
      <c r="N175" s="85"/>
      <c r="O175" s="90"/>
      <c r="P175" s="90"/>
      <c r="Q175" s="115" t="str">
        <f>INDEX(g_lang_val,MATCH("tb_2_4_2",g_lang_key,0))</f>
        <v>Afskrivninger</v>
      </c>
      <c r="R175" s="116"/>
      <c r="S175" s="119">
        <f ca="1">SUM(T175:BG175)</f>
        <v>0</v>
      </c>
      <c r="T175" s="114">
        <f t="shared" ref="T175" ca="1" si="281">IF(T173="","",IF(T173&lt;$C175,0,IF(T173=$C175,T174/$C176*$E176+S176/$C176*$E176,IF(AND(T173&gt;$C175,T173&lt;ROUNDDOWN(($C175+($D175+$C176-1)/12),0)),(T174/2+S176)/($C176-$E176-12*(T173-$C175-1))*12,IF(AND($D176&lt;0,T173=ROUNDDOWN(($C175+($D175+$C176-1)/12),0)),S176+T174,IF(T173=ROUNDDOWN(($C175+($D175+$C176-1)/12),0),(T174+S176)/$C176*($D176+(T173-$C175-1)*12+$E176),IF(T173&gt;ROUNDDOWN(($C175+($D175+$C176)/12),0),0,0)))))))</f>
        <v>0</v>
      </c>
      <c r="U175" s="114">
        <f t="shared" ref="U175" ca="1" si="282">IF(U173="","",IF(U173&lt;$C175,0,IF(U173=$C175,U174/$C176*$E176+T176/$C176*$E176,IF(AND(U173&gt;$C175,U173&lt;ROUNDDOWN(($C175+($D175+$C176-1)/12),0)),(U174/2+T176)/($C176-$E176-12*(U173-$C175-1))*12,IF(AND($D176&lt;0,U173=ROUNDDOWN(($C175+($D175+$C176-1)/12),0)),T176+U174,IF(U173=ROUNDDOWN(($C175+($D175+$C176-1)/12),0),(U174+T176)/$C176*($D176+(U173-$C175-1)*12+$E176),IF(U173&gt;ROUNDDOWN(($C175+($D175+$C176)/12),0),0,0)))))))</f>
        <v>0</v>
      </c>
      <c r="V175" s="114">
        <f t="shared" ref="V175" ca="1" si="283">IF(V173="","",IF(V173&lt;$C175,0,IF(V173=$C175,V174/$C176*$E176+U176/$C176*$E176,IF(AND(V173&gt;$C175,V173&lt;ROUNDDOWN(($C175+($D175+$C176-1)/12),0)),(V174/2+U176)/($C176-$E176-12*(V173-$C175-1))*12,IF(AND($D176&lt;0,V173=ROUNDDOWN(($C175+($D175+$C176-1)/12),0)),U176+V174,IF(V173=ROUNDDOWN(($C175+($D175+$C176-1)/12),0),(V174+U176)/$C176*($D176+(V173-$C175-1)*12+$E176),IF(V173&gt;ROUNDDOWN(($C175+($D175+$C176)/12),0),0,0)))))))</f>
        <v>0</v>
      </c>
      <c r="W175" s="114">
        <f t="shared" ref="W175" ca="1" si="284">IF(W173="","",IF(W173&lt;$C175,0,IF(W173=$C175,W174/$C176*$E176+V176/$C176*$E176,IF(AND(W173&gt;$C175,W173&lt;ROUNDDOWN(($C175+($D175+$C176-1)/12),0)),(W174/2+V176)/($C176-$E176-12*(W173-$C175-1))*12,IF(AND($D176&lt;0,W173=ROUNDDOWN(($C175+($D175+$C176-1)/12),0)),V176+W174,IF(W173=ROUNDDOWN(($C175+($D175+$C176-1)/12),0),(W174+V176)/$C176*($D176+(W173-$C175-1)*12+$E176),IF(W173&gt;ROUNDDOWN(($C175+($D175+$C176)/12),0),0,0)))))))</f>
        <v>0</v>
      </c>
      <c r="X175" s="114" t="str">
        <f t="shared" ref="X175" ca="1" si="285">IF(X173="","",IF(X173&lt;$C175,0,IF(X173=$C175,X174/$C176*$E176+W176/$C176*$E176,IF(AND(X173&gt;$C175,X173&lt;ROUNDDOWN(($C175+($D175+$C176-1)/12),0)),(X174/2+W176)/($C176-$E176-12*(X173-$C175-1))*12,IF(AND($D176&lt;0,X173=ROUNDDOWN(($C175+($D175+$C176-1)/12),0)),W176+X174,IF(X173=ROUNDDOWN(($C175+($D175+$C176-1)/12),0),(X174+W176)/$C176*($D176+(X173-$C175-1)*12+$E176),IF(X173&gt;ROUNDDOWN(($C175+($D175+$C176)/12),0),0,0)))))))</f>
        <v/>
      </c>
      <c r="Y175" s="114" t="str">
        <f t="shared" ref="Y175" ca="1" si="286">IF(Y173="","",IF(Y173&lt;$C175,0,IF(Y173=$C175,Y174/$C176*$E176+X176/$C176*$E176,IF(AND(Y173&gt;$C175,Y173&lt;ROUNDDOWN(($C175+($D175+$C176-1)/12),0)),(Y174/2+X176)/($C176-$E176-12*(Y173-$C175-1))*12,IF(AND($D176&lt;0,Y173=ROUNDDOWN(($C175+($D175+$C176-1)/12),0)),X176+Y174,IF(Y173=ROUNDDOWN(($C175+($D175+$C176-1)/12),0),(Y174+X176)/$C176*($D176+(Y173-$C175-1)*12+$E176),IF(Y173&gt;ROUNDDOWN(($C175+($D175+$C176)/12),0),0,0)))))))</f>
        <v/>
      </c>
      <c r="Z175" s="114" t="str">
        <f ca="1">IF(Z173="","",IF(Z173&lt;$C175,0,IF(Z173=$C175,Z174/$C176*$E176+Y176/$C176*$E176,IF(AND(Z173&gt;$C175,Z173&lt;ROUNDDOWN(($C175+($D175+$C176-1)/12),0)),(Z174/2+Y176)/($C176-$E176-12*(Z173-$C175-1))*12,IF(AND($D176&lt;0,Z173=ROUNDDOWN(($C175+($D175+$C176-1)/12),0)),Y176+Z174,IF(Z173=ROUNDDOWN(($C175+($D175+$C176-1)/12),0),(Z174+Y176)/$C176*($D176+(Z173-$C175-1)*12+$E176),IF(Z173&gt;ROUNDDOWN(($C175+($D175+$C176)/12),0),0,0)))))))</f>
        <v/>
      </c>
      <c r="AA175" s="114" t="str">
        <f t="shared" ref="AA175" ca="1" si="287">IF(AA173="","",IF(AA173&lt;$C175,0,IF(AA173=$C175,AA174/$C176*$E176+Z176/$C176*$E176,IF(AND(AA173&gt;$C175,AA173&lt;ROUNDDOWN(($C175+($D175+$C176-1)/12),0)),(AA174/2+Z176)/($C176-$E176-12*(AA173-$C175-1))*12,IF(AND($D176&lt;0,AA173=ROUNDDOWN(($C175+($D175+$C176-1)/12),0)),Z176+AA174,IF(AA173=ROUNDDOWN(($C175+($D175+$C176-1)/12),0),(AA174+Z176)/$C176*($D176+(AA173-$C175-1)*12+$E176),IF(AA173&gt;ROUNDDOWN(($C175+($D175+$C176)/12),0),0,0)))))))</f>
        <v/>
      </c>
      <c r="AB175" s="114" t="str">
        <f t="shared" ref="AB175" ca="1" si="288">IF(AB173="","",IF(AB173&lt;$C175,0,IF(AB173=$C175,AB174/$C176*$E176+AA176/$C176*$E176,IF(AND(AB173&gt;$C175,AB173&lt;ROUNDDOWN(($C175+($D175+$C176-1)/12),0)),(AB174/2+AA176)/($C176-$E176-12*(AB173-$C175-1))*12,IF(AND($D176&lt;0,AB173=ROUNDDOWN(($C175+($D175+$C176-1)/12),0)),AA176+AB174,IF(AB173=ROUNDDOWN(($C175+($D175+$C176-1)/12),0),(AB174+AA176)/$C176*($D176+(AB173-$C175-1)*12+$E176),IF(AB173&gt;ROUNDDOWN(($C175+($D175+$C176)/12),0),0,0)))))))</f>
        <v/>
      </c>
      <c r="AC175" s="114" t="str">
        <f t="shared" ref="AC175" ca="1" si="289">IF(AC173="","",IF(AC173&lt;$C175,0,IF(AC173=$C175,AC174/$C176*$E176+AB176/$C176*$E176,IF(AND(AC173&gt;$C175,AC173&lt;ROUNDDOWN(($C175+($D175+$C176-1)/12),0)),(AC174/2+AB176)/($C176-$E176-12*(AC173-$C175-1))*12,IF(AND($D176&lt;0,AC173=ROUNDDOWN(($C175+($D175+$C176-1)/12),0)),AB176+AC174,IF(AC173=ROUNDDOWN(($C175+($D175+$C176-1)/12),0),(AC174+AB176)/$C176*($D176+(AC173-$C175-1)*12+$E176),IF(AC173&gt;ROUNDDOWN(($C175+($D175+$C176)/12),0),0,0)))))))</f>
        <v/>
      </c>
      <c r="AD175" s="114" t="str">
        <f t="shared" ref="AD175" ca="1" si="290">IF(AD173="","",IF(AD173&lt;$C175,0,IF(AD173=$C175,AD174/$C176*$E176+AC176/$C176*$E176,IF(AND(AD173&gt;$C175,AD173&lt;ROUNDDOWN(($C175+($D175+$C176-1)/12),0)),(AD174/2+AC176)/($C176-$E176-12*(AD173-$C175-1))*12,IF(AND($D176&lt;0,AD173=ROUNDDOWN(($C175+($D175+$C176-1)/12),0)),AC176+AD174,IF(AD173=ROUNDDOWN(($C175+($D175+$C176-1)/12),0),(AD174+AC176)/$C176*($D176+(AD173-$C175-1)*12+$E176),IF(AD173&gt;ROUNDDOWN(($C175+($D175+$C176)/12),0),0,0)))))))</f>
        <v/>
      </c>
      <c r="AE175" s="114" t="str">
        <f t="shared" ref="AE175" ca="1" si="291">IF(AE173="","",IF(AE173&lt;$C175,0,IF(AE173=$C175,AE174/$C176*$E176+AD176/$C176*$E176,IF(AND(AE173&gt;$C175,AE173&lt;ROUNDDOWN(($C175+($D175+$C176-1)/12),0)),(AE174/2+AD176)/($C176-$E176-12*(AE173-$C175-1))*12,IF(AND($D176&lt;0,AE173=ROUNDDOWN(($C175+($D175+$C176-1)/12),0)),AD176+AE174,IF(AE173=ROUNDDOWN(($C175+($D175+$C176-1)/12),0),(AE174+AD176)/$C176*($D176+(AE173-$C175-1)*12+$E176),IF(AE173&gt;ROUNDDOWN(($C175+($D175+$C176)/12),0),0,0)))))))</f>
        <v/>
      </c>
      <c r="AF175" s="114" t="str">
        <f t="shared" ref="AF175" ca="1" si="292">IF(AF173="","",IF(AF173&lt;$C175,0,IF(AF173=$C175,AF174/$C176*$E176+AE176/$C176*$E176,IF(AND(AF173&gt;$C175,AF173&lt;ROUNDDOWN(($C175+($D175+$C176-1)/12),0)),(AF174/2+AE176)/($C176-$E176-12*(AF173-$C175-1))*12,IF(AND($D176&lt;0,AF173=ROUNDDOWN(($C175+($D175+$C176-1)/12),0)),AE176+AF174,IF(AF173=ROUNDDOWN(($C175+($D175+$C176-1)/12),0),(AF174+AE176)/$C176*($D176+(AF173-$C175-1)*12+$E176),IF(AF173&gt;ROUNDDOWN(($C175+($D175+$C176)/12),0),0,0)))))))</f>
        <v/>
      </c>
      <c r="AG175" s="114" t="str">
        <f t="shared" ref="AG175" ca="1" si="293">IF(AG173="","",IF(AG173&lt;$C175,0,IF(AG173=$C175,AG174/$C176*$E176+AF176/$C176*$E176,IF(AND(AG173&gt;$C175,AG173&lt;ROUNDDOWN(($C175+($D175+$C176-1)/12),0)),(AG174/2+AF176)/($C176-$E176-12*(AG173-$C175-1))*12,IF(AND($D176&lt;0,AG173=ROUNDDOWN(($C175+($D175+$C176-1)/12),0)),AF176+AG174,IF(AG173=ROUNDDOWN(($C175+($D175+$C176-1)/12),0),(AG174+AF176)/$C176*($D176+(AG173-$C175-1)*12+$E176),IF(AG173&gt;ROUNDDOWN(($C175+($D175+$C176)/12),0),0,0)))))))</f>
        <v/>
      </c>
      <c r="AH175" s="114" t="str">
        <f t="shared" ref="AH175" ca="1" si="294">IF(AH173="","",IF(AH173&lt;$C175,0,IF(AH173=$C175,AH174/$C176*$E176+AG176/$C176*$E176,IF(AND(AH173&gt;$C175,AH173&lt;ROUNDDOWN(($C175+($D175+$C176-1)/12),0)),(AH174/2+AG176)/($C176-$E176-12*(AH173-$C175-1))*12,IF(AND($D176&lt;0,AH173=ROUNDDOWN(($C175+($D175+$C176-1)/12),0)),AG176+AH174,IF(AH173=ROUNDDOWN(($C175+($D175+$C176-1)/12),0),(AH174+AG176)/$C176*($D176+(AH173-$C175-1)*12+$E176),IF(AH173&gt;ROUNDDOWN(($C175+($D175+$C176)/12),0),0,0)))))))</f>
        <v/>
      </c>
      <c r="AI175" s="114" t="str">
        <f t="shared" ref="AI175" ca="1" si="295">IF(AI173="","",IF(AI173&lt;$C175,0,IF(AI173=$C175,AI174/$C176*$E176+AH176/$C176*$E176,IF(AND(AI173&gt;$C175,AI173&lt;ROUNDDOWN(($C175+($D175+$C176-1)/12),0)),(AI174/2+AH176)/($C176-$E176-12*(AI173-$C175-1))*12,IF(AND($D176&lt;0,AI173=ROUNDDOWN(($C175+($D175+$C176-1)/12),0)),AH176+AI174,IF(AI173=ROUNDDOWN(($C175+($D175+$C176-1)/12),0),(AI174+AH176)/$C176*($D176+(AI173-$C175-1)*12+$E176),IF(AI173&gt;ROUNDDOWN(($C175+($D175+$C176)/12),0),0,0)))))))</f>
        <v/>
      </c>
      <c r="AJ175" s="114" t="str">
        <f t="shared" ref="AJ175" ca="1" si="296">IF(AJ173="","",IF(AJ173&lt;$C175,0,IF(AJ173=$C175,AJ174/$C176*$E176+AI176/$C176*$E176,IF(AND(AJ173&gt;$C175,AJ173&lt;ROUNDDOWN(($C175+($D175+$C176-1)/12),0)),(AJ174/2+AI176)/($C176-$E176-12*(AJ173-$C175-1))*12,IF(AND($D176&lt;0,AJ173=ROUNDDOWN(($C175+($D175+$C176-1)/12),0)),AI176+AJ174,IF(AJ173=ROUNDDOWN(($C175+($D175+$C176-1)/12),0),(AJ174+AI176)/$C176*($D176+(AJ173-$C175-1)*12+$E176),IF(AJ173&gt;ROUNDDOWN(($C175+($D175+$C176)/12),0),0,0)))))))</f>
        <v/>
      </c>
      <c r="AK175" s="114" t="str">
        <f t="shared" ref="AK175" ca="1" si="297">IF(AK173="","",IF(AK173&lt;$C175,0,IF(AK173=$C175,AK174/$C176*$E176+AJ176/$C176*$E176,IF(AND(AK173&gt;$C175,AK173&lt;ROUNDDOWN(($C175+($D175+$C176-1)/12),0)),(AK174/2+AJ176)/($C176-$E176-12*(AK173-$C175-1))*12,IF(AND($D176&lt;0,AK173=ROUNDDOWN(($C175+($D175+$C176-1)/12),0)),AJ176+AK174,IF(AK173=ROUNDDOWN(($C175+($D175+$C176-1)/12),0),(AK174+AJ176)/$C176*($D176+(AK173-$C175-1)*12+$E176),IF(AK173&gt;ROUNDDOWN(($C175+($D175+$C176)/12),0),0,0)))))))</f>
        <v/>
      </c>
      <c r="AL175" s="114" t="str">
        <f t="shared" ref="AL175" ca="1" si="298">IF(AL173="","",IF(AL173&lt;$C175,0,IF(AL173=$C175,AL174/$C176*$E176+AK176/$C176*$E176,IF(AND(AL173&gt;$C175,AL173&lt;ROUNDDOWN(($C175+($D175+$C176-1)/12),0)),(AL174/2+AK176)/($C176-$E176-12*(AL173-$C175-1))*12,IF(AND($D176&lt;0,AL173=ROUNDDOWN(($C175+($D175+$C176-1)/12),0)),AK176+AL174,IF(AL173=ROUNDDOWN(($C175+($D175+$C176-1)/12),0),(AL174+AK176)/$C176*($D176+(AL173-$C175-1)*12+$E176),IF(AL173&gt;ROUNDDOWN(($C175+($D175+$C176)/12),0),0,0)))))))</f>
        <v/>
      </c>
      <c r="AM175" s="114" t="str">
        <f t="shared" ref="AM175" ca="1" si="299">IF(AM173="","",IF(AM173&lt;$C175,0,IF(AM173=$C175,AM174/$C176*$E176+AL176/$C176*$E176,IF(AND(AM173&gt;$C175,AM173&lt;ROUNDDOWN(($C175+($D175+$C176-1)/12),0)),(AM174/2+AL176)/($C176-$E176-12*(AM173-$C175-1))*12,IF(AND($D176&lt;0,AM173=ROUNDDOWN(($C175+($D175+$C176-1)/12),0)),AL176+AM174,IF(AM173=ROUNDDOWN(($C175+($D175+$C176-1)/12),0),(AM174+AL176)/$C176*($D176+(AM173-$C175-1)*12+$E176),IF(AM173&gt;ROUNDDOWN(($C175+($D175+$C176)/12),0),0,0)))))))</f>
        <v/>
      </c>
      <c r="AN175" s="114" t="str">
        <f t="shared" ref="AN175" ca="1" si="300">IF(AN173="","",IF(AN173&lt;$C175,0,IF(AN173=$C175,AN174/$C176*$E176+AM176/$C176*$E176,IF(AND(AN173&gt;$C175,AN173&lt;ROUNDDOWN(($C175+($D175+$C176-1)/12),0)),(AN174/2+AM176)/($C176-$E176-12*(AN173-$C175-1))*12,IF(AND($D176&lt;0,AN173=ROUNDDOWN(($C175+($D175+$C176-1)/12),0)),AM176+AN174,IF(AN173=ROUNDDOWN(($C175+($D175+$C176-1)/12),0),(AN174+AM176)/$C176*($D176+(AN173-$C175-1)*12+$E176),IF(AN173&gt;ROUNDDOWN(($C175+($D175+$C176)/12),0),0,0)))))))</f>
        <v/>
      </c>
      <c r="AO175" s="114" t="str">
        <f t="shared" ref="AO175" ca="1" si="301">IF(AO173="","",IF(AO173&lt;$C175,0,IF(AO173=$C175,AO174/$C176*$E176+AN176/$C176*$E176,IF(AND(AO173&gt;$C175,AO173&lt;ROUNDDOWN(($C175+($D175+$C176-1)/12),0)),(AO174/2+AN176)/($C176-$E176-12*(AO173-$C175-1))*12,IF(AND($D176&lt;0,AO173=ROUNDDOWN(($C175+($D175+$C176-1)/12),0)),AN176+AO174,IF(AO173=ROUNDDOWN(($C175+($D175+$C176-1)/12),0),(AO174+AN176)/$C176*($D176+(AO173-$C175-1)*12+$E176),IF(AO173&gt;ROUNDDOWN(($C175+($D175+$C176)/12),0),0,0)))))))</f>
        <v/>
      </c>
      <c r="AP175" s="114" t="str">
        <f t="shared" ref="AP175" ca="1" si="302">IF(AP173="","",IF(AP173&lt;$C175,0,IF(AP173=$C175,AP174/$C176*$E176+AO176/$C176*$E176,IF(AND(AP173&gt;$C175,AP173&lt;ROUNDDOWN(($C175+($D175+$C176-1)/12),0)),(AP174/2+AO176)/($C176-$E176-12*(AP173-$C175-1))*12,IF(AND($D176&lt;0,AP173=ROUNDDOWN(($C175+($D175+$C176-1)/12),0)),AO176+AP174,IF(AP173=ROUNDDOWN(($C175+($D175+$C176-1)/12),0),(AP174+AO176)/$C176*($D176+(AP173-$C175-1)*12+$E176),IF(AP173&gt;ROUNDDOWN(($C175+($D175+$C176)/12),0),0,0)))))))</f>
        <v/>
      </c>
      <c r="AQ175" s="114" t="str">
        <f t="shared" ref="AQ175" ca="1" si="303">IF(AQ173="","",IF(AQ173&lt;$C175,0,IF(AQ173=$C175,AQ174/$C176*$E176+AP176/$C176*$E176,IF(AND(AQ173&gt;$C175,AQ173&lt;ROUNDDOWN(($C175+($D175+$C176-1)/12),0)),(AQ174/2+AP176)/($C176-$E176-12*(AQ173-$C175-1))*12,IF(AND($D176&lt;0,AQ173=ROUNDDOWN(($C175+($D175+$C176-1)/12),0)),AP176+AQ174,IF(AQ173=ROUNDDOWN(($C175+($D175+$C176-1)/12),0),(AQ174+AP176)/$C176*($D176+(AQ173-$C175-1)*12+$E176),IF(AQ173&gt;ROUNDDOWN(($C175+($D175+$C176)/12),0),0,0)))))))</f>
        <v/>
      </c>
      <c r="AR175" s="114" t="str">
        <f t="shared" ref="AR175" ca="1" si="304">IF(AR173="","",IF(AR173&lt;$C175,0,IF(AR173=$C175,AR174/$C176*$E176+AQ176/$C176*$E176,IF(AND(AR173&gt;$C175,AR173&lt;ROUNDDOWN(($C175+($D175+$C176-1)/12),0)),(AR174/2+AQ176)/($C176-$E176-12*(AR173-$C175-1))*12,IF(AND($D176&lt;0,AR173=ROUNDDOWN(($C175+($D175+$C176-1)/12),0)),AQ176+AR174,IF(AR173=ROUNDDOWN(($C175+($D175+$C176-1)/12),0),(AR174+AQ176)/$C176*($D176+(AR173-$C175-1)*12+$E176),IF(AR173&gt;ROUNDDOWN(($C175+($D175+$C176)/12),0),0,0)))))))</f>
        <v/>
      </c>
      <c r="AS175" s="114" t="str">
        <f t="shared" ref="AS175" ca="1" si="305">IF(AS173="","",IF(AS173&lt;$C175,0,IF(AS173=$C175,AS174/$C176*$E176+AR176/$C176*$E176,IF(AND(AS173&gt;$C175,AS173&lt;ROUNDDOWN(($C175+($D175+$C176-1)/12),0)),(AS174/2+AR176)/($C176-$E176-12*(AS173-$C175-1))*12,IF(AND($D176&lt;0,AS173=ROUNDDOWN(($C175+($D175+$C176-1)/12),0)),AR176+AS174,IF(AS173=ROUNDDOWN(($C175+($D175+$C176-1)/12),0),(AS174+AR176)/$C176*($D176+(AS173-$C175-1)*12+$E176),IF(AS173&gt;ROUNDDOWN(($C175+($D175+$C176)/12),0),0,0)))))))</f>
        <v/>
      </c>
      <c r="AT175" s="114" t="str">
        <f t="shared" ref="AT175" ca="1" si="306">IF(AT173="","",IF(AT173&lt;$C175,0,IF(AT173=$C175,AT174/$C176*$E176+AS176/$C176*$E176,IF(AND(AT173&gt;$C175,AT173&lt;ROUNDDOWN(($C175+($D175+$C176-1)/12),0)),(AT174/2+AS176)/($C176-$E176-12*(AT173-$C175-1))*12,IF(AND($D176&lt;0,AT173=ROUNDDOWN(($C175+($D175+$C176-1)/12),0)),AS176+AT174,IF(AT173=ROUNDDOWN(($C175+($D175+$C176-1)/12),0),(AT174+AS176)/$C176*($D176+(AT173-$C175-1)*12+$E176),IF(AT173&gt;ROUNDDOWN(($C175+($D175+$C176)/12),0),0,0)))))))</f>
        <v/>
      </c>
      <c r="AU175" s="114" t="str">
        <f t="shared" ref="AU175" ca="1" si="307">IF(AU173="","",IF(AU173&lt;$C175,0,IF(AU173=$C175,AU174/$C176*$E176+AT176/$C176*$E176,IF(AND(AU173&gt;$C175,AU173&lt;ROUNDDOWN(($C175+($D175+$C176-1)/12),0)),(AU174/2+AT176)/($C176-$E176-12*(AU173-$C175-1))*12,IF(AND($D176&lt;0,AU173=ROUNDDOWN(($C175+($D175+$C176-1)/12),0)),AT176+AU174,IF(AU173=ROUNDDOWN(($C175+($D175+$C176-1)/12),0),(AU174+AT176)/$C176*($D176+(AU173-$C175-1)*12+$E176),IF(AU173&gt;ROUNDDOWN(($C175+($D175+$C176)/12),0),0,0)))))))</f>
        <v/>
      </c>
      <c r="AV175" s="114" t="str">
        <f t="shared" ref="AV175" ca="1" si="308">IF(AV173="","",IF(AV173&lt;$C175,0,IF(AV173=$C175,AV174/$C176*$E176+AU176/$C176*$E176,IF(AND(AV173&gt;$C175,AV173&lt;ROUNDDOWN(($C175+($D175+$C176-1)/12),0)),(AV174/2+AU176)/($C176-$E176-12*(AV173-$C175-1))*12,IF(AND($D176&lt;0,AV173=ROUNDDOWN(($C175+($D175+$C176-1)/12),0)),AU176+AV174,IF(AV173=ROUNDDOWN(($C175+($D175+$C176-1)/12),0),(AV174+AU176)/$C176*($D176+(AV173-$C175-1)*12+$E176),IF(AV173&gt;ROUNDDOWN(($C175+($D175+$C176)/12),0),0,0)))))))</f>
        <v/>
      </c>
      <c r="AW175" s="114" t="str">
        <f t="shared" ref="AW175" ca="1" si="309">IF(AW173="","",IF(AW173&lt;$C175,0,IF(AW173=$C175,AW174/$C176*$E176+AV176/$C176*$E176,IF(AND(AW173&gt;$C175,AW173&lt;ROUNDDOWN(($C175+($D175+$C176-1)/12),0)),(AW174/2+AV176)/($C176-$E176-12*(AW173-$C175-1))*12,IF(AND($D176&lt;0,AW173=ROUNDDOWN(($C175+($D175+$C176-1)/12),0)),AV176+AW174,IF(AW173=ROUNDDOWN(($C175+($D175+$C176-1)/12),0),(AW174+AV176)/$C176*($D176+(AW173-$C175-1)*12+$E176),IF(AW173&gt;ROUNDDOWN(($C175+($D175+$C176)/12),0),0,0)))))))</f>
        <v/>
      </c>
      <c r="AX175" s="90"/>
      <c r="AY175" s="90"/>
      <c r="AZ175" s="87"/>
    </row>
    <row r="176" spans="3:52" ht="12.75" customHeight="1" x14ac:dyDescent="0.2">
      <c r="C176" s="128">
        <f>ROUNDUP((E175-ROUNDDOWN(E175,0))*12,0)+ROUNDDOWN(E175,0)*12</f>
        <v>0</v>
      </c>
      <c r="D176" s="128">
        <f>C176-E176-ROUNDDOWN(E175,0)*12</f>
        <v>-12</v>
      </c>
      <c r="E176" s="128">
        <f>13-MONTH(C174)</f>
        <v>12</v>
      </c>
      <c r="N176" s="85"/>
      <c r="O176" s="90"/>
      <c r="P176" s="90"/>
      <c r="Q176" s="115" t="str">
        <f>INDEX(g_lang_val,MATCH("tb_2_4_3",g_lang_key,0))</f>
        <v>FF4-gæld, ultimo året</v>
      </c>
      <c r="R176" s="116"/>
      <c r="S176" s="119"/>
      <c r="T176" s="114">
        <f t="shared" ref="T176" ca="1" si="310">IF(T173="","",S176+T174-T175)</f>
        <v>0</v>
      </c>
      <c r="U176" s="114">
        <f t="shared" ref="U176" ca="1" si="311">IF(U173="","",T176+U174-U175)</f>
        <v>0</v>
      </c>
      <c r="V176" s="114">
        <f t="shared" ref="V176" ca="1" si="312">IF(V173="","",U176+V174-V175)</f>
        <v>0</v>
      </c>
      <c r="W176" s="114">
        <f t="shared" ref="W176" ca="1" si="313">IF(W173="","",V176+W174-W175)</f>
        <v>0</v>
      </c>
      <c r="X176" s="114" t="str">
        <f t="shared" ref="X176" ca="1" si="314">IF(X173="","",W176+X174-X175)</f>
        <v/>
      </c>
      <c r="Y176" s="114" t="str">
        <f t="shared" ref="Y176" ca="1" si="315">IF(Y173="","",X176+Y174-Y175)</f>
        <v/>
      </c>
      <c r="Z176" s="114" t="str">
        <f t="shared" ref="Z176" ca="1" si="316">IF(Z173="","",Y176+Z174-Z175)</f>
        <v/>
      </c>
      <c r="AA176" s="114" t="str">
        <f t="shared" ref="AA176" ca="1" si="317">IF(AA173="","",Z176+AA174-AA175)</f>
        <v/>
      </c>
      <c r="AB176" s="114" t="str">
        <f t="shared" ref="AB176" ca="1" si="318">IF(AB173="","",AA176+AB174-AB175)</f>
        <v/>
      </c>
      <c r="AC176" s="114" t="str">
        <f t="shared" ref="AC176" ca="1" si="319">IF(AC173="","",AB176+AC174-AC175)</f>
        <v/>
      </c>
      <c r="AD176" s="114" t="str">
        <f t="shared" ref="AD176" ca="1" si="320">IF(AD173="","",AC176+AD174-AD175)</f>
        <v/>
      </c>
      <c r="AE176" s="114" t="str">
        <f t="shared" ref="AE176" ca="1" si="321">IF(AE173="","",AD176+AE174-AE175)</f>
        <v/>
      </c>
      <c r="AF176" s="114" t="str">
        <f t="shared" ref="AF176" ca="1" si="322">IF(AF173="","",AE176+AF174-AF175)</f>
        <v/>
      </c>
      <c r="AG176" s="114" t="str">
        <f t="shared" ref="AG176" ca="1" si="323">IF(AG173="","",AF176+AG174-AG175)</f>
        <v/>
      </c>
      <c r="AH176" s="114" t="str">
        <f t="shared" ref="AH176" ca="1" si="324">IF(AH173="","",AG176+AH174-AH175)</f>
        <v/>
      </c>
      <c r="AI176" s="114" t="str">
        <f t="shared" ref="AI176" ca="1" si="325">IF(AI173="","",AH176+AI174-AI175)</f>
        <v/>
      </c>
      <c r="AJ176" s="114" t="str">
        <f t="shared" ref="AJ176" ca="1" si="326">IF(AJ173="","",AI176+AJ174-AJ175)</f>
        <v/>
      </c>
      <c r="AK176" s="114" t="str">
        <f t="shared" ref="AK176" ca="1" si="327">IF(AK173="","",AJ176+AK174-AK175)</f>
        <v/>
      </c>
      <c r="AL176" s="114" t="str">
        <f t="shared" ref="AL176" ca="1" si="328">IF(AL173="","",AK176+AL174-AL175)</f>
        <v/>
      </c>
      <c r="AM176" s="114" t="str">
        <f t="shared" ref="AM176" ca="1" si="329">IF(AM173="","",AL176+AM174-AM175)</f>
        <v/>
      </c>
      <c r="AN176" s="114" t="str">
        <f t="shared" ref="AN176" ca="1" si="330">IF(AN173="","",AM176+AN174-AN175)</f>
        <v/>
      </c>
      <c r="AO176" s="114" t="str">
        <f t="shared" ref="AO176" ca="1" si="331">IF(AO173="","",AN176+AO174-AO175)</f>
        <v/>
      </c>
      <c r="AP176" s="114" t="str">
        <f t="shared" ref="AP176" ca="1" si="332">IF(AP173="","",AO176+AP174-AP175)</f>
        <v/>
      </c>
      <c r="AQ176" s="114" t="str">
        <f t="shared" ref="AQ176" ca="1" si="333">IF(AQ173="","",AP176+AQ174-AQ175)</f>
        <v/>
      </c>
      <c r="AR176" s="114" t="str">
        <f t="shared" ref="AR176" ca="1" si="334">IF(AR173="","",AQ176+AR174-AR175)</f>
        <v/>
      </c>
      <c r="AS176" s="114" t="str">
        <f t="shared" ref="AS176" ca="1" si="335">IF(AS173="","",AR176+AS174-AS175)</f>
        <v/>
      </c>
      <c r="AT176" s="114" t="str">
        <f t="shared" ref="AT176" ca="1" si="336">IF(AT173="","",AS176+AT174-AT175)</f>
        <v/>
      </c>
      <c r="AU176" s="114" t="str">
        <f t="shared" ref="AU176" ca="1" si="337">IF(AU173="","",AT176+AU174-AU175)</f>
        <v/>
      </c>
      <c r="AV176" s="114" t="str">
        <f t="shared" ref="AV176" ca="1" si="338">IF(AV173="","",AU176+AV174-AV175)</f>
        <v/>
      </c>
      <c r="AW176" s="114" t="str">
        <f t="shared" ref="AW176" ca="1" si="339">IF(AW173="","",AV176+AW174-AW175)</f>
        <v/>
      </c>
      <c r="AX176" s="90"/>
      <c r="AY176" s="90"/>
      <c r="AZ176" s="87"/>
    </row>
    <row r="177" spans="3:52" ht="12.75" customHeight="1" x14ac:dyDescent="0.2">
      <c r="N177" s="85"/>
      <c r="O177" s="90"/>
      <c r="P177" s="90"/>
      <c r="Q177" s="115" t="str">
        <f>INDEX(g_lang_val,MATCH("tb_2_4_4",g_lang_key,0))</f>
        <v>Renter (FF4)</v>
      </c>
      <c r="R177" s="116"/>
      <c r="S177" s="119">
        <f ca="1">SUM(T177:BG177)</f>
        <v>0</v>
      </c>
      <c r="T177" s="114">
        <f t="shared" ref="T177" ca="1" si="340">IF(T173="","",g_interest_FF4*(S176+(T174/2)-(T175/2)))</f>
        <v>0</v>
      </c>
      <c r="U177" s="114">
        <f t="shared" ref="U177" ca="1" si="341">IF(U173="","",g_interest_FF4*(T176+(U174/2)-(U175/2)))</f>
        <v>0</v>
      </c>
      <c r="V177" s="114">
        <f t="shared" ref="V177" ca="1" si="342">IF(V173="","",g_interest_FF4*(U176+(V174/2)-(V175/2)))</f>
        <v>0</v>
      </c>
      <c r="W177" s="114">
        <f t="shared" ref="W177" ca="1" si="343">IF(W173="","",g_interest_FF4*(V176+(W174/2)-(W175/2)))</f>
        <v>0</v>
      </c>
      <c r="X177" s="114" t="str">
        <f t="shared" ref="X177" ca="1" si="344">IF(X173="","",g_interest_FF4*(W176+(X174/2)-(X175/2)))</f>
        <v/>
      </c>
      <c r="Y177" s="114" t="str">
        <f t="shared" ref="Y177" ca="1" si="345">IF(Y173="","",g_interest_FF4*(X176+(Y174/2)-(Y175/2)))</f>
        <v/>
      </c>
      <c r="Z177" s="114" t="str">
        <f t="shared" ref="Z177" ca="1" si="346">IF(Z173="","",g_interest_FF4*(Y176+(Z174/2)-(Z175/2)))</f>
        <v/>
      </c>
      <c r="AA177" s="114" t="str">
        <f t="shared" ref="AA177" ca="1" si="347">IF(AA173="","",g_interest_FF4*(Z176+(AA174/2)-(AA175/2)))</f>
        <v/>
      </c>
      <c r="AB177" s="114" t="str">
        <f t="shared" ref="AB177" ca="1" si="348">IF(AB173="","",g_interest_FF4*(AA176+(AB174/2)-(AB175/2)))</f>
        <v/>
      </c>
      <c r="AC177" s="114" t="str">
        <f t="shared" ref="AC177" ca="1" si="349">IF(AC173="","",g_interest_FF4*(AB176+(AC174/2)-(AC175/2)))</f>
        <v/>
      </c>
      <c r="AD177" s="114" t="str">
        <f t="shared" ref="AD177" ca="1" si="350">IF(AD173="","",g_interest_FF4*(AC176+(AD174/2)-(AD175/2)))</f>
        <v/>
      </c>
      <c r="AE177" s="114" t="str">
        <f t="shared" ref="AE177" ca="1" si="351">IF(AE173="","",g_interest_FF4*(AD176+(AE174/2)-(AE175/2)))</f>
        <v/>
      </c>
      <c r="AF177" s="114" t="str">
        <f t="shared" ref="AF177" ca="1" si="352">IF(AF173="","",g_interest_FF4*(AE176+(AF174/2)-(AF175/2)))</f>
        <v/>
      </c>
      <c r="AG177" s="114" t="str">
        <f t="shared" ref="AG177" ca="1" si="353">IF(AG173="","",g_interest_FF4*(AF176+(AG174/2)-(AG175/2)))</f>
        <v/>
      </c>
      <c r="AH177" s="114" t="str">
        <f t="shared" ref="AH177" ca="1" si="354">IF(AH173="","",g_interest_FF4*(AG176+(AH174/2)-(AH175/2)))</f>
        <v/>
      </c>
      <c r="AI177" s="114" t="str">
        <f t="shared" ref="AI177" ca="1" si="355">IF(AI173="","",g_interest_FF4*(AH176+(AI174/2)-(AI175/2)))</f>
        <v/>
      </c>
      <c r="AJ177" s="114" t="str">
        <f t="shared" ref="AJ177" ca="1" si="356">IF(AJ173="","",g_interest_FF4*(AI176+(AJ174/2)-(AJ175/2)))</f>
        <v/>
      </c>
      <c r="AK177" s="114" t="str">
        <f t="shared" ref="AK177" ca="1" si="357">IF(AK173="","",g_interest_FF4*(AJ176+(AK174/2)-(AK175/2)))</f>
        <v/>
      </c>
      <c r="AL177" s="114" t="str">
        <f t="shared" ref="AL177" ca="1" si="358">IF(AL173="","",g_interest_FF4*(AK176+(AL174/2)-(AL175/2)))</f>
        <v/>
      </c>
      <c r="AM177" s="114" t="str">
        <f t="shared" ref="AM177" ca="1" si="359">IF(AM173="","",g_interest_FF4*(AL176+(AM174/2)-(AM175/2)))</f>
        <v/>
      </c>
      <c r="AN177" s="114" t="str">
        <f t="shared" ref="AN177" ca="1" si="360">IF(AN173="","",g_interest_FF4*(AM176+(AN174/2)-(AN175/2)))</f>
        <v/>
      </c>
      <c r="AO177" s="114" t="str">
        <f t="shared" ref="AO177" ca="1" si="361">IF(AO173="","",g_interest_FF4*(AN176+(AO174/2)-(AO175/2)))</f>
        <v/>
      </c>
      <c r="AP177" s="114" t="str">
        <f t="shared" ref="AP177" ca="1" si="362">IF(AP173="","",g_interest_FF4*(AO176+(AP174/2)-(AP175/2)))</f>
        <v/>
      </c>
      <c r="AQ177" s="114" t="str">
        <f t="shared" ref="AQ177" ca="1" si="363">IF(AQ173="","",g_interest_FF4*(AP176+(AQ174/2)-(AQ175/2)))</f>
        <v/>
      </c>
      <c r="AR177" s="114" t="str">
        <f t="shared" ref="AR177" ca="1" si="364">IF(AR173="","",g_interest_FF4*(AQ176+(AR174/2)-(AR175/2)))</f>
        <v/>
      </c>
      <c r="AS177" s="114" t="str">
        <f t="shared" ref="AS177" ca="1" si="365">IF(AS173="","",g_interest_FF4*(AR176+(AS174/2)-(AS175/2)))</f>
        <v/>
      </c>
      <c r="AT177" s="114" t="str">
        <f t="shared" ref="AT177" ca="1" si="366">IF(AT173="","",g_interest_FF4*(AS176+(AT174/2)-(AT175/2)))</f>
        <v/>
      </c>
      <c r="AU177" s="114" t="str">
        <f t="shared" ref="AU177" ca="1" si="367">IF(AU173="","",g_interest_FF4*(AT176+(AU174/2)-(AU175/2)))</f>
        <v/>
      </c>
      <c r="AV177" s="114" t="str">
        <f t="shared" ref="AV177" ca="1" si="368">IF(AV173="","",g_interest_FF4*(AU176+(AV174/2)-(AV175/2)))</f>
        <v/>
      </c>
      <c r="AW177" s="114" t="str">
        <f t="shared" ref="AW177" ca="1" si="369">IF(AW173="","",g_interest_FF4*(AV176+(AW174/2)-(AW175/2)))</f>
        <v/>
      </c>
      <c r="AX177" s="90"/>
      <c r="AY177" s="90"/>
      <c r="AZ177" s="87"/>
    </row>
    <row r="178" spans="3:52" ht="12.75" customHeight="1" x14ac:dyDescent="0.2">
      <c r="N178" s="85"/>
      <c r="O178" s="90"/>
      <c r="P178" s="90"/>
      <c r="Q178" s="118" t="str">
        <f>INDEX(g_assets_sc_1,7)</f>
        <v/>
      </c>
      <c r="R178" s="118"/>
      <c r="S178" s="113"/>
      <c r="T178" s="125">
        <f ca="1">T$157</f>
        <v>2026</v>
      </c>
      <c r="U178" s="125">
        <f t="shared" ref="U178:AW178" ca="1" si="370">U$157</f>
        <v>2027</v>
      </c>
      <c r="V178" s="125">
        <f t="shared" ca="1" si="370"/>
        <v>2028</v>
      </c>
      <c r="W178" s="125">
        <f t="shared" ca="1" si="370"/>
        <v>2029</v>
      </c>
      <c r="X178" s="125" t="str">
        <f t="shared" ca="1" si="370"/>
        <v/>
      </c>
      <c r="Y178" s="125" t="str">
        <f t="shared" ca="1" si="370"/>
        <v/>
      </c>
      <c r="Z178" s="125" t="str">
        <f t="shared" ca="1" si="370"/>
        <v/>
      </c>
      <c r="AA178" s="125" t="str">
        <f t="shared" ca="1" si="370"/>
        <v/>
      </c>
      <c r="AB178" s="125" t="str">
        <f t="shared" ca="1" si="370"/>
        <v/>
      </c>
      <c r="AC178" s="125" t="str">
        <f t="shared" ca="1" si="370"/>
        <v/>
      </c>
      <c r="AD178" s="125" t="str">
        <f t="shared" ca="1" si="370"/>
        <v/>
      </c>
      <c r="AE178" s="125" t="str">
        <f t="shared" ca="1" si="370"/>
        <v/>
      </c>
      <c r="AF178" s="125" t="str">
        <f t="shared" ca="1" si="370"/>
        <v/>
      </c>
      <c r="AG178" s="125" t="str">
        <f t="shared" ca="1" si="370"/>
        <v/>
      </c>
      <c r="AH178" s="125" t="str">
        <f t="shared" ca="1" si="370"/>
        <v/>
      </c>
      <c r="AI178" s="125" t="str">
        <f t="shared" ca="1" si="370"/>
        <v/>
      </c>
      <c r="AJ178" s="125" t="str">
        <f t="shared" ca="1" si="370"/>
        <v/>
      </c>
      <c r="AK178" s="125" t="str">
        <f t="shared" ca="1" si="370"/>
        <v/>
      </c>
      <c r="AL178" s="125" t="str">
        <f t="shared" ca="1" si="370"/>
        <v/>
      </c>
      <c r="AM178" s="125" t="str">
        <f t="shared" ca="1" si="370"/>
        <v/>
      </c>
      <c r="AN178" s="125" t="str">
        <f t="shared" ca="1" si="370"/>
        <v/>
      </c>
      <c r="AO178" s="125" t="str">
        <f t="shared" ca="1" si="370"/>
        <v/>
      </c>
      <c r="AP178" s="125" t="str">
        <f t="shared" ca="1" si="370"/>
        <v/>
      </c>
      <c r="AQ178" s="125" t="str">
        <f t="shared" ca="1" si="370"/>
        <v/>
      </c>
      <c r="AR178" s="125" t="str">
        <f t="shared" ca="1" si="370"/>
        <v/>
      </c>
      <c r="AS178" s="125" t="str">
        <f t="shared" ca="1" si="370"/>
        <v/>
      </c>
      <c r="AT178" s="125" t="str">
        <f t="shared" ca="1" si="370"/>
        <v/>
      </c>
      <c r="AU178" s="125" t="str">
        <f t="shared" ca="1" si="370"/>
        <v/>
      </c>
      <c r="AV178" s="125" t="str">
        <f t="shared" ca="1" si="370"/>
        <v/>
      </c>
      <c r="AW178" s="125" t="str">
        <f t="shared" ca="1" si="370"/>
        <v/>
      </c>
      <c r="AX178" s="90"/>
      <c r="AY178" s="90"/>
      <c r="AZ178" s="87"/>
    </row>
    <row r="179" spans="3:52" ht="12.75" customHeight="1" x14ac:dyDescent="0.2">
      <c r="C179" s="126">
        <f>INDEX(g_sc_1_assets_dates,G179)</f>
        <v>0</v>
      </c>
      <c r="G179" s="127">
        <v>5</v>
      </c>
      <c r="N179" s="85"/>
      <c r="O179" s="90"/>
      <c r="P179" s="90"/>
      <c r="Q179" s="115" t="str">
        <f>INDEX(g_lang_val,MATCH("tb_2_4_1",g_lang_key,0))</f>
        <v>Køb af anlægsaktiver</v>
      </c>
      <c r="R179" s="116"/>
      <c r="S179" s="119">
        <f ca="1">SUM(T179:BG179)</f>
        <v>0</v>
      </c>
      <c r="T179" s="114">
        <f ca="1">IF(T178="","",SUMPRODUCT(--(Leverancer!$C$28:$C$88=($G179+2)),Leverancer!D$28:D$88)/1000)</f>
        <v>0</v>
      </c>
      <c r="U179" s="114">
        <f ca="1">IF(U178="","",SUMPRODUCT(--(Leverancer!$C$28:$C$88=($G179+2)),Leverancer!E$28:E$88)/1000)</f>
        <v>0</v>
      </c>
      <c r="V179" s="114">
        <f ca="1">IF(V178="","",SUMPRODUCT(--(Leverancer!$C$28:$C$88=($G179+2)),Leverancer!F$28:F$88)/1000)</f>
        <v>0</v>
      </c>
      <c r="W179" s="114">
        <f ca="1">IF(W178="","",SUMPRODUCT(--(Leverancer!$C$28:$C$88=($G179+2)),Leverancer!G$28:G$88)/1000)</f>
        <v>0</v>
      </c>
      <c r="X179" s="114" t="str">
        <f ca="1">IF(X178="","",SUMPRODUCT(--(Leverancer!$C$28:$C$88=($G179+2)),Leverancer!H$28:H$88)/1000)</f>
        <v/>
      </c>
      <c r="Y179" s="114" t="str">
        <f ca="1">IF(Y178="","",SUMPRODUCT(--(Leverancer!$C$28:$C$88=($G179+2)),Leverancer!I$28:I$88)/1000)</f>
        <v/>
      </c>
      <c r="Z179" s="114" t="str">
        <f ca="1">IF(Z178="","",SUMPRODUCT(--(Leverancer!$C$28:$C$88=($G179+2)),Leverancer!J$28:J$88)/1000)</f>
        <v/>
      </c>
      <c r="AA179" s="114" t="str">
        <f ca="1">IF(AA178="","",SUMPRODUCT(--(Leverancer!$C$28:$C$88=($G179+2)),Leverancer!K$28:K$88)/1000)</f>
        <v/>
      </c>
      <c r="AB179" s="114" t="str">
        <f ca="1">IF(AB178="","",SUMPRODUCT(--(Leverancer!$C$28:$C$88=($G179+2)),Leverancer!L$28:L$88)/1000)</f>
        <v/>
      </c>
      <c r="AC179" s="114" t="str">
        <f ca="1">IF(AC178="","",SUMPRODUCT(--(Leverancer!$C$28:$C$88=($G179+2)),Leverancer!M$28:M$88)/1000)</f>
        <v/>
      </c>
      <c r="AD179" s="114" t="str">
        <f ca="1">IF(AD178="","",SUMPRODUCT(--(Leverancer!$C$28:$C$88=($G179+2)),Leverancer!N$28:N$88)/1000)</f>
        <v/>
      </c>
      <c r="AE179" s="114" t="str">
        <f ca="1">IF(AE178="","",SUMPRODUCT(--(Leverancer!$C$28:$C$88=($G179+2)),Leverancer!O$28:O$88)/1000)</f>
        <v/>
      </c>
      <c r="AF179" s="114" t="str">
        <f ca="1">IF(AF178="","",SUMPRODUCT(--(Leverancer!$C$28:$C$88=($G179+2)),Leverancer!P$28:P$88)/1000)</f>
        <v/>
      </c>
      <c r="AG179" s="114" t="str">
        <f ca="1">IF(AG178="","",SUMPRODUCT(--(Leverancer!$C$28:$C$88=($G179+2)),Leverancer!Q$28:Q$88)/1000)</f>
        <v/>
      </c>
      <c r="AH179" s="114" t="str">
        <f ca="1">IF(AH178="","",SUMPRODUCT(--(Leverancer!$C$28:$C$88=($G179+2)),Leverancer!R$28:R$88)/1000)</f>
        <v/>
      </c>
      <c r="AI179" s="114" t="str">
        <f ca="1">IF(AI178="","",SUMPRODUCT(--(Leverancer!$C$28:$C$88=($G179+2)),Leverancer!S$28:S$88)/1000)</f>
        <v/>
      </c>
      <c r="AJ179" s="114" t="str">
        <f ca="1">IF(AJ178="","",SUMPRODUCT(--(Leverancer!$C$28:$C$88=($G179+2)),Leverancer!T$28:T$88)/1000)</f>
        <v/>
      </c>
      <c r="AK179" s="114" t="str">
        <f ca="1">IF(AK178="","",SUMPRODUCT(--(Leverancer!$C$28:$C$88=($G179+2)),Leverancer!U$28:U$88)/1000)</f>
        <v/>
      </c>
      <c r="AL179" s="114" t="str">
        <f ca="1">IF(AL178="","",SUMPRODUCT(--(Leverancer!$C$28:$C$88=($G179+2)),Leverancer!V$28:V$88)/1000)</f>
        <v/>
      </c>
      <c r="AM179" s="114" t="str">
        <f ca="1">IF(AM178="","",SUMPRODUCT(--(Leverancer!$C$28:$C$88=($G179+2)),Leverancer!W$28:W$88)/1000)</f>
        <v/>
      </c>
      <c r="AN179" s="114" t="str">
        <f ca="1">IF(AN178="","",SUMPRODUCT(--(Leverancer!$C$28:$C$88=($G179+2)),Leverancer!X$28:X$88)/1000)</f>
        <v/>
      </c>
      <c r="AO179" s="114" t="str">
        <f ca="1">IF(AO178="","",SUMPRODUCT(--(Leverancer!$C$28:$C$88=($G179+2)),Leverancer!Y$28:Y$88)/1000)</f>
        <v/>
      </c>
      <c r="AP179" s="114" t="str">
        <f ca="1">IF(AP178="","",SUMPRODUCT(--(Leverancer!$C$28:$C$88=($G179+2)),Leverancer!Z$28:Z$88)/1000)</f>
        <v/>
      </c>
      <c r="AQ179" s="114" t="str">
        <f ca="1">IF(AQ178="","",SUMPRODUCT(--(Leverancer!$C$28:$C$88=($G179+2)),Leverancer!AA$28:AA$88)/1000)</f>
        <v/>
      </c>
      <c r="AR179" s="114" t="str">
        <f ca="1">IF(AR178="","",SUMPRODUCT(--(Leverancer!$C$28:$C$88=($G179+2)),Leverancer!AB$28:AB$88)/1000)</f>
        <v/>
      </c>
      <c r="AS179" s="114" t="str">
        <f ca="1">IF(AS178="","",SUMPRODUCT(--(Leverancer!$C$28:$C$88=($G179+2)),Leverancer!AC$28:AC$88)/1000)</f>
        <v/>
      </c>
      <c r="AT179" s="114" t="str">
        <f ca="1">IF(AT178="","",SUMPRODUCT(--(Leverancer!$C$28:$C$88=($G179+2)),Leverancer!AD$28:AD$88)/1000)</f>
        <v/>
      </c>
      <c r="AU179" s="114" t="str">
        <f ca="1">IF(AU178="","",SUMPRODUCT(--(Leverancer!$C$28:$C$88=($G179+2)),Leverancer!AE$28:AE$88)/1000)</f>
        <v/>
      </c>
      <c r="AV179" s="114" t="str">
        <f ca="1">IF(AV178="","",SUMPRODUCT(--(Leverancer!$C$28:$C$88=($G179+2)),Leverancer!AF$28:AF$88)/1000)</f>
        <v/>
      </c>
      <c r="AW179" s="114" t="str">
        <f ca="1">IF(AW178="","",SUMPRODUCT(--(Leverancer!$C$28:$C$88=($G179+2)),Leverancer!AG$28:AG$88)/1000)</f>
        <v/>
      </c>
      <c r="AX179" s="90"/>
      <c r="AY179" s="90"/>
      <c r="AZ179" s="87"/>
    </row>
    <row r="180" spans="3:52" ht="12.75" customHeight="1" x14ac:dyDescent="0.2">
      <c r="C180" s="128">
        <f>IFERROR(YEAR(C179),"")</f>
        <v>1900</v>
      </c>
      <c r="D180" s="128">
        <f>IFERROR(MONTH(C179),"")</f>
        <v>1</v>
      </c>
      <c r="E180" s="128">
        <f>INDEX(g_sc_1_assets_years,G179)</f>
        <v>0</v>
      </c>
      <c r="N180" s="85"/>
      <c r="O180" s="90"/>
      <c r="P180" s="90"/>
      <c r="Q180" s="115" t="str">
        <f>INDEX(g_lang_val,MATCH("tb_2_4_2",g_lang_key,0))</f>
        <v>Afskrivninger</v>
      </c>
      <c r="R180" s="116"/>
      <c r="S180" s="119">
        <f ca="1">SUM(T180:BG180)</f>
        <v>0</v>
      </c>
      <c r="T180" s="114">
        <f t="shared" ref="T180" ca="1" si="371">IF(T178="","",IF(T178&lt;$C180,0,IF(T178=$C180,T179/$C181*$E181+S181/$C181*$E181,IF(AND(T178&gt;$C180,T178&lt;ROUNDDOWN(($C180+($D180+$C181-1)/12),0)),(T179/2+S181)/($C181-$E181-12*(T178-$C180-1))*12,IF(AND($D181&lt;0,T178=ROUNDDOWN(($C180+($D180+$C181-1)/12),0)),S181+T179,IF(T178=ROUNDDOWN(($C180+($D180+$C181-1)/12),0),(T179+S181)/$C181*($D181+(T178-$C180-1)*12+$E181),IF(T178&gt;ROUNDDOWN(($C180+($D180+$C181)/12),0),0,0)))))))</f>
        <v>0</v>
      </c>
      <c r="U180" s="114">
        <f t="shared" ref="U180" ca="1" si="372">IF(U178="","",IF(U178&lt;$C180,0,IF(U178=$C180,U179/$C181*$E181+T181/$C181*$E181,IF(AND(U178&gt;$C180,U178&lt;ROUNDDOWN(($C180+($D180+$C181-1)/12),0)),(U179/2+T181)/($C181-$E181-12*(U178-$C180-1))*12,IF(AND($D181&lt;0,U178=ROUNDDOWN(($C180+($D180+$C181-1)/12),0)),T181+U179,IF(U178=ROUNDDOWN(($C180+($D180+$C181-1)/12),0),(U179+T181)/$C181*($D181+(U178-$C180-1)*12+$E181),IF(U178&gt;ROUNDDOWN(($C180+($D180+$C181)/12),0),0,0)))))))</f>
        <v>0</v>
      </c>
      <c r="V180" s="114">
        <f t="shared" ref="V180" ca="1" si="373">IF(V178="","",IF(V178&lt;$C180,0,IF(V178=$C180,V179/$C181*$E181+U181/$C181*$E181,IF(AND(V178&gt;$C180,V178&lt;ROUNDDOWN(($C180+($D180+$C181-1)/12),0)),(V179/2+U181)/($C181-$E181-12*(V178-$C180-1))*12,IF(AND($D181&lt;0,V178=ROUNDDOWN(($C180+($D180+$C181-1)/12),0)),U181+V179,IF(V178=ROUNDDOWN(($C180+($D180+$C181-1)/12),0),(V179+U181)/$C181*($D181+(V178-$C180-1)*12+$E181),IF(V178&gt;ROUNDDOWN(($C180+($D180+$C181)/12),0),0,0)))))))</f>
        <v>0</v>
      </c>
      <c r="W180" s="114">
        <f t="shared" ref="W180" ca="1" si="374">IF(W178="","",IF(W178&lt;$C180,0,IF(W178=$C180,W179/$C181*$E181+V181/$C181*$E181,IF(AND(W178&gt;$C180,W178&lt;ROUNDDOWN(($C180+($D180+$C181-1)/12),0)),(W179/2+V181)/($C181-$E181-12*(W178-$C180-1))*12,IF(AND($D181&lt;0,W178=ROUNDDOWN(($C180+($D180+$C181-1)/12),0)),V181+W179,IF(W178=ROUNDDOWN(($C180+($D180+$C181-1)/12),0),(W179+V181)/$C181*($D181+(W178-$C180-1)*12+$E181),IF(W178&gt;ROUNDDOWN(($C180+($D180+$C181)/12),0),0,0)))))))</f>
        <v>0</v>
      </c>
      <c r="X180" s="114" t="str">
        <f t="shared" ref="X180" ca="1" si="375">IF(X178="","",IF(X178&lt;$C180,0,IF(X178=$C180,X179/$C181*$E181+W181/$C181*$E181,IF(AND(X178&gt;$C180,X178&lt;ROUNDDOWN(($C180+($D180+$C181-1)/12),0)),(X179/2+W181)/($C181-$E181-12*(X178-$C180-1))*12,IF(AND($D181&lt;0,X178=ROUNDDOWN(($C180+($D180+$C181-1)/12),0)),W181+X179,IF(X178=ROUNDDOWN(($C180+($D180+$C181-1)/12),0),(X179+W181)/$C181*($D181+(X178-$C180-1)*12+$E181),IF(X178&gt;ROUNDDOWN(($C180+($D180+$C181)/12),0),0,0)))))))</f>
        <v/>
      </c>
      <c r="Y180" s="114" t="str">
        <f t="shared" ref="Y180" ca="1" si="376">IF(Y178="","",IF(Y178&lt;$C180,0,IF(Y178=$C180,Y179/$C181*$E181+X181/$C181*$E181,IF(AND(Y178&gt;$C180,Y178&lt;ROUNDDOWN(($C180+($D180+$C181-1)/12),0)),(Y179/2+X181)/($C181-$E181-12*(Y178-$C180-1))*12,IF(AND($D181&lt;0,Y178=ROUNDDOWN(($C180+($D180+$C181-1)/12),0)),X181+Y179,IF(Y178=ROUNDDOWN(($C180+($D180+$C181-1)/12),0),(Y179+X181)/$C181*($D181+(Y178-$C180-1)*12+$E181),IF(Y178&gt;ROUNDDOWN(($C180+($D180+$C181)/12),0),0,0)))))))</f>
        <v/>
      </c>
      <c r="Z180" s="114" t="str">
        <f ca="1">IF(Z178="","",IF(Z178&lt;$C180,0,IF(Z178=$C180,Z179/$C181*$E181+Y181/$C181*$E181,IF(AND(Z178&gt;$C180,Z178&lt;ROUNDDOWN(($C180+($D180+$C181-1)/12),0)),(Z179/2+Y181)/($C181-$E181-12*(Z178-$C180-1))*12,IF(AND($D181&lt;0,Z178=ROUNDDOWN(($C180+($D180+$C181-1)/12),0)),Y181+Z179,IF(Z178=ROUNDDOWN(($C180+($D180+$C181-1)/12),0),(Z179+Y181)/$C181*($D181+(Z178-$C180-1)*12+$E181),IF(Z178&gt;ROUNDDOWN(($C180+($D180+$C181)/12),0),0,0)))))))</f>
        <v/>
      </c>
      <c r="AA180" s="114" t="str">
        <f t="shared" ref="AA180" ca="1" si="377">IF(AA178="","",IF(AA178&lt;$C180,0,IF(AA178=$C180,AA179/$C181*$E181+Z181/$C181*$E181,IF(AND(AA178&gt;$C180,AA178&lt;ROUNDDOWN(($C180+($D180+$C181-1)/12),0)),(AA179/2+Z181)/($C181-$E181-12*(AA178-$C180-1))*12,IF(AND($D181&lt;0,AA178=ROUNDDOWN(($C180+($D180+$C181-1)/12),0)),Z181+AA179,IF(AA178=ROUNDDOWN(($C180+($D180+$C181-1)/12),0),(AA179+Z181)/$C181*($D181+(AA178-$C180-1)*12+$E181),IF(AA178&gt;ROUNDDOWN(($C180+($D180+$C181)/12),0),0,0)))))))</f>
        <v/>
      </c>
      <c r="AB180" s="114" t="str">
        <f t="shared" ref="AB180" ca="1" si="378">IF(AB178="","",IF(AB178&lt;$C180,0,IF(AB178=$C180,AB179/$C181*$E181+AA181/$C181*$E181,IF(AND(AB178&gt;$C180,AB178&lt;ROUNDDOWN(($C180+($D180+$C181-1)/12),0)),(AB179/2+AA181)/($C181-$E181-12*(AB178-$C180-1))*12,IF(AND($D181&lt;0,AB178=ROUNDDOWN(($C180+($D180+$C181-1)/12),0)),AA181+AB179,IF(AB178=ROUNDDOWN(($C180+($D180+$C181-1)/12),0),(AB179+AA181)/$C181*($D181+(AB178-$C180-1)*12+$E181),IF(AB178&gt;ROUNDDOWN(($C180+($D180+$C181)/12),0),0,0)))))))</f>
        <v/>
      </c>
      <c r="AC180" s="114" t="str">
        <f t="shared" ref="AC180" ca="1" si="379">IF(AC178="","",IF(AC178&lt;$C180,0,IF(AC178=$C180,AC179/$C181*$E181+AB181/$C181*$E181,IF(AND(AC178&gt;$C180,AC178&lt;ROUNDDOWN(($C180+($D180+$C181-1)/12),0)),(AC179/2+AB181)/($C181-$E181-12*(AC178-$C180-1))*12,IF(AND($D181&lt;0,AC178=ROUNDDOWN(($C180+($D180+$C181-1)/12),0)),AB181+AC179,IF(AC178=ROUNDDOWN(($C180+($D180+$C181-1)/12),0),(AC179+AB181)/$C181*($D181+(AC178-$C180-1)*12+$E181),IF(AC178&gt;ROUNDDOWN(($C180+($D180+$C181)/12),0),0,0)))))))</f>
        <v/>
      </c>
      <c r="AD180" s="114" t="str">
        <f t="shared" ref="AD180" ca="1" si="380">IF(AD178="","",IF(AD178&lt;$C180,0,IF(AD178=$C180,AD179/$C181*$E181+AC181/$C181*$E181,IF(AND(AD178&gt;$C180,AD178&lt;ROUNDDOWN(($C180+($D180+$C181-1)/12),0)),(AD179/2+AC181)/($C181-$E181-12*(AD178-$C180-1))*12,IF(AND($D181&lt;0,AD178=ROUNDDOWN(($C180+($D180+$C181-1)/12),0)),AC181+AD179,IF(AD178=ROUNDDOWN(($C180+($D180+$C181-1)/12),0),(AD179+AC181)/$C181*($D181+(AD178-$C180-1)*12+$E181),IF(AD178&gt;ROUNDDOWN(($C180+($D180+$C181)/12),0),0,0)))))))</f>
        <v/>
      </c>
      <c r="AE180" s="114" t="str">
        <f t="shared" ref="AE180" ca="1" si="381">IF(AE178="","",IF(AE178&lt;$C180,0,IF(AE178=$C180,AE179/$C181*$E181+AD181/$C181*$E181,IF(AND(AE178&gt;$C180,AE178&lt;ROUNDDOWN(($C180+($D180+$C181-1)/12),0)),(AE179/2+AD181)/($C181-$E181-12*(AE178-$C180-1))*12,IF(AND($D181&lt;0,AE178=ROUNDDOWN(($C180+($D180+$C181-1)/12),0)),AD181+AE179,IF(AE178=ROUNDDOWN(($C180+($D180+$C181-1)/12),0),(AE179+AD181)/$C181*($D181+(AE178-$C180-1)*12+$E181),IF(AE178&gt;ROUNDDOWN(($C180+($D180+$C181)/12),0),0,0)))))))</f>
        <v/>
      </c>
      <c r="AF180" s="114" t="str">
        <f t="shared" ref="AF180" ca="1" si="382">IF(AF178="","",IF(AF178&lt;$C180,0,IF(AF178=$C180,AF179/$C181*$E181+AE181/$C181*$E181,IF(AND(AF178&gt;$C180,AF178&lt;ROUNDDOWN(($C180+($D180+$C181-1)/12),0)),(AF179/2+AE181)/($C181-$E181-12*(AF178-$C180-1))*12,IF(AND($D181&lt;0,AF178=ROUNDDOWN(($C180+($D180+$C181-1)/12),0)),AE181+AF179,IF(AF178=ROUNDDOWN(($C180+($D180+$C181-1)/12),0),(AF179+AE181)/$C181*($D181+(AF178-$C180-1)*12+$E181),IF(AF178&gt;ROUNDDOWN(($C180+($D180+$C181)/12),0),0,0)))))))</f>
        <v/>
      </c>
      <c r="AG180" s="114" t="str">
        <f t="shared" ref="AG180" ca="1" si="383">IF(AG178="","",IF(AG178&lt;$C180,0,IF(AG178=$C180,AG179/$C181*$E181+AF181/$C181*$E181,IF(AND(AG178&gt;$C180,AG178&lt;ROUNDDOWN(($C180+($D180+$C181-1)/12),0)),(AG179/2+AF181)/($C181-$E181-12*(AG178-$C180-1))*12,IF(AND($D181&lt;0,AG178=ROUNDDOWN(($C180+($D180+$C181-1)/12),0)),AF181+AG179,IF(AG178=ROUNDDOWN(($C180+($D180+$C181-1)/12),0),(AG179+AF181)/$C181*($D181+(AG178-$C180-1)*12+$E181),IF(AG178&gt;ROUNDDOWN(($C180+($D180+$C181)/12),0),0,0)))))))</f>
        <v/>
      </c>
      <c r="AH180" s="114" t="str">
        <f t="shared" ref="AH180" ca="1" si="384">IF(AH178="","",IF(AH178&lt;$C180,0,IF(AH178=$C180,AH179/$C181*$E181+AG181/$C181*$E181,IF(AND(AH178&gt;$C180,AH178&lt;ROUNDDOWN(($C180+($D180+$C181-1)/12),0)),(AH179/2+AG181)/($C181-$E181-12*(AH178-$C180-1))*12,IF(AND($D181&lt;0,AH178=ROUNDDOWN(($C180+($D180+$C181-1)/12),0)),AG181+AH179,IF(AH178=ROUNDDOWN(($C180+($D180+$C181-1)/12),0),(AH179+AG181)/$C181*($D181+(AH178-$C180-1)*12+$E181),IF(AH178&gt;ROUNDDOWN(($C180+($D180+$C181)/12),0),0,0)))))))</f>
        <v/>
      </c>
      <c r="AI180" s="114" t="str">
        <f t="shared" ref="AI180" ca="1" si="385">IF(AI178="","",IF(AI178&lt;$C180,0,IF(AI178=$C180,AI179/$C181*$E181+AH181/$C181*$E181,IF(AND(AI178&gt;$C180,AI178&lt;ROUNDDOWN(($C180+($D180+$C181-1)/12),0)),(AI179/2+AH181)/($C181-$E181-12*(AI178-$C180-1))*12,IF(AND($D181&lt;0,AI178=ROUNDDOWN(($C180+($D180+$C181-1)/12),0)),AH181+AI179,IF(AI178=ROUNDDOWN(($C180+($D180+$C181-1)/12),0),(AI179+AH181)/$C181*($D181+(AI178-$C180-1)*12+$E181),IF(AI178&gt;ROUNDDOWN(($C180+($D180+$C181)/12),0),0,0)))))))</f>
        <v/>
      </c>
      <c r="AJ180" s="114" t="str">
        <f t="shared" ref="AJ180" ca="1" si="386">IF(AJ178="","",IF(AJ178&lt;$C180,0,IF(AJ178=$C180,AJ179/$C181*$E181+AI181/$C181*$E181,IF(AND(AJ178&gt;$C180,AJ178&lt;ROUNDDOWN(($C180+($D180+$C181-1)/12),0)),(AJ179/2+AI181)/($C181-$E181-12*(AJ178-$C180-1))*12,IF(AND($D181&lt;0,AJ178=ROUNDDOWN(($C180+($D180+$C181-1)/12),0)),AI181+AJ179,IF(AJ178=ROUNDDOWN(($C180+($D180+$C181-1)/12),0),(AJ179+AI181)/$C181*($D181+(AJ178-$C180-1)*12+$E181),IF(AJ178&gt;ROUNDDOWN(($C180+($D180+$C181)/12),0),0,0)))))))</f>
        <v/>
      </c>
      <c r="AK180" s="114" t="str">
        <f t="shared" ref="AK180" ca="1" si="387">IF(AK178="","",IF(AK178&lt;$C180,0,IF(AK178=$C180,AK179/$C181*$E181+AJ181/$C181*$E181,IF(AND(AK178&gt;$C180,AK178&lt;ROUNDDOWN(($C180+($D180+$C181-1)/12),0)),(AK179/2+AJ181)/($C181-$E181-12*(AK178-$C180-1))*12,IF(AND($D181&lt;0,AK178=ROUNDDOWN(($C180+($D180+$C181-1)/12),0)),AJ181+AK179,IF(AK178=ROUNDDOWN(($C180+($D180+$C181-1)/12),0),(AK179+AJ181)/$C181*($D181+(AK178-$C180-1)*12+$E181),IF(AK178&gt;ROUNDDOWN(($C180+($D180+$C181)/12),0),0,0)))))))</f>
        <v/>
      </c>
      <c r="AL180" s="114" t="str">
        <f t="shared" ref="AL180" ca="1" si="388">IF(AL178="","",IF(AL178&lt;$C180,0,IF(AL178=$C180,AL179/$C181*$E181+AK181/$C181*$E181,IF(AND(AL178&gt;$C180,AL178&lt;ROUNDDOWN(($C180+($D180+$C181-1)/12),0)),(AL179/2+AK181)/($C181-$E181-12*(AL178-$C180-1))*12,IF(AND($D181&lt;0,AL178=ROUNDDOWN(($C180+($D180+$C181-1)/12),0)),AK181+AL179,IF(AL178=ROUNDDOWN(($C180+($D180+$C181-1)/12),0),(AL179+AK181)/$C181*($D181+(AL178-$C180-1)*12+$E181),IF(AL178&gt;ROUNDDOWN(($C180+($D180+$C181)/12),0),0,0)))))))</f>
        <v/>
      </c>
      <c r="AM180" s="114" t="str">
        <f t="shared" ref="AM180" ca="1" si="389">IF(AM178="","",IF(AM178&lt;$C180,0,IF(AM178=$C180,AM179/$C181*$E181+AL181/$C181*$E181,IF(AND(AM178&gt;$C180,AM178&lt;ROUNDDOWN(($C180+($D180+$C181-1)/12),0)),(AM179/2+AL181)/($C181-$E181-12*(AM178-$C180-1))*12,IF(AND($D181&lt;0,AM178=ROUNDDOWN(($C180+($D180+$C181-1)/12),0)),AL181+AM179,IF(AM178=ROUNDDOWN(($C180+($D180+$C181-1)/12),0),(AM179+AL181)/$C181*($D181+(AM178-$C180-1)*12+$E181),IF(AM178&gt;ROUNDDOWN(($C180+($D180+$C181)/12),0),0,0)))))))</f>
        <v/>
      </c>
      <c r="AN180" s="114" t="str">
        <f t="shared" ref="AN180" ca="1" si="390">IF(AN178="","",IF(AN178&lt;$C180,0,IF(AN178=$C180,AN179/$C181*$E181+AM181/$C181*$E181,IF(AND(AN178&gt;$C180,AN178&lt;ROUNDDOWN(($C180+($D180+$C181-1)/12),0)),(AN179/2+AM181)/($C181-$E181-12*(AN178-$C180-1))*12,IF(AND($D181&lt;0,AN178=ROUNDDOWN(($C180+($D180+$C181-1)/12),0)),AM181+AN179,IF(AN178=ROUNDDOWN(($C180+($D180+$C181-1)/12),0),(AN179+AM181)/$C181*($D181+(AN178-$C180-1)*12+$E181),IF(AN178&gt;ROUNDDOWN(($C180+($D180+$C181)/12),0),0,0)))))))</f>
        <v/>
      </c>
      <c r="AO180" s="114" t="str">
        <f t="shared" ref="AO180" ca="1" si="391">IF(AO178="","",IF(AO178&lt;$C180,0,IF(AO178=$C180,AO179/$C181*$E181+AN181/$C181*$E181,IF(AND(AO178&gt;$C180,AO178&lt;ROUNDDOWN(($C180+($D180+$C181-1)/12),0)),(AO179/2+AN181)/($C181-$E181-12*(AO178-$C180-1))*12,IF(AND($D181&lt;0,AO178=ROUNDDOWN(($C180+($D180+$C181-1)/12),0)),AN181+AO179,IF(AO178=ROUNDDOWN(($C180+($D180+$C181-1)/12),0),(AO179+AN181)/$C181*($D181+(AO178-$C180-1)*12+$E181),IF(AO178&gt;ROUNDDOWN(($C180+($D180+$C181)/12),0),0,0)))))))</f>
        <v/>
      </c>
      <c r="AP180" s="114" t="str">
        <f t="shared" ref="AP180" ca="1" si="392">IF(AP178="","",IF(AP178&lt;$C180,0,IF(AP178=$C180,AP179/$C181*$E181+AO181/$C181*$E181,IF(AND(AP178&gt;$C180,AP178&lt;ROUNDDOWN(($C180+($D180+$C181-1)/12),0)),(AP179/2+AO181)/($C181-$E181-12*(AP178-$C180-1))*12,IF(AND($D181&lt;0,AP178=ROUNDDOWN(($C180+($D180+$C181-1)/12),0)),AO181+AP179,IF(AP178=ROUNDDOWN(($C180+($D180+$C181-1)/12),0),(AP179+AO181)/$C181*($D181+(AP178-$C180-1)*12+$E181),IF(AP178&gt;ROUNDDOWN(($C180+($D180+$C181)/12),0),0,0)))))))</f>
        <v/>
      </c>
      <c r="AQ180" s="114" t="str">
        <f t="shared" ref="AQ180" ca="1" si="393">IF(AQ178="","",IF(AQ178&lt;$C180,0,IF(AQ178=$C180,AQ179/$C181*$E181+AP181/$C181*$E181,IF(AND(AQ178&gt;$C180,AQ178&lt;ROUNDDOWN(($C180+($D180+$C181-1)/12),0)),(AQ179/2+AP181)/($C181-$E181-12*(AQ178-$C180-1))*12,IF(AND($D181&lt;0,AQ178=ROUNDDOWN(($C180+($D180+$C181-1)/12),0)),AP181+AQ179,IF(AQ178=ROUNDDOWN(($C180+($D180+$C181-1)/12),0),(AQ179+AP181)/$C181*($D181+(AQ178-$C180-1)*12+$E181),IF(AQ178&gt;ROUNDDOWN(($C180+($D180+$C181)/12),0),0,0)))))))</f>
        <v/>
      </c>
      <c r="AR180" s="114" t="str">
        <f t="shared" ref="AR180" ca="1" si="394">IF(AR178="","",IF(AR178&lt;$C180,0,IF(AR178=$C180,AR179/$C181*$E181+AQ181/$C181*$E181,IF(AND(AR178&gt;$C180,AR178&lt;ROUNDDOWN(($C180+($D180+$C181-1)/12),0)),(AR179/2+AQ181)/($C181-$E181-12*(AR178-$C180-1))*12,IF(AND($D181&lt;0,AR178=ROUNDDOWN(($C180+($D180+$C181-1)/12),0)),AQ181+AR179,IF(AR178=ROUNDDOWN(($C180+($D180+$C181-1)/12),0),(AR179+AQ181)/$C181*($D181+(AR178-$C180-1)*12+$E181),IF(AR178&gt;ROUNDDOWN(($C180+($D180+$C181)/12),0),0,0)))))))</f>
        <v/>
      </c>
      <c r="AS180" s="114" t="str">
        <f t="shared" ref="AS180" ca="1" si="395">IF(AS178="","",IF(AS178&lt;$C180,0,IF(AS178=$C180,AS179/$C181*$E181+AR181/$C181*$E181,IF(AND(AS178&gt;$C180,AS178&lt;ROUNDDOWN(($C180+($D180+$C181-1)/12),0)),(AS179/2+AR181)/($C181-$E181-12*(AS178-$C180-1))*12,IF(AND($D181&lt;0,AS178=ROUNDDOWN(($C180+($D180+$C181-1)/12),0)),AR181+AS179,IF(AS178=ROUNDDOWN(($C180+($D180+$C181-1)/12),0),(AS179+AR181)/$C181*($D181+(AS178-$C180-1)*12+$E181),IF(AS178&gt;ROUNDDOWN(($C180+($D180+$C181)/12),0),0,0)))))))</f>
        <v/>
      </c>
      <c r="AT180" s="114" t="str">
        <f t="shared" ref="AT180" ca="1" si="396">IF(AT178="","",IF(AT178&lt;$C180,0,IF(AT178=$C180,AT179/$C181*$E181+AS181/$C181*$E181,IF(AND(AT178&gt;$C180,AT178&lt;ROUNDDOWN(($C180+($D180+$C181-1)/12),0)),(AT179/2+AS181)/($C181-$E181-12*(AT178-$C180-1))*12,IF(AND($D181&lt;0,AT178=ROUNDDOWN(($C180+($D180+$C181-1)/12),0)),AS181+AT179,IF(AT178=ROUNDDOWN(($C180+($D180+$C181-1)/12),0),(AT179+AS181)/$C181*($D181+(AT178-$C180-1)*12+$E181),IF(AT178&gt;ROUNDDOWN(($C180+($D180+$C181)/12),0),0,0)))))))</f>
        <v/>
      </c>
      <c r="AU180" s="114" t="str">
        <f t="shared" ref="AU180" ca="1" si="397">IF(AU178="","",IF(AU178&lt;$C180,0,IF(AU178=$C180,AU179/$C181*$E181+AT181/$C181*$E181,IF(AND(AU178&gt;$C180,AU178&lt;ROUNDDOWN(($C180+($D180+$C181-1)/12),0)),(AU179/2+AT181)/($C181-$E181-12*(AU178-$C180-1))*12,IF(AND($D181&lt;0,AU178=ROUNDDOWN(($C180+($D180+$C181-1)/12),0)),AT181+AU179,IF(AU178=ROUNDDOWN(($C180+($D180+$C181-1)/12),0),(AU179+AT181)/$C181*($D181+(AU178-$C180-1)*12+$E181),IF(AU178&gt;ROUNDDOWN(($C180+($D180+$C181)/12),0),0,0)))))))</f>
        <v/>
      </c>
      <c r="AV180" s="114" t="str">
        <f t="shared" ref="AV180" ca="1" si="398">IF(AV178="","",IF(AV178&lt;$C180,0,IF(AV178=$C180,AV179/$C181*$E181+AU181/$C181*$E181,IF(AND(AV178&gt;$C180,AV178&lt;ROUNDDOWN(($C180+($D180+$C181-1)/12),0)),(AV179/2+AU181)/($C181-$E181-12*(AV178-$C180-1))*12,IF(AND($D181&lt;0,AV178=ROUNDDOWN(($C180+($D180+$C181-1)/12),0)),AU181+AV179,IF(AV178=ROUNDDOWN(($C180+($D180+$C181-1)/12),0),(AV179+AU181)/$C181*($D181+(AV178-$C180-1)*12+$E181),IF(AV178&gt;ROUNDDOWN(($C180+($D180+$C181)/12),0),0,0)))))))</f>
        <v/>
      </c>
      <c r="AW180" s="114" t="str">
        <f t="shared" ref="AW180" ca="1" si="399">IF(AW178="","",IF(AW178&lt;$C180,0,IF(AW178=$C180,AW179/$C181*$E181+AV181/$C181*$E181,IF(AND(AW178&gt;$C180,AW178&lt;ROUNDDOWN(($C180+($D180+$C181-1)/12),0)),(AW179/2+AV181)/($C181-$E181-12*(AW178-$C180-1))*12,IF(AND($D181&lt;0,AW178=ROUNDDOWN(($C180+($D180+$C181-1)/12),0)),AV181+AW179,IF(AW178=ROUNDDOWN(($C180+($D180+$C181-1)/12),0),(AW179+AV181)/$C181*($D181+(AW178-$C180-1)*12+$E181),IF(AW178&gt;ROUNDDOWN(($C180+($D180+$C181)/12),0),0,0)))))))</f>
        <v/>
      </c>
      <c r="AX180" s="90"/>
      <c r="AY180" s="90"/>
      <c r="AZ180" s="87"/>
    </row>
    <row r="181" spans="3:52" ht="12.75" customHeight="1" x14ac:dyDescent="0.2">
      <c r="C181" s="128">
        <f>ROUNDUP((E180-ROUNDDOWN(E180,0))*12,0)+ROUNDDOWN(E180,0)*12</f>
        <v>0</v>
      </c>
      <c r="D181" s="128">
        <f>C181-E181-ROUNDDOWN(E180,0)*12</f>
        <v>-12</v>
      </c>
      <c r="E181" s="128">
        <f>13-MONTH(C179)</f>
        <v>12</v>
      </c>
      <c r="N181" s="85"/>
      <c r="O181" s="90"/>
      <c r="P181" s="90"/>
      <c r="Q181" s="115" t="str">
        <f>INDEX(g_lang_val,MATCH("tb_2_4_3",g_lang_key,0))</f>
        <v>FF4-gæld, ultimo året</v>
      </c>
      <c r="R181" s="116"/>
      <c r="S181" s="119"/>
      <c r="T181" s="114">
        <f t="shared" ref="T181" ca="1" si="400">IF(T178="","",S181+T179-T180)</f>
        <v>0</v>
      </c>
      <c r="U181" s="114">
        <f t="shared" ref="U181" ca="1" si="401">IF(U178="","",T181+U179-U180)</f>
        <v>0</v>
      </c>
      <c r="V181" s="114">
        <f t="shared" ref="V181" ca="1" si="402">IF(V178="","",U181+V179-V180)</f>
        <v>0</v>
      </c>
      <c r="W181" s="114">
        <f t="shared" ref="W181" ca="1" si="403">IF(W178="","",V181+W179-W180)</f>
        <v>0</v>
      </c>
      <c r="X181" s="114" t="str">
        <f t="shared" ref="X181" ca="1" si="404">IF(X178="","",W181+X179-X180)</f>
        <v/>
      </c>
      <c r="Y181" s="114" t="str">
        <f t="shared" ref="Y181" ca="1" si="405">IF(Y178="","",X181+Y179-Y180)</f>
        <v/>
      </c>
      <c r="Z181" s="114" t="str">
        <f t="shared" ref="Z181" ca="1" si="406">IF(Z178="","",Y181+Z179-Z180)</f>
        <v/>
      </c>
      <c r="AA181" s="114" t="str">
        <f t="shared" ref="AA181" ca="1" si="407">IF(AA178="","",Z181+AA179-AA180)</f>
        <v/>
      </c>
      <c r="AB181" s="114" t="str">
        <f t="shared" ref="AB181" ca="1" si="408">IF(AB178="","",AA181+AB179-AB180)</f>
        <v/>
      </c>
      <c r="AC181" s="114" t="str">
        <f t="shared" ref="AC181" ca="1" si="409">IF(AC178="","",AB181+AC179-AC180)</f>
        <v/>
      </c>
      <c r="AD181" s="114" t="str">
        <f t="shared" ref="AD181" ca="1" si="410">IF(AD178="","",AC181+AD179-AD180)</f>
        <v/>
      </c>
      <c r="AE181" s="114" t="str">
        <f t="shared" ref="AE181" ca="1" si="411">IF(AE178="","",AD181+AE179-AE180)</f>
        <v/>
      </c>
      <c r="AF181" s="114" t="str">
        <f t="shared" ref="AF181" ca="1" si="412">IF(AF178="","",AE181+AF179-AF180)</f>
        <v/>
      </c>
      <c r="AG181" s="114" t="str">
        <f t="shared" ref="AG181" ca="1" si="413">IF(AG178="","",AF181+AG179-AG180)</f>
        <v/>
      </c>
      <c r="AH181" s="114" t="str">
        <f t="shared" ref="AH181" ca="1" si="414">IF(AH178="","",AG181+AH179-AH180)</f>
        <v/>
      </c>
      <c r="AI181" s="114" t="str">
        <f t="shared" ref="AI181" ca="1" si="415">IF(AI178="","",AH181+AI179-AI180)</f>
        <v/>
      </c>
      <c r="AJ181" s="114" t="str">
        <f t="shared" ref="AJ181" ca="1" si="416">IF(AJ178="","",AI181+AJ179-AJ180)</f>
        <v/>
      </c>
      <c r="AK181" s="114" t="str">
        <f t="shared" ref="AK181" ca="1" si="417">IF(AK178="","",AJ181+AK179-AK180)</f>
        <v/>
      </c>
      <c r="AL181" s="114" t="str">
        <f t="shared" ref="AL181" ca="1" si="418">IF(AL178="","",AK181+AL179-AL180)</f>
        <v/>
      </c>
      <c r="AM181" s="114" t="str">
        <f t="shared" ref="AM181" ca="1" si="419">IF(AM178="","",AL181+AM179-AM180)</f>
        <v/>
      </c>
      <c r="AN181" s="114" t="str">
        <f t="shared" ref="AN181" ca="1" si="420">IF(AN178="","",AM181+AN179-AN180)</f>
        <v/>
      </c>
      <c r="AO181" s="114" t="str">
        <f t="shared" ref="AO181" ca="1" si="421">IF(AO178="","",AN181+AO179-AO180)</f>
        <v/>
      </c>
      <c r="AP181" s="114" t="str">
        <f t="shared" ref="AP181" ca="1" si="422">IF(AP178="","",AO181+AP179-AP180)</f>
        <v/>
      </c>
      <c r="AQ181" s="114" t="str">
        <f t="shared" ref="AQ181" ca="1" si="423">IF(AQ178="","",AP181+AQ179-AQ180)</f>
        <v/>
      </c>
      <c r="AR181" s="114" t="str">
        <f t="shared" ref="AR181" ca="1" si="424">IF(AR178="","",AQ181+AR179-AR180)</f>
        <v/>
      </c>
      <c r="AS181" s="114" t="str">
        <f t="shared" ref="AS181" ca="1" si="425">IF(AS178="","",AR181+AS179-AS180)</f>
        <v/>
      </c>
      <c r="AT181" s="114" t="str">
        <f t="shared" ref="AT181" ca="1" si="426">IF(AT178="","",AS181+AT179-AT180)</f>
        <v/>
      </c>
      <c r="AU181" s="114" t="str">
        <f t="shared" ref="AU181" ca="1" si="427">IF(AU178="","",AT181+AU179-AU180)</f>
        <v/>
      </c>
      <c r="AV181" s="114" t="str">
        <f t="shared" ref="AV181" ca="1" si="428">IF(AV178="","",AU181+AV179-AV180)</f>
        <v/>
      </c>
      <c r="AW181" s="114" t="str">
        <f t="shared" ref="AW181" ca="1" si="429">IF(AW178="","",AV181+AW179-AW180)</f>
        <v/>
      </c>
      <c r="AX181" s="90"/>
      <c r="AY181" s="90"/>
      <c r="AZ181" s="87"/>
    </row>
    <row r="182" spans="3:52" ht="12.75" customHeight="1" x14ac:dyDescent="0.2">
      <c r="N182" s="85"/>
      <c r="O182" s="90"/>
      <c r="P182" s="90"/>
      <c r="Q182" s="115" t="str">
        <f>INDEX(g_lang_val,MATCH("tb_2_4_4",g_lang_key,0))</f>
        <v>Renter (FF4)</v>
      </c>
      <c r="R182" s="116"/>
      <c r="S182" s="119">
        <f ca="1">SUM(T182:BG182)</f>
        <v>0</v>
      </c>
      <c r="T182" s="114">
        <f ca="1">IF(T178="","",g_interest_FF4*(S181+(T179/2)-(T180/2)))</f>
        <v>0</v>
      </c>
      <c r="U182" s="114">
        <f t="shared" ref="U182" ca="1" si="430">IF(U178="","",g_interest_FF4*(T181+(U179/2)-(U180/2)))</f>
        <v>0</v>
      </c>
      <c r="V182" s="114">
        <f t="shared" ref="V182" ca="1" si="431">IF(V178="","",g_interest_FF4*(U181+(V179/2)-(V180/2)))</f>
        <v>0</v>
      </c>
      <c r="W182" s="114">
        <f t="shared" ref="W182" ca="1" si="432">IF(W178="","",g_interest_FF4*(V181+(W179/2)-(W180/2)))</f>
        <v>0</v>
      </c>
      <c r="X182" s="114" t="str">
        <f t="shared" ref="X182" ca="1" si="433">IF(X178="","",g_interest_FF4*(W181+(X179/2)-(X180/2)))</f>
        <v/>
      </c>
      <c r="Y182" s="114" t="str">
        <f t="shared" ref="Y182" ca="1" si="434">IF(Y178="","",g_interest_FF4*(X181+(Y179/2)-(Y180/2)))</f>
        <v/>
      </c>
      <c r="Z182" s="114" t="str">
        <f t="shared" ref="Z182" ca="1" si="435">IF(Z178="","",g_interest_FF4*(Y181+(Z179/2)-(Z180/2)))</f>
        <v/>
      </c>
      <c r="AA182" s="114" t="str">
        <f t="shared" ref="AA182" ca="1" si="436">IF(AA178="","",g_interest_FF4*(Z181+(AA179/2)-(AA180/2)))</f>
        <v/>
      </c>
      <c r="AB182" s="114" t="str">
        <f t="shared" ref="AB182" ca="1" si="437">IF(AB178="","",g_interest_FF4*(AA181+(AB179/2)-(AB180/2)))</f>
        <v/>
      </c>
      <c r="AC182" s="114" t="str">
        <f t="shared" ref="AC182" ca="1" si="438">IF(AC178="","",g_interest_FF4*(AB181+(AC179/2)-(AC180/2)))</f>
        <v/>
      </c>
      <c r="AD182" s="114" t="str">
        <f t="shared" ref="AD182" ca="1" si="439">IF(AD178="","",g_interest_FF4*(AC181+(AD179/2)-(AD180/2)))</f>
        <v/>
      </c>
      <c r="AE182" s="114" t="str">
        <f t="shared" ref="AE182" ca="1" si="440">IF(AE178="","",g_interest_FF4*(AD181+(AE179/2)-(AE180/2)))</f>
        <v/>
      </c>
      <c r="AF182" s="114" t="str">
        <f t="shared" ref="AF182" ca="1" si="441">IF(AF178="","",g_interest_FF4*(AE181+(AF179/2)-(AF180/2)))</f>
        <v/>
      </c>
      <c r="AG182" s="114" t="str">
        <f t="shared" ref="AG182" ca="1" si="442">IF(AG178="","",g_interest_FF4*(AF181+(AG179/2)-(AG180/2)))</f>
        <v/>
      </c>
      <c r="AH182" s="114" t="str">
        <f t="shared" ref="AH182" ca="1" si="443">IF(AH178="","",g_interest_FF4*(AG181+(AH179/2)-(AH180/2)))</f>
        <v/>
      </c>
      <c r="AI182" s="114" t="str">
        <f t="shared" ref="AI182" ca="1" si="444">IF(AI178="","",g_interest_FF4*(AH181+(AI179/2)-(AI180/2)))</f>
        <v/>
      </c>
      <c r="AJ182" s="114" t="str">
        <f t="shared" ref="AJ182" ca="1" si="445">IF(AJ178="","",g_interest_FF4*(AI181+(AJ179/2)-(AJ180/2)))</f>
        <v/>
      </c>
      <c r="AK182" s="114" t="str">
        <f t="shared" ref="AK182" ca="1" si="446">IF(AK178="","",g_interest_FF4*(AJ181+(AK179/2)-(AK180/2)))</f>
        <v/>
      </c>
      <c r="AL182" s="114" t="str">
        <f t="shared" ref="AL182" ca="1" si="447">IF(AL178="","",g_interest_FF4*(AK181+(AL179/2)-(AL180/2)))</f>
        <v/>
      </c>
      <c r="AM182" s="114" t="str">
        <f t="shared" ref="AM182" ca="1" si="448">IF(AM178="","",g_interest_FF4*(AL181+(AM179/2)-(AM180/2)))</f>
        <v/>
      </c>
      <c r="AN182" s="114" t="str">
        <f t="shared" ref="AN182" ca="1" si="449">IF(AN178="","",g_interest_FF4*(AM181+(AN179/2)-(AN180/2)))</f>
        <v/>
      </c>
      <c r="AO182" s="114" t="str">
        <f t="shared" ref="AO182" ca="1" si="450">IF(AO178="","",g_interest_FF4*(AN181+(AO179/2)-(AO180/2)))</f>
        <v/>
      </c>
      <c r="AP182" s="114" t="str">
        <f t="shared" ref="AP182" ca="1" si="451">IF(AP178="","",g_interest_FF4*(AO181+(AP179/2)-(AP180/2)))</f>
        <v/>
      </c>
      <c r="AQ182" s="114" t="str">
        <f t="shared" ref="AQ182" ca="1" si="452">IF(AQ178="","",g_interest_FF4*(AP181+(AQ179/2)-(AQ180/2)))</f>
        <v/>
      </c>
      <c r="AR182" s="114" t="str">
        <f t="shared" ref="AR182" ca="1" si="453">IF(AR178="","",g_interest_FF4*(AQ181+(AR179/2)-(AR180/2)))</f>
        <v/>
      </c>
      <c r="AS182" s="114" t="str">
        <f t="shared" ref="AS182" ca="1" si="454">IF(AS178="","",g_interest_FF4*(AR181+(AS179/2)-(AS180/2)))</f>
        <v/>
      </c>
      <c r="AT182" s="114" t="str">
        <f t="shared" ref="AT182" ca="1" si="455">IF(AT178="","",g_interest_FF4*(AS181+(AT179/2)-(AT180/2)))</f>
        <v/>
      </c>
      <c r="AU182" s="114" t="str">
        <f t="shared" ref="AU182" ca="1" si="456">IF(AU178="","",g_interest_FF4*(AT181+(AU179/2)-(AU180/2)))</f>
        <v/>
      </c>
      <c r="AV182" s="114" t="str">
        <f t="shared" ref="AV182" ca="1" si="457">IF(AV178="","",g_interest_FF4*(AU181+(AV179/2)-(AV180/2)))</f>
        <v/>
      </c>
      <c r="AW182" s="114" t="str">
        <f t="shared" ref="AW182" ca="1" si="458">IF(AW178="","",g_interest_FF4*(AV181+(AW179/2)-(AW180/2)))</f>
        <v/>
      </c>
      <c r="AX182" s="90"/>
      <c r="AY182" s="90"/>
      <c r="AZ182" s="87"/>
    </row>
    <row r="183" spans="3:52" ht="12.75" hidden="1" customHeight="1" outlineLevel="1" x14ac:dyDescent="0.2">
      <c r="N183" s="85"/>
      <c r="O183" s="102"/>
      <c r="P183" s="102"/>
      <c r="Q183" s="192" t="str">
        <f>INDEX(g_assets_sc_1,8)</f>
        <v/>
      </c>
      <c r="R183" s="186"/>
      <c r="S183" s="187"/>
      <c r="T183" s="191">
        <f ca="1">T$157</f>
        <v>2026</v>
      </c>
      <c r="U183" s="191">
        <f t="shared" ref="U183:AW183" ca="1" si="459">U$157</f>
        <v>2027</v>
      </c>
      <c r="V183" s="191">
        <f t="shared" ca="1" si="459"/>
        <v>2028</v>
      </c>
      <c r="W183" s="191">
        <f t="shared" ca="1" si="459"/>
        <v>2029</v>
      </c>
      <c r="X183" s="191" t="str">
        <f t="shared" ca="1" si="459"/>
        <v/>
      </c>
      <c r="Y183" s="191" t="str">
        <f t="shared" ca="1" si="459"/>
        <v/>
      </c>
      <c r="Z183" s="191" t="str">
        <f t="shared" ca="1" si="459"/>
        <v/>
      </c>
      <c r="AA183" s="191" t="str">
        <f t="shared" ca="1" si="459"/>
        <v/>
      </c>
      <c r="AB183" s="191" t="str">
        <f t="shared" ca="1" si="459"/>
        <v/>
      </c>
      <c r="AC183" s="191" t="str">
        <f t="shared" ca="1" si="459"/>
        <v/>
      </c>
      <c r="AD183" s="191" t="str">
        <f t="shared" ca="1" si="459"/>
        <v/>
      </c>
      <c r="AE183" s="191" t="str">
        <f t="shared" ca="1" si="459"/>
        <v/>
      </c>
      <c r="AF183" s="191" t="str">
        <f t="shared" ca="1" si="459"/>
        <v/>
      </c>
      <c r="AG183" s="191" t="str">
        <f t="shared" ca="1" si="459"/>
        <v/>
      </c>
      <c r="AH183" s="191" t="str">
        <f t="shared" ca="1" si="459"/>
        <v/>
      </c>
      <c r="AI183" s="191" t="str">
        <f t="shared" ca="1" si="459"/>
        <v/>
      </c>
      <c r="AJ183" s="191" t="str">
        <f t="shared" ca="1" si="459"/>
        <v/>
      </c>
      <c r="AK183" s="191" t="str">
        <f t="shared" ca="1" si="459"/>
        <v/>
      </c>
      <c r="AL183" s="191" t="str">
        <f t="shared" ca="1" si="459"/>
        <v/>
      </c>
      <c r="AM183" s="191" t="str">
        <f t="shared" ca="1" si="459"/>
        <v/>
      </c>
      <c r="AN183" s="191" t="str">
        <f t="shared" ca="1" si="459"/>
        <v/>
      </c>
      <c r="AO183" s="191" t="str">
        <f t="shared" ca="1" si="459"/>
        <v/>
      </c>
      <c r="AP183" s="191" t="str">
        <f t="shared" ca="1" si="459"/>
        <v/>
      </c>
      <c r="AQ183" s="191" t="str">
        <f t="shared" ca="1" si="459"/>
        <v/>
      </c>
      <c r="AR183" s="191" t="str">
        <f t="shared" ca="1" si="459"/>
        <v/>
      </c>
      <c r="AS183" s="191" t="str">
        <f t="shared" ca="1" si="459"/>
        <v/>
      </c>
      <c r="AT183" s="191" t="str">
        <f t="shared" ca="1" si="459"/>
        <v/>
      </c>
      <c r="AU183" s="191" t="str">
        <f t="shared" ca="1" si="459"/>
        <v/>
      </c>
      <c r="AV183" s="191" t="str">
        <f t="shared" ca="1" si="459"/>
        <v/>
      </c>
      <c r="AW183" s="191" t="str">
        <f t="shared" ca="1" si="459"/>
        <v/>
      </c>
      <c r="AX183" s="102"/>
      <c r="AY183" s="102"/>
      <c r="AZ183" s="87"/>
    </row>
    <row r="184" spans="3:52" ht="12.75" hidden="1" customHeight="1" outlineLevel="1" x14ac:dyDescent="0.2">
      <c r="C184" s="126">
        <f>INDEX(g_sc_1_assets_dates,G184)</f>
        <v>0</v>
      </c>
      <c r="G184" s="127">
        <v>6</v>
      </c>
      <c r="N184" s="85"/>
      <c r="O184" s="90"/>
      <c r="P184" s="90"/>
      <c r="Q184" s="115" t="str">
        <f>INDEX(g_lang_val,MATCH("tb_2_4_1",g_lang_key,0))</f>
        <v>Køb af anlægsaktiver</v>
      </c>
      <c r="R184" s="116"/>
      <c r="S184" s="119">
        <f ca="1">SUM(T184:BG184)</f>
        <v>0</v>
      </c>
      <c r="T184" s="114">
        <f ca="1">IF(T183="","",SUMPRODUCT(--(Leverancer!$C$28:$C$88=($G184+2)),Leverancer!D$28:D$88)/1000)</f>
        <v>0</v>
      </c>
      <c r="U184" s="114">
        <f ca="1">IF(U183="","",SUMPRODUCT(--(Leverancer!$C$28:$C$88=($G184+2)),Leverancer!E$28:E$88)/1000)</f>
        <v>0</v>
      </c>
      <c r="V184" s="114">
        <f ca="1">IF(V183="","",SUMPRODUCT(--(Leverancer!$C$28:$C$88=($G184+2)),Leverancer!F$28:F$88)/1000)</f>
        <v>0</v>
      </c>
      <c r="W184" s="114">
        <f ca="1">IF(W183="","",SUMPRODUCT(--(Leverancer!$C$28:$C$88=($G184+2)),Leverancer!G$28:G$88)/1000)</f>
        <v>0</v>
      </c>
      <c r="X184" s="114" t="str">
        <f ca="1">IF(X183="","",SUMPRODUCT(--(Leverancer!$C$28:$C$88=($G184+2)),Leverancer!H$28:H$88)/1000)</f>
        <v/>
      </c>
      <c r="Y184" s="114" t="str">
        <f ca="1">IF(Y183="","",SUMPRODUCT(--(Leverancer!$C$28:$C$88=($G184+2)),Leverancer!I$28:I$88)/1000)</f>
        <v/>
      </c>
      <c r="Z184" s="114" t="str">
        <f ca="1">IF(Z183="","",SUMPRODUCT(--(Leverancer!$C$28:$C$88=($G184+2)),Leverancer!J$28:J$88)/1000)</f>
        <v/>
      </c>
      <c r="AA184" s="114" t="str">
        <f ca="1">IF(AA183="","",SUMPRODUCT(--(Leverancer!$C$28:$C$88=($G184+2)),Leverancer!K$28:K$88)/1000)</f>
        <v/>
      </c>
      <c r="AB184" s="114" t="str">
        <f ca="1">IF(AB183="","",SUMPRODUCT(--(Leverancer!$C$28:$C$88=($G184+2)),Leverancer!L$28:L$88)/1000)</f>
        <v/>
      </c>
      <c r="AC184" s="114" t="str">
        <f ca="1">IF(AC183="","",SUMPRODUCT(--(Leverancer!$C$28:$C$88=($G184+2)),Leverancer!M$28:M$88)/1000)</f>
        <v/>
      </c>
      <c r="AD184" s="114" t="str">
        <f ca="1">IF(AD183="","",SUMPRODUCT(--(Leverancer!$C$28:$C$88=($G184+2)),Leverancer!N$28:N$88)/1000)</f>
        <v/>
      </c>
      <c r="AE184" s="114" t="str">
        <f ca="1">IF(AE183="","",SUMPRODUCT(--(Leverancer!$C$28:$C$88=($G184+2)),Leverancer!O$28:O$88)/1000)</f>
        <v/>
      </c>
      <c r="AF184" s="114" t="str">
        <f ca="1">IF(AF183="","",SUMPRODUCT(--(Leverancer!$C$28:$C$88=($G184+2)),Leverancer!P$28:P$88)/1000)</f>
        <v/>
      </c>
      <c r="AG184" s="114" t="str">
        <f ca="1">IF(AG183="","",SUMPRODUCT(--(Leverancer!$C$28:$C$88=($G184+2)),Leverancer!Q$28:Q$88)/1000)</f>
        <v/>
      </c>
      <c r="AH184" s="114" t="str">
        <f ca="1">IF(AH183="","",SUMPRODUCT(--(Leverancer!$C$28:$C$88=($G184+2)),Leverancer!R$28:R$88)/1000)</f>
        <v/>
      </c>
      <c r="AI184" s="114" t="str">
        <f ca="1">IF(AI183="","",SUMPRODUCT(--(Leverancer!$C$28:$C$88=($G184+2)),Leverancer!S$28:S$88)/1000)</f>
        <v/>
      </c>
      <c r="AJ184" s="114" t="str">
        <f ca="1">IF(AJ183="","",SUMPRODUCT(--(Leverancer!$C$28:$C$88=($G184+2)),Leverancer!T$28:T$88)/1000)</f>
        <v/>
      </c>
      <c r="AK184" s="114" t="str">
        <f ca="1">IF(AK183="","",SUMPRODUCT(--(Leverancer!$C$28:$C$88=($G184+2)),Leverancer!U$28:U$88)/1000)</f>
        <v/>
      </c>
      <c r="AL184" s="114" t="str">
        <f ca="1">IF(AL183="","",SUMPRODUCT(--(Leverancer!$C$28:$C$88=($G184+2)),Leverancer!V$28:V$88)/1000)</f>
        <v/>
      </c>
      <c r="AM184" s="114" t="str">
        <f ca="1">IF(AM183="","",SUMPRODUCT(--(Leverancer!$C$28:$C$88=($G184+2)),Leverancer!W$28:W$88)/1000)</f>
        <v/>
      </c>
      <c r="AN184" s="114" t="str">
        <f ca="1">IF(AN183="","",SUMPRODUCT(--(Leverancer!$C$28:$C$88=($G184+2)),Leverancer!X$28:X$88)/1000)</f>
        <v/>
      </c>
      <c r="AO184" s="114" t="str">
        <f ca="1">IF(AO183="","",SUMPRODUCT(--(Leverancer!$C$28:$C$88=($G184+2)),Leverancer!Y$28:Y$88)/1000)</f>
        <v/>
      </c>
      <c r="AP184" s="114" t="str">
        <f ca="1">IF(AP183="","",SUMPRODUCT(--(Leverancer!$C$28:$C$88=($G184+2)),Leverancer!Z$28:Z$88)/1000)</f>
        <v/>
      </c>
      <c r="AQ184" s="114" t="str">
        <f ca="1">IF(AQ183="","",SUMPRODUCT(--(Leverancer!$C$28:$C$88=($G184+2)),Leverancer!AA$28:AA$88)/1000)</f>
        <v/>
      </c>
      <c r="AR184" s="114" t="str">
        <f ca="1">IF(AR183="","",SUMPRODUCT(--(Leverancer!$C$28:$C$88=($G184+2)),Leverancer!AB$28:AB$88)/1000)</f>
        <v/>
      </c>
      <c r="AS184" s="114" t="str">
        <f ca="1">IF(AS183="","",SUMPRODUCT(--(Leverancer!$C$28:$C$88=($G184+2)),Leverancer!AC$28:AC$88)/1000)</f>
        <v/>
      </c>
      <c r="AT184" s="114" t="str">
        <f ca="1">IF(AT183="","",SUMPRODUCT(--(Leverancer!$C$28:$C$88=($G184+2)),Leverancer!AD$28:AD$88)/1000)</f>
        <v/>
      </c>
      <c r="AU184" s="114" t="str">
        <f ca="1">IF(AU183="","",SUMPRODUCT(--(Leverancer!$C$28:$C$88=($G184+2)),Leverancer!AE$28:AE$88)/1000)</f>
        <v/>
      </c>
      <c r="AV184" s="114" t="str">
        <f ca="1">IF(AV183="","",SUMPRODUCT(--(Leverancer!$C$28:$C$88=($G184+2)),Leverancer!AF$28:AF$88)/1000)</f>
        <v/>
      </c>
      <c r="AW184" s="114" t="str">
        <f ca="1">IF(AW183="","",SUMPRODUCT(--(Leverancer!$C$28:$C$88=($G184+2)),Leverancer!AG$28:AG$88)/1000)</f>
        <v/>
      </c>
      <c r="AX184" s="90"/>
      <c r="AY184" s="90"/>
      <c r="AZ184" s="87"/>
    </row>
    <row r="185" spans="3:52" ht="12.75" hidden="1" customHeight="1" outlineLevel="1" x14ac:dyDescent="0.2">
      <c r="C185" s="128">
        <f>IFERROR(YEAR(C184),"")</f>
        <v>1900</v>
      </c>
      <c r="D185" s="128">
        <f>IFERROR(MONTH(C184),"")</f>
        <v>1</v>
      </c>
      <c r="E185" s="128">
        <f>INDEX(g_sc_1_assets_years,G184)</f>
        <v>0</v>
      </c>
      <c r="N185" s="85"/>
      <c r="O185" s="90"/>
      <c r="P185" s="90"/>
      <c r="Q185" s="115" t="str">
        <f>INDEX(g_lang_val,MATCH("tb_2_4_2",g_lang_key,0))</f>
        <v>Afskrivninger</v>
      </c>
      <c r="R185" s="116"/>
      <c r="S185" s="119">
        <f ca="1">SUM(T185:BG185)</f>
        <v>0</v>
      </c>
      <c r="T185" s="114">
        <f t="shared" ref="T185" ca="1" si="460">IF(T183="","",IF(T183&lt;$C185,0,IF(T183=$C185,T184/$C186*$E186+S186/$C186*$E186,IF(AND(T183&gt;$C185,T183&lt;ROUNDDOWN(($C185+($D185+$C186-1)/12),0)),(T184/2+S186)/($C186-$E186-12*(T183-$C185-1))*12,IF(AND($D186&lt;0,T183=ROUNDDOWN(($C185+($D185+$C186-1)/12),0)),S186+T184,IF(T183=ROUNDDOWN(($C185+($D185+$C186-1)/12),0),(T184+S186)/$C186*($D186+(T183-$C185-1)*12+$E186),IF(T183&gt;ROUNDDOWN(($C185+($D185+$C186)/12),0),0,0)))))))</f>
        <v>0</v>
      </c>
      <c r="U185" s="114">
        <f t="shared" ref="U185" ca="1" si="461">IF(U183="","",IF(U183&lt;$C185,0,IF(U183=$C185,U184/$C186*$E186+T186/$C186*$E186,IF(AND(U183&gt;$C185,U183&lt;ROUNDDOWN(($C185+($D185+$C186-1)/12),0)),(U184/2+T186)/($C186-$E186-12*(U183-$C185-1))*12,IF(AND($D186&lt;0,U183=ROUNDDOWN(($C185+($D185+$C186-1)/12),0)),T186+U184,IF(U183=ROUNDDOWN(($C185+($D185+$C186-1)/12),0),(U184+T186)/$C186*($D186+(U183-$C185-1)*12+$E186),IF(U183&gt;ROUNDDOWN(($C185+($D185+$C186)/12),0),0,0)))))))</f>
        <v>0</v>
      </c>
      <c r="V185" s="114">
        <f t="shared" ref="V185" ca="1" si="462">IF(V183="","",IF(V183&lt;$C185,0,IF(V183=$C185,V184/$C186*$E186+U186/$C186*$E186,IF(AND(V183&gt;$C185,V183&lt;ROUNDDOWN(($C185+($D185+$C186-1)/12),0)),(V184/2+U186)/($C186-$E186-12*(V183-$C185-1))*12,IF(AND($D186&lt;0,V183=ROUNDDOWN(($C185+($D185+$C186-1)/12),0)),U186+V184,IF(V183=ROUNDDOWN(($C185+($D185+$C186-1)/12),0),(V184+U186)/$C186*($D186+(V183-$C185-1)*12+$E186),IF(V183&gt;ROUNDDOWN(($C185+($D185+$C186)/12),0),0,0)))))))</f>
        <v>0</v>
      </c>
      <c r="W185" s="114">
        <f t="shared" ref="W185" ca="1" si="463">IF(W183="","",IF(W183&lt;$C185,0,IF(W183=$C185,W184/$C186*$E186+V186/$C186*$E186,IF(AND(W183&gt;$C185,W183&lt;ROUNDDOWN(($C185+($D185+$C186-1)/12),0)),(W184/2+V186)/($C186-$E186-12*(W183-$C185-1))*12,IF(AND($D186&lt;0,W183=ROUNDDOWN(($C185+($D185+$C186-1)/12),0)),V186+W184,IF(W183=ROUNDDOWN(($C185+($D185+$C186-1)/12),0),(W184+V186)/$C186*($D186+(W183-$C185-1)*12+$E186),IF(W183&gt;ROUNDDOWN(($C185+($D185+$C186)/12),0),0,0)))))))</f>
        <v>0</v>
      </c>
      <c r="X185" s="114" t="str">
        <f t="shared" ref="X185" ca="1" si="464">IF(X183="","",IF(X183&lt;$C185,0,IF(X183=$C185,X184/$C186*$E186+W186/$C186*$E186,IF(AND(X183&gt;$C185,X183&lt;ROUNDDOWN(($C185+($D185+$C186-1)/12),0)),(X184/2+W186)/($C186-$E186-12*(X183-$C185-1))*12,IF(AND($D186&lt;0,X183=ROUNDDOWN(($C185+($D185+$C186-1)/12),0)),W186+X184,IF(X183=ROUNDDOWN(($C185+($D185+$C186-1)/12),0),(X184+W186)/$C186*($D186+(X183-$C185-1)*12+$E186),IF(X183&gt;ROUNDDOWN(($C185+($D185+$C186)/12),0),0,0)))))))</f>
        <v/>
      </c>
      <c r="Y185" s="114" t="str">
        <f t="shared" ref="Y185" ca="1" si="465">IF(Y183="","",IF(Y183&lt;$C185,0,IF(Y183=$C185,Y184/$C186*$E186+X186/$C186*$E186,IF(AND(Y183&gt;$C185,Y183&lt;ROUNDDOWN(($C185+($D185+$C186-1)/12),0)),(Y184/2+X186)/($C186-$E186-12*(Y183-$C185-1))*12,IF(AND($D186&lt;0,Y183=ROUNDDOWN(($C185+($D185+$C186-1)/12),0)),X186+Y184,IF(Y183=ROUNDDOWN(($C185+($D185+$C186-1)/12),0),(Y184+X186)/$C186*($D186+(Y183-$C185-1)*12+$E186),IF(Y183&gt;ROUNDDOWN(($C185+($D185+$C186)/12),0),0,0)))))))</f>
        <v/>
      </c>
      <c r="Z185" s="114" t="str">
        <f ca="1">IF(Z183="","",IF(Z183&lt;$C185,0,IF(Z183=$C185,Z184/$C186*$E186+Y186/$C186*$E186,IF(AND(Z183&gt;$C185,Z183&lt;ROUNDDOWN(($C185+($D185+$C186-1)/12),0)),(Z184/2+Y186)/($C186-$E186-12*(Z183-$C185-1))*12,IF(AND($D186&lt;0,Z183=ROUNDDOWN(($C185+($D185+$C186-1)/12),0)),Y186+Z184,IF(Z183=ROUNDDOWN(($C185+($D185+$C186-1)/12),0),(Z184+Y186)/$C186*($D186+(Z183-$C185-1)*12+$E186),IF(Z183&gt;ROUNDDOWN(($C185+($D185+$C186)/12),0),0,0)))))))</f>
        <v/>
      </c>
      <c r="AA185" s="114" t="str">
        <f t="shared" ref="AA185" ca="1" si="466">IF(AA183="","",IF(AA183&lt;$C185,0,IF(AA183=$C185,AA184/$C186*$E186+Z186/$C186*$E186,IF(AND(AA183&gt;$C185,AA183&lt;ROUNDDOWN(($C185+($D185+$C186-1)/12),0)),(AA184/2+Z186)/($C186-$E186-12*(AA183-$C185-1))*12,IF(AND($D186&lt;0,AA183=ROUNDDOWN(($C185+($D185+$C186-1)/12),0)),Z186+AA184,IF(AA183=ROUNDDOWN(($C185+($D185+$C186-1)/12),0),(AA184+Z186)/$C186*($D186+(AA183-$C185-1)*12+$E186),IF(AA183&gt;ROUNDDOWN(($C185+($D185+$C186)/12),0),0,0)))))))</f>
        <v/>
      </c>
      <c r="AB185" s="114" t="str">
        <f t="shared" ref="AB185" ca="1" si="467">IF(AB183="","",IF(AB183&lt;$C185,0,IF(AB183=$C185,AB184/$C186*$E186+AA186/$C186*$E186,IF(AND(AB183&gt;$C185,AB183&lt;ROUNDDOWN(($C185+($D185+$C186-1)/12),0)),(AB184/2+AA186)/($C186-$E186-12*(AB183-$C185-1))*12,IF(AND($D186&lt;0,AB183=ROUNDDOWN(($C185+($D185+$C186-1)/12),0)),AA186+AB184,IF(AB183=ROUNDDOWN(($C185+($D185+$C186-1)/12),0),(AB184+AA186)/$C186*($D186+(AB183-$C185-1)*12+$E186),IF(AB183&gt;ROUNDDOWN(($C185+($D185+$C186)/12),0),0,0)))))))</f>
        <v/>
      </c>
      <c r="AC185" s="114" t="str">
        <f t="shared" ref="AC185" ca="1" si="468">IF(AC183="","",IF(AC183&lt;$C185,0,IF(AC183=$C185,AC184/$C186*$E186+AB186/$C186*$E186,IF(AND(AC183&gt;$C185,AC183&lt;ROUNDDOWN(($C185+($D185+$C186-1)/12),0)),(AC184/2+AB186)/($C186-$E186-12*(AC183-$C185-1))*12,IF(AND($D186&lt;0,AC183=ROUNDDOWN(($C185+($D185+$C186-1)/12),0)),AB186+AC184,IF(AC183=ROUNDDOWN(($C185+($D185+$C186-1)/12),0),(AC184+AB186)/$C186*($D186+(AC183-$C185-1)*12+$E186),IF(AC183&gt;ROUNDDOWN(($C185+($D185+$C186)/12),0),0,0)))))))</f>
        <v/>
      </c>
      <c r="AD185" s="114" t="str">
        <f t="shared" ref="AD185" ca="1" si="469">IF(AD183="","",IF(AD183&lt;$C185,0,IF(AD183=$C185,AD184/$C186*$E186+AC186/$C186*$E186,IF(AND(AD183&gt;$C185,AD183&lt;ROUNDDOWN(($C185+($D185+$C186-1)/12),0)),(AD184/2+AC186)/($C186-$E186-12*(AD183-$C185-1))*12,IF(AND($D186&lt;0,AD183=ROUNDDOWN(($C185+($D185+$C186-1)/12),0)),AC186+AD184,IF(AD183=ROUNDDOWN(($C185+($D185+$C186-1)/12),0),(AD184+AC186)/$C186*($D186+(AD183-$C185-1)*12+$E186),IF(AD183&gt;ROUNDDOWN(($C185+($D185+$C186)/12),0),0,0)))))))</f>
        <v/>
      </c>
      <c r="AE185" s="114" t="str">
        <f t="shared" ref="AE185" ca="1" si="470">IF(AE183="","",IF(AE183&lt;$C185,0,IF(AE183=$C185,AE184/$C186*$E186+AD186/$C186*$E186,IF(AND(AE183&gt;$C185,AE183&lt;ROUNDDOWN(($C185+($D185+$C186-1)/12),0)),(AE184/2+AD186)/($C186-$E186-12*(AE183-$C185-1))*12,IF(AND($D186&lt;0,AE183=ROUNDDOWN(($C185+($D185+$C186-1)/12),0)),AD186+AE184,IF(AE183=ROUNDDOWN(($C185+($D185+$C186-1)/12),0),(AE184+AD186)/$C186*($D186+(AE183-$C185-1)*12+$E186),IF(AE183&gt;ROUNDDOWN(($C185+($D185+$C186)/12),0),0,0)))))))</f>
        <v/>
      </c>
      <c r="AF185" s="114" t="str">
        <f t="shared" ref="AF185" ca="1" si="471">IF(AF183="","",IF(AF183&lt;$C185,0,IF(AF183=$C185,AF184/$C186*$E186+AE186/$C186*$E186,IF(AND(AF183&gt;$C185,AF183&lt;ROUNDDOWN(($C185+($D185+$C186-1)/12),0)),(AF184/2+AE186)/($C186-$E186-12*(AF183-$C185-1))*12,IF(AND($D186&lt;0,AF183=ROUNDDOWN(($C185+($D185+$C186-1)/12),0)),AE186+AF184,IF(AF183=ROUNDDOWN(($C185+($D185+$C186-1)/12),0),(AF184+AE186)/$C186*($D186+(AF183-$C185-1)*12+$E186),IF(AF183&gt;ROUNDDOWN(($C185+($D185+$C186)/12),0),0,0)))))))</f>
        <v/>
      </c>
      <c r="AG185" s="114" t="str">
        <f t="shared" ref="AG185" ca="1" si="472">IF(AG183="","",IF(AG183&lt;$C185,0,IF(AG183=$C185,AG184/$C186*$E186+AF186/$C186*$E186,IF(AND(AG183&gt;$C185,AG183&lt;ROUNDDOWN(($C185+($D185+$C186-1)/12),0)),(AG184/2+AF186)/($C186-$E186-12*(AG183-$C185-1))*12,IF(AND($D186&lt;0,AG183=ROUNDDOWN(($C185+($D185+$C186-1)/12),0)),AF186+AG184,IF(AG183=ROUNDDOWN(($C185+($D185+$C186-1)/12),0),(AG184+AF186)/$C186*($D186+(AG183-$C185-1)*12+$E186),IF(AG183&gt;ROUNDDOWN(($C185+($D185+$C186)/12),0),0,0)))))))</f>
        <v/>
      </c>
      <c r="AH185" s="114" t="str">
        <f t="shared" ref="AH185" ca="1" si="473">IF(AH183="","",IF(AH183&lt;$C185,0,IF(AH183=$C185,AH184/$C186*$E186+AG186/$C186*$E186,IF(AND(AH183&gt;$C185,AH183&lt;ROUNDDOWN(($C185+($D185+$C186-1)/12),0)),(AH184/2+AG186)/($C186-$E186-12*(AH183-$C185-1))*12,IF(AND($D186&lt;0,AH183=ROUNDDOWN(($C185+($D185+$C186-1)/12),0)),AG186+AH184,IF(AH183=ROUNDDOWN(($C185+($D185+$C186-1)/12),0),(AH184+AG186)/$C186*($D186+(AH183-$C185-1)*12+$E186),IF(AH183&gt;ROUNDDOWN(($C185+($D185+$C186)/12),0),0,0)))))))</f>
        <v/>
      </c>
      <c r="AI185" s="114" t="str">
        <f t="shared" ref="AI185" ca="1" si="474">IF(AI183="","",IF(AI183&lt;$C185,0,IF(AI183=$C185,AI184/$C186*$E186+AH186/$C186*$E186,IF(AND(AI183&gt;$C185,AI183&lt;ROUNDDOWN(($C185+($D185+$C186-1)/12),0)),(AI184/2+AH186)/($C186-$E186-12*(AI183-$C185-1))*12,IF(AND($D186&lt;0,AI183=ROUNDDOWN(($C185+($D185+$C186-1)/12),0)),AH186+AI184,IF(AI183=ROUNDDOWN(($C185+($D185+$C186-1)/12),0),(AI184+AH186)/$C186*($D186+(AI183-$C185-1)*12+$E186),IF(AI183&gt;ROUNDDOWN(($C185+($D185+$C186)/12),0),0,0)))))))</f>
        <v/>
      </c>
      <c r="AJ185" s="114" t="str">
        <f t="shared" ref="AJ185" ca="1" si="475">IF(AJ183="","",IF(AJ183&lt;$C185,0,IF(AJ183=$C185,AJ184/$C186*$E186+AI186/$C186*$E186,IF(AND(AJ183&gt;$C185,AJ183&lt;ROUNDDOWN(($C185+($D185+$C186-1)/12),0)),(AJ184/2+AI186)/($C186-$E186-12*(AJ183-$C185-1))*12,IF(AND($D186&lt;0,AJ183=ROUNDDOWN(($C185+($D185+$C186-1)/12),0)),AI186+AJ184,IF(AJ183=ROUNDDOWN(($C185+($D185+$C186-1)/12),0),(AJ184+AI186)/$C186*($D186+(AJ183-$C185-1)*12+$E186),IF(AJ183&gt;ROUNDDOWN(($C185+($D185+$C186)/12),0),0,0)))))))</f>
        <v/>
      </c>
      <c r="AK185" s="114" t="str">
        <f t="shared" ref="AK185" ca="1" si="476">IF(AK183="","",IF(AK183&lt;$C185,0,IF(AK183=$C185,AK184/$C186*$E186+AJ186/$C186*$E186,IF(AND(AK183&gt;$C185,AK183&lt;ROUNDDOWN(($C185+($D185+$C186-1)/12),0)),(AK184/2+AJ186)/($C186-$E186-12*(AK183-$C185-1))*12,IF(AND($D186&lt;0,AK183=ROUNDDOWN(($C185+($D185+$C186-1)/12),0)),AJ186+AK184,IF(AK183=ROUNDDOWN(($C185+($D185+$C186-1)/12),0),(AK184+AJ186)/$C186*($D186+(AK183-$C185-1)*12+$E186),IF(AK183&gt;ROUNDDOWN(($C185+($D185+$C186)/12),0),0,0)))))))</f>
        <v/>
      </c>
      <c r="AL185" s="114" t="str">
        <f t="shared" ref="AL185" ca="1" si="477">IF(AL183="","",IF(AL183&lt;$C185,0,IF(AL183=$C185,AL184/$C186*$E186+AK186/$C186*$E186,IF(AND(AL183&gt;$C185,AL183&lt;ROUNDDOWN(($C185+($D185+$C186-1)/12),0)),(AL184/2+AK186)/($C186-$E186-12*(AL183-$C185-1))*12,IF(AND($D186&lt;0,AL183=ROUNDDOWN(($C185+($D185+$C186-1)/12),0)),AK186+AL184,IF(AL183=ROUNDDOWN(($C185+($D185+$C186-1)/12),0),(AL184+AK186)/$C186*($D186+(AL183-$C185-1)*12+$E186),IF(AL183&gt;ROUNDDOWN(($C185+($D185+$C186)/12),0),0,0)))))))</f>
        <v/>
      </c>
      <c r="AM185" s="114" t="str">
        <f t="shared" ref="AM185" ca="1" si="478">IF(AM183="","",IF(AM183&lt;$C185,0,IF(AM183=$C185,AM184/$C186*$E186+AL186/$C186*$E186,IF(AND(AM183&gt;$C185,AM183&lt;ROUNDDOWN(($C185+($D185+$C186-1)/12),0)),(AM184/2+AL186)/($C186-$E186-12*(AM183-$C185-1))*12,IF(AND($D186&lt;0,AM183=ROUNDDOWN(($C185+($D185+$C186-1)/12),0)),AL186+AM184,IF(AM183=ROUNDDOWN(($C185+($D185+$C186-1)/12),0),(AM184+AL186)/$C186*($D186+(AM183-$C185-1)*12+$E186),IF(AM183&gt;ROUNDDOWN(($C185+($D185+$C186)/12),0),0,0)))))))</f>
        <v/>
      </c>
      <c r="AN185" s="114" t="str">
        <f t="shared" ref="AN185" ca="1" si="479">IF(AN183="","",IF(AN183&lt;$C185,0,IF(AN183=$C185,AN184/$C186*$E186+AM186/$C186*$E186,IF(AND(AN183&gt;$C185,AN183&lt;ROUNDDOWN(($C185+($D185+$C186-1)/12),0)),(AN184/2+AM186)/($C186-$E186-12*(AN183-$C185-1))*12,IF(AND($D186&lt;0,AN183=ROUNDDOWN(($C185+($D185+$C186-1)/12),0)),AM186+AN184,IF(AN183=ROUNDDOWN(($C185+($D185+$C186-1)/12),0),(AN184+AM186)/$C186*($D186+(AN183-$C185-1)*12+$E186),IF(AN183&gt;ROUNDDOWN(($C185+($D185+$C186)/12),0),0,0)))))))</f>
        <v/>
      </c>
      <c r="AO185" s="114" t="str">
        <f t="shared" ref="AO185" ca="1" si="480">IF(AO183="","",IF(AO183&lt;$C185,0,IF(AO183=$C185,AO184/$C186*$E186+AN186/$C186*$E186,IF(AND(AO183&gt;$C185,AO183&lt;ROUNDDOWN(($C185+($D185+$C186-1)/12),0)),(AO184/2+AN186)/($C186-$E186-12*(AO183-$C185-1))*12,IF(AND($D186&lt;0,AO183=ROUNDDOWN(($C185+($D185+$C186-1)/12),0)),AN186+AO184,IF(AO183=ROUNDDOWN(($C185+($D185+$C186-1)/12),0),(AO184+AN186)/$C186*($D186+(AO183-$C185-1)*12+$E186),IF(AO183&gt;ROUNDDOWN(($C185+($D185+$C186)/12),0),0,0)))))))</f>
        <v/>
      </c>
      <c r="AP185" s="114" t="str">
        <f t="shared" ref="AP185" ca="1" si="481">IF(AP183="","",IF(AP183&lt;$C185,0,IF(AP183=$C185,AP184/$C186*$E186+AO186/$C186*$E186,IF(AND(AP183&gt;$C185,AP183&lt;ROUNDDOWN(($C185+($D185+$C186-1)/12),0)),(AP184/2+AO186)/($C186-$E186-12*(AP183-$C185-1))*12,IF(AND($D186&lt;0,AP183=ROUNDDOWN(($C185+($D185+$C186-1)/12),0)),AO186+AP184,IF(AP183=ROUNDDOWN(($C185+($D185+$C186-1)/12),0),(AP184+AO186)/$C186*($D186+(AP183-$C185-1)*12+$E186),IF(AP183&gt;ROUNDDOWN(($C185+($D185+$C186)/12),0),0,0)))))))</f>
        <v/>
      </c>
      <c r="AQ185" s="114" t="str">
        <f t="shared" ref="AQ185" ca="1" si="482">IF(AQ183="","",IF(AQ183&lt;$C185,0,IF(AQ183=$C185,AQ184/$C186*$E186+AP186/$C186*$E186,IF(AND(AQ183&gt;$C185,AQ183&lt;ROUNDDOWN(($C185+($D185+$C186-1)/12),0)),(AQ184/2+AP186)/($C186-$E186-12*(AQ183-$C185-1))*12,IF(AND($D186&lt;0,AQ183=ROUNDDOWN(($C185+($D185+$C186-1)/12),0)),AP186+AQ184,IF(AQ183=ROUNDDOWN(($C185+($D185+$C186-1)/12),0),(AQ184+AP186)/$C186*($D186+(AQ183-$C185-1)*12+$E186),IF(AQ183&gt;ROUNDDOWN(($C185+($D185+$C186)/12),0),0,0)))))))</f>
        <v/>
      </c>
      <c r="AR185" s="114" t="str">
        <f t="shared" ref="AR185" ca="1" si="483">IF(AR183="","",IF(AR183&lt;$C185,0,IF(AR183=$C185,AR184/$C186*$E186+AQ186/$C186*$E186,IF(AND(AR183&gt;$C185,AR183&lt;ROUNDDOWN(($C185+($D185+$C186-1)/12),0)),(AR184/2+AQ186)/($C186-$E186-12*(AR183-$C185-1))*12,IF(AND($D186&lt;0,AR183=ROUNDDOWN(($C185+($D185+$C186-1)/12),0)),AQ186+AR184,IF(AR183=ROUNDDOWN(($C185+($D185+$C186-1)/12),0),(AR184+AQ186)/$C186*($D186+(AR183-$C185-1)*12+$E186),IF(AR183&gt;ROUNDDOWN(($C185+($D185+$C186)/12),0),0,0)))))))</f>
        <v/>
      </c>
      <c r="AS185" s="114" t="str">
        <f t="shared" ref="AS185" ca="1" si="484">IF(AS183="","",IF(AS183&lt;$C185,0,IF(AS183=$C185,AS184/$C186*$E186+AR186/$C186*$E186,IF(AND(AS183&gt;$C185,AS183&lt;ROUNDDOWN(($C185+($D185+$C186-1)/12),0)),(AS184/2+AR186)/($C186-$E186-12*(AS183-$C185-1))*12,IF(AND($D186&lt;0,AS183=ROUNDDOWN(($C185+($D185+$C186-1)/12),0)),AR186+AS184,IF(AS183=ROUNDDOWN(($C185+($D185+$C186-1)/12),0),(AS184+AR186)/$C186*($D186+(AS183-$C185-1)*12+$E186),IF(AS183&gt;ROUNDDOWN(($C185+($D185+$C186)/12),0),0,0)))))))</f>
        <v/>
      </c>
      <c r="AT185" s="114" t="str">
        <f t="shared" ref="AT185" ca="1" si="485">IF(AT183="","",IF(AT183&lt;$C185,0,IF(AT183=$C185,AT184/$C186*$E186+AS186/$C186*$E186,IF(AND(AT183&gt;$C185,AT183&lt;ROUNDDOWN(($C185+($D185+$C186-1)/12),0)),(AT184/2+AS186)/($C186-$E186-12*(AT183-$C185-1))*12,IF(AND($D186&lt;0,AT183=ROUNDDOWN(($C185+($D185+$C186-1)/12),0)),AS186+AT184,IF(AT183=ROUNDDOWN(($C185+($D185+$C186-1)/12),0),(AT184+AS186)/$C186*($D186+(AT183-$C185-1)*12+$E186),IF(AT183&gt;ROUNDDOWN(($C185+($D185+$C186)/12),0),0,0)))))))</f>
        <v/>
      </c>
      <c r="AU185" s="114" t="str">
        <f t="shared" ref="AU185" ca="1" si="486">IF(AU183="","",IF(AU183&lt;$C185,0,IF(AU183=$C185,AU184/$C186*$E186+AT186/$C186*$E186,IF(AND(AU183&gt;$C185,AU183&lt;ROUNDDOWN(($C185+($D185+$C186-1)/12),0)),(AU184/2+AT186)/($C186-$E186-12*(AU183-$C185-1))*12,IF(AND($D186&lt;0,AU183=ROUNDDOWN(($C185+($D185+$C186-1)/12),0)),AT186+AU184,IF(AU183=ROUNDDOWN(($C185+($D185+$C186-1)/12),0),(AU184+AT186)/$C186*($D186+(AU183-$C185-1)*12+$E186),IF(AU183&gt;ROUNDDOWN(($C185+($D185+$C186)/12),0),0,0)))))))</f>
        <v/>
      </c>
      <c r="AV185" s="114" t="str">
        <f t="shared" ref="AV185" ca="1" si="487">IF(AV183="","",IF(AV183&lt;$C185,0,IF(AV183=$C185,AV184/$C186*$E186+AU186/$C186*$E186,IF(AND(AV183&gt;$C185,AV183&lt;ROUNDDOWN(($C185+($D185+$C186-1)/12),0)),(AV184/2+AU186)/($C186-$E186-12*(AV183-$C185-1))*12,IF(AND($D186&lt;0,AV183=ROUNDDOWN(($C185+($D185+$C186-1)/12),0)),AU186+AV184,IF(AV183=ROUNDDOWN(($C185+($D185+$C186-1)/12),0),(AV184+AU186)/$C186*($D186+(AV183-$C185-1)*12+$E186),IF(AV183&gt;ROUNDDOWN(($C185+($D185+$C186)/12),0),0,0)))))))</f>
        <v/>
      </c>
      <c r="AW185" s="114" t="str">
        <f t="shared" ref="AW185" ca="1" si="488">IF(AW183="","",IF(AW183&lt;$C185,0,IF(AW183=$C185,AW184/$C186*$E186+AV186/$C186*$E186,IF(AND(AW183&gt;$C185,AW183&lt;ROUNDDOWN(($C185+($D185+$C186-1)/12),0)),(AW184/2+AV186)/($C186-$E186-12*(AW183-$C185-1))*12,IF(AND($D186&lt;0,AW183=ROUNDDOWN(($C185+($D185+$C186-1)/12),0)),AV186+AW184,IF(AW183=ROUNDDOWN(($C185+($D185+$C186-1)/12),0),(AW184+AV186)/$C186*($D186+(AW183-$C185-1)*12+$E186),IF(AW183&gt;ROUNDDOWN(($C185+($D185+$C186)/12),0),0,0)))))))</f>
        <v/>
      </c>
      <c r="AX185" s="90"/>
      <c r="AY185" s="90"/>
      <c r="AZ185" s="87"/>
    </row>
    <row r="186" spans="3:52" ht="12.75" hidden="1" customHeight="1" outlineLevel="1" x14ac:dyDescent="0.2">
      <c r="C186" s="128">
        <f>ROUNDUP((E185-ROUNDDOWN(E185,0))*12,0)+ROUNDDOWN(E185,0)*12</f>
        <v>0</v>
      </c>
      <c r="D186" s="128">
        <f>C186-E186-ROUNDDOWN(E185,0)*12</f>
        <v>-12</v>
      </c>
      <c r="E186" s="128">
        <f>13-MONTH(C184)</f>
        <v>12</v>
      </c>
      <c r="N186" s="85"/>
      <c r="O186" s="90"/>
      <c r="P186" s="90"/>
      <c r="Q186" s="115" t="str">
        <f>INDEX(g_lang_val,MATCH("tb_2_4_3",g_lang_key,0))</f>
        <v>FF4-gæld, ultimo året</v>
      </c>
      <c r="R186" s="116"/>
      <c r="S186" s="119"/>
      <c r="T186" s="114">
        <f t="shared" ref="T186" ca="1" si="489">IF(T183="","",S186+T184-T185)</f>
        <v>0</v>
      </c>
      <c r="U186" s="114">
        <f t="shared" ref="U186" ca="1" si="490">IF(U183="","",T186+U184-U185)</f>
        <v>0</v>
      </c>
      <c r="V186" s="114">
        <f t="shared" ref="V186" ca="1" si="491">IF(V183="","",U186+V184-V185)</f>
        <v>0</v>
      </c>
      <c r="W186" s="114">
        <f t="shared" ref="W186" ca="1" si="492">IF(W183="","",V186+W184-W185)</f>
        <v>0</v>
      </c>
      <c r="X186" s="114" t="str">
        <f t="shared" ref="X186" ca="1" si="493">IF(X183="","",W186+X184-X185)</f>
        <v/>
      </c>
      <c r="Y186" s="114" t="str">
        <f t="shared" ref="Y186" ca="1" si="494">IF(Y183="","",X186+Y184-Y185)</f>
        <v/>
      </c>
      <c r="Z186" s="114" t="str">
        <f t="shared" ref="Z186" ca="1" si="495">IF(Z183="","",Y186+Z184-Z185)</f>
        <v/>
      </c>
      <c r="AA186" s="114" t="str">
        <f t="shared" ref="AA186" ca="1" si="496">IF(AA183="","",Z186+AA184-AA185)</f>
        <v/>
      </c>
      <c r="AB186" s="114" t="str">
        <f t="shared" ref="AB186" ca="1" si="497">IF(AB183="","",AA186+AB184-AB185)</f>
        <v/>
      </c>
      <c r="AC186" s="114" t="str">
        <f t="shared" ref="AC186" ca="1" si="498">IF(AC183="","",AB186+AC184-AC185)</f>
        <v/>
      </c>
      <c r="AD186" s="114" t="str">
        <f t="shared" ref="AD186" ca="1" si="499">IF(AD183="","",AC186+AD184-AD185)</f>
        <v/>
      </c>
      <c r="AE186" s="114" t="str">
        <f t="shared" ref="AE186" ca="1" si="500">IF(AE183="","",AD186+AE184-AE185)</f>
        <v/>
      </c>
      <c r="AF186" s="114" t="str">
        <f t="shared" ref="AF186" ca="1" si="501">IF(AF183="","",AE186+AF184-AF185)</f>
        <v/>
      </c>
      <c r="AG186" s="114" t="str">
        <f t="shared" ref="AG186" ca="1" si="502">IF(AG183="","",AF186+AG184-AG185)</f>
        <v/>
      </c>
      <c r="AH186" s="114" t="str">
        <f t="shared" ref="AH186" ca="1" si="503">IF(AH183="","",AG186+AH184-AH185)</f>
        <v/>
      </c>
      <c r="AI186" s="114" t="str">
        <f t="shared" ref="AI186" ca="1" si="504">IF(AI183="","",AH186+AI184-AI185)</f>
        <v/>
      </c>
      <c r="AJ186" s="114" t="str">
        <f t="shared" ref="AJ186" ca="1" si="505">IF(AJ183="","",AI186+AJ184-AJ185)</f>
        <v/>
      </c>
      <c r="AK186" s="114" t="str">
        <f t="shared" ref="AK186" ca="1" si="506">IF(AK183="","",AJ186+AK184-AK185)</f>
        <v/>
      </c>
      <c r="AL186" s="114" t="str">
        <f t="shared" ref="AL186" ca="1" si="507">IF(AL183="","",AK186+AL184-AL185)</f>
        <v/>
      </c>
      <c r="AM186" s="114" t="str">
        <f t="shared" ref="AM186" ca="1" si="508">IF(AM183="","",AL186+AM184-AM185)</f>
        <v/>
      </c>
      <c r="AN186" s="114" t="str">
        <f t="shared" ref="AN186" ca="1" si="509">IF(AN183="","",AM186+AN184-AN185)</f>
        <v/>
      </c>
      <c r="AO186" s="114" t="str">
        <f t="shared" ref="AO186" ca="1" si="510">IF(AO183="","",AN186+AO184-AO185)</f>
        <v/>
      </c>
      <c r="AP186" s="114" t="str">
        <f t="shared" ref="AP186" ca="1" si="511">IF(AP183="","",AO186+AP184-AP185)</f>
        <v/>
      </c>
      <c r="AQ186" s="114" t="str">
        <f t="shared" ref="AQ186" ca="1" si="512">IF(AQ183="","",AP186+AQ184-AQ185)</f>
        <v/>
      </c>
      <c r="AR186" s="114" t="str">
        <f t="shared" ref="AR186" ca="1" si="513">IF(AR183="","",AQ186+AR184-AR185)</f>
        <v/>
      </c>
      <c r="AS186" s="114" t="str">
        <f t="shared" ref="AS186" ca="1" si="514">IF(AS183="","",AR186+AS184-AS185)</f>
        <v/>
      </c>
      <c r="AT186" s="114" t="str">
        <f t="shared" ref="AT186" ca="1" si="515">IF(AT183="","",AS186+AT184-AT185)</f>
        <v/>
      </c>
      <c r="AU186" s="114" t="str">
        <f t="shared" ref="AU186" ca="1" si="516">IF(AU183="","",AT186+AU184-AU185)</f>
        <v/>
      </c>
      <c r="AV186" s="114" t="str">
        <f t="shared" ref="AV186" ca="1" si="517">IF(AV183="","",AU186+AV184-AV185)</f>
        <v/>
      </c>
      <c r="AW186" s="114" t="str">
        <f t="shared" ref="AW186" ca="1" si="518">IF(AW183="","",AV186+AW184-AW185)</f>
        <v/>
      </c>
      <c r="AX186" s="90"/>
      <c r="AY186" s="90"/>
      <c r="AZ186" s="87"/>
    </row>
    <row r="187" spans="3:52" ht="12.75" hidden="1" customHeight="1" outlineLevel="1" x14ac:dyDescent="0.2">
      <c r="N187" s="85"/>
      <c r="O187" s="90"/>
      <c r="P187" s="90"/>
      <c r="Q187" s="115" t="str">
        <f>INDEX(g_lang_val,MATCH("tb_2_4_4",g_lang_key,0))</f>
        <v>Renter (FF4)</v>
      </c>
      <c r="R187" s="116"/>
      <c r="S187" s="119">
        <f ca="1">SUM(T187:BG187)</f>
        <v>0</v>
      </c>
      <c r="T187" s="114">
        <f ca="1">IF(T183="","",g_interest_FF4*(S186+(T184/2)-(T185/2)))</f>
        <v>0</v>
      </c>
      <c r="U187" s="114">
        <f t="shared" ref="U187" ca="1" si="519">IF(U183="","",g_interest_FF4*(T186+(U184/2)-(U185/2)))</f>
        <v>0</v>
      </c>
      <c r="V187" s="114">
        <f t="shared" ref="V187" ca="1" si="520">IF(V183="","",g_interest_FF4*(U186+(V184/2)-(V185/2)))</f>
        <v>0</v>
      </c>
      <c r="W187" s="114">
        <f t="shared" ref="W187" ca="1" si="521">IF(W183="","",g_interest_FF4*(V186+(W184/2)-(W185/2)))</f>
        <v>0</v>
      </c>
      <c r="X187" s="114" t="str">
        <f t="shared" ref="X187" ca="1" si="522">IF(X183="","",g_interest_FF4*(W186+(X184/2)-(X185/2)))</f>
        <v/>
      </c>
      <c r="Y187" s="114" t="str">
        <f t="shared" ref="Y187" ca="1" si="523">IF(Y183="","",g_interest_FF4*(X186+(Y184/2)-(Y185/2)))</f>
        <v/>
      </c>
      <c r="Z187" s="114" t="str">
        <f t="shared" ref="Z187" ca="1" si="524">IF(Z183="","",g_interest_FF4*(Y186+(Z184/2)-(Z185/2)))</f>
        <v/>
      </c>
      <c r="AA187" s="114" t="str">
        <f t="shared" ref="AA187" ca="1" si="525">IF(AA183="","",g_interest_FF4*(Z186+(AA184/2)-(AA185/2)))</f>
        <v/>
      </c>
      <c r="AB187" s="114" t="str">
        <f t="shared" ref="AB187" ca="1" si="526">IF(AB183="","",g_interest_FF4*(AA186+(AB184/2)-(AB185/2)))</f>
        <v/>
      </c>
      <c r="AC187" s="114" t="str">
        <f t="shared" ref="AC187" ca="1" si="527">IF(AC183="","",g_interest_FF4*(AB186+(AC184/2)-(AC185/2)))</f>
        <v/>
      </c>
      <c r="AD187" s="114" t="str">
        <f t="shared" ref="AD187" ca="1" si="528">IF(AD183="","",g_interest_FF4*(AC186+(AD184/2)-(AD185/2)))</f>
        <v/>
      </c>
      <c r="AE187" s="114" t="str">
        <f t="shared" ref="AE187" ca="1" si="529">IF(AE183="","",g_interest_FF4*(AD186+(AE184/2)-(AE185/2)))</f>
        <v/>
      </c>
      <c r="AF187" s="114" t="str">
        <f t="shared" ref="AF187" ca="1" si="530">IF(AF183="","",g_interest_FF4*(AE186+(AF184/2)-(AF185/2)))</f>
        <v/>
      </c>
      <c r="AG187" s="114" t="str">
        <f t="shared" ref="AG187" ca="1" si="531">IF(AG183="","",g_interest_FF4*(AF186+(AG184/2)-(AG185/2)))</f>
        <v/>
      </c>
      <c r="AH187" s="114" t="str">
        <f t="shared" ref="AH187" ca="1" si="532">IF(AH183="","",g_interest_FF4*(AG186+(AH184/2)-(AH185/2)))</f>
        <v/>
      </c>
      <c r="AI187" s="114" t="str">
        <f t="shared" ref="AI187" ca="1" si="533">IF(AI183="","",g_interest_FF4*(AH186+(AI184/2)-(AI185/2)))</f>
        <v/>
      </c>
      <c r="AJ187" s="114" t="str">
        <f t="shared" ref="AJ187" ca="1" si="534">IF(AJ183="","",g_interest_FF4*(AI186+(AJ184/2)-(AJ185/2)))</f>
        <v/>
      </c>
      <c r="AK187" s="114" t="str">
        <f t="shared" ref="AK187" ca="1" si="535">IF(AK183="","",g_interest_FF4*(AJ186+(AK184/2)-(AK185/2)))</f>
        <v/>
      </c>
      <c r="AL187" s="114" t="str">
        <f t="shared" ref="AL187" ca="1" si="536">IF(AL183="","",g_interest_FF4*(AK186+(AL184/2)-(AL185/2)))</f>
        <v/>
      </c>
      <c r="AM187" s="114" t="str">
        <f t="shared" ref="AM187" ca="1" si="537">IF(AM183="","",g_interest_FF4*(AL186+(AM184/2)-(AM185/2)))</f>
        <v/>
      </c>
      <c r="AN187" s="114" t="str">
        <f t="shared" ref="AN187" ca="1" si="538">IF(AN183="","",g_interest_FF4*(AM186+(AN184/2)-(AN185/2)))</f>
        <v/>
      </c>
      <c r="AO187" s="114" t="str">
        <f t="shared" ref="AO187" ca="1" si="539">IF(AO183="","",g_interest_FF4*(AN186+(AO184/2)-(AO185/2)))</f>
        <v/>
      </c>
      <c r="AP187" s="114" t="str">
        <f t="shared" ref="AP187" ca="1" si="540">IF(AP183="","",g_interest_FF4*(AO186+(AP184/2)-(AP185/2)))</f>
        <v/>
      </c>
      <c r="AQ187" s="114" t="str">
        <f t="shared" ref="AQ187" ca="1" si="541">IF(AQ183="","",g_interest_FF4*(AP186+(AQ184/2)-(AQ185/2)))</f>
        <v/>
      </c>
      <c r="AR187" s="114" t="str">
        <f t="shared" ref="AR187" ca="1" si="542">IF(AR183="","",g_interest_FF4*(AQ186+(AR184/2)-(AR185/2)))</f>
        <v/>
      </c>
      <c r="AS187" s="114" t="str">
        <f t="shared" ref="AS187" ca="1" si="543">IF(AS183="","",g_interest_FF4*(AR186+(AS184/2)-(AS185/2)))</f>
        <v/>
      </c>
      <c r="AT187" s="114" t="str">
        <f t="shared" ref="AT187" ca="1" si="544">IF(AT183="","",g_interest_FF4*(AS186+(AT184/2)-(AT185/2)))</f>
        <v/>
      </c>
      <c r="AU187" s="114" t="str">
        <f t="shared" ref="AU187" ca="1" si="545">IF(AU183="","",g_interest_FF4*(AT186+(AU184/2)-(AU185/2)))</f>
        <v/>
      </c>
      <c r="AV187" s="114" t="str">
        <f t="shared" ref="AV187" ca="1" si="546">IF(AV183="","",g_interest_FF4*(AU186+(AV184/2)-(AV185/2)))</f>
        <v/>
      </c>
      <c r="AW187" s="114" t="str">
        <f t="shared" ref="AW187" ca="1" si="547">IF(AW183="","",g_interest_FF4*(AV186+(AW184/2)-(AW185/2)))</f>
        <v/>
      </c>
      <c r="AX187" s="90"/>
      <c r="AY187" s="90"/>
      <c r="AZ187" s="87"/>
    </row>
    <row r="188" spans="3:52" ht="12.75" hidden="1" customHeight="1" outlineLevel="1" x14ac:dyDescent="0.2">
      <c r="N188" s="85"/>
      <c r="O188" s="90"/>
      <c r="P188" s="90"/>
      <c r="Q188" s="118" t="str">
        <f>INDEX(g_assets_sc_1,9)</f>
        <v/>
      </c>
      <c r="R188" s="118"/>
      <c r="S188" s="113"/>
      <c r="T188" s="125">
        <f ca="1">T$157</f>
        <v>2026</v>
      </c>
      <c r="U188" s="125">
        <f t="shared" ref="U188:AW188" ca="1" si="548">U$157</f>
        <v>2027</v>
      </c>
      <c r="V188" s="125">
        <f t="shared" ca="1" si="548"/>
        <v>2028</v>
      </c>
      <c r="W188" s="125">
        <f t="shared" ca="1" si="548"/>
        <v>2029</v>
      </c>
      <c r="X188" s="125" t="str">
        <f t="shared" ca="1" si="548"/>
        <v/>
      </c>
      <c r="Y188" s="125" t="str">
        <f ca="1">Y$157</f>
        <v/>
      </c>
      <c r="Z188" s="125" t="str">
        <f t="shared" ca="1" si="548"/>
        <v/>
      </c>
      <c r="AA188" s="125" t="str">
        <f t="shared" ca="1" si="548"/>
        <v/>
      </c>
      <c r="AB188" s="125" t="str">
        <f t="shared" ca="1" si="548"/>
        <v/>
      </c>
      <c r="AC188" s="125" t="str">
        <f t="shared" ca="1" si="548"/>
        <v/>
      </c>
      <c r="AD188" s="125" t="str">
        <f t="shared" ca="1" si="548"/>
        <v/>
      </c>
      <c r="AE188" s="125" t="str">
        <f t="shared" ca="1" si="548"/>
        <v/>
      </c>
      <c r="AF188" s="125" t="str">
        <f t="shared" ca="1" si="548"/>
        <v/>
      </c>
      <c r="AG188" s="125" t="str">
        <f t="shared" ca="1" si="548"/>
        <v/>
      </c>
      <c r="AH188" s="125" t="str">
        <f t="shared" ca="1" si="548"/>
        <v/>
      </c>
      <c r="AI188" s="125" t="str">
        <f t="shared" ca="1" si="548"/>
        <v/>
      </c>
      <c r="AJ188" s="125" t="str">
        <f t="shared" ca="1" si="548"/>
        <v/>
      </c>
      <c r="AK188" s="125" t="str">
        <f t="shared" ca="1" si="548"/>
        <v/>
      </c>
      <c r="AL188" s="125" t="str">
        <f t="shared" ca="1" si="548"/>
        <v/>
      </c>
      <c r="AM188" s="125" t="str">
        <f t="shared" ca="1" si="548"/>
        <v/>
      </c>
      <c r="AN188" s="125" t="str">
        <f t="shared" ca="1" si="548"/>
        <v/>
      </c>
      <c r="AO188" s="125" t="str">
        <f t="shared" ca="1" si="548"/>
        <v/>
      </c>
      <c r="AP188" s="125" t="str">
        <f t="shared" ca="1" si="548"/>
        <v/>
      </c>
      <c r="AQ188" s="125" t="str">
        <f t="shared" ca="1" si="548"/>
        <v/>
      </c>
      <c r="AR188" s="125" t="str">
        <f t="shared" ca="1" si="548"/>
        <v/>
      </c>
      <c r="AS188" s="125" t="str">
        <f t="shared" ca="1" si="548"/>
        <v/>
      </c>
      <c r="AT188" s="125" t="str">
        <f t="shared" ca="1" si="548"/>
        <v/>
      </c>
      <c r="AU188" s="125" t="str">
        <f t="shared" ca="1" si="548"/>
        <v/>
      </c>
      <c r="AV188" s="125" t="str">
        <f t="shared" ca="1" si="548"/>
        <v/>
      </c>
      <c r="AW188" s="125" t="str">
        <f t="shared" ca="1" si="548"/>
        <v/>
      </c>
      <c r="AX188" s="90"/>
      <c r="AY188" s="90"/>
      <c r="AZ188" s="87"/>
    </row>
    <row r="189" spans="3:52" ht="12.75" hidden="1" customHeight="1" outlineLevel="1" x14ac:dyDescent="0.2">
      <c r="C189" s="126">
        <f>INDEX(g_sc_1_assets_dates,G189)</f>
        <v>0</v>
      </c>
      <c r="G189" s="127">
        <v>7</v>
      </c>
      <c r="N189" s="85"/>
      <c r="O189" s="90"/>
      <c r="P189" s="90"/>
      <c r="Q189" s="115" t="str">
        <f>INDEX(g_lang_val,MATCH("tb_2_4_1",g_lang_key,0))</f>
        <v>Køb af anlægsaktiver</v>
      </c>
      <c r="R189" s="116"/>
      <c r="S189" s="119">
        <f ca="1">SUM(T189:BG189)</f>
        <v>0</v>
      </c>
      <c r="T189" s="114">
        <f ca="1">IF(T188="","",SUMPRODUCT(--(Leverancer!$C$28:$C$88=($G189+2)),Leverancer!D$28:D$88)/1000)</f>
        <v>0</v>
      </c>
      <c r="U189" s="114">
        <f ca="1">IF(U188="","",SUMPRODUCT(--(Leverancer!$C$28:$C$88=($G189+2)),Leverancer!E$28:E$88)/1000)</f>
        <v>0</v>
      </c>
      <c r="V189" s="114">
        <f ca="1">IF(V188="","",SUMPRODUCT(--(Leverancer!$C$28:$C$88=($G189+2)),Leverancer!F$28:F$88)/1000)</f>
        <v>0</v>
      </c>
      <c r="W189" s="114">
        <f ca="1">IF(W188="","",SUMPRODUCT(--(Leverancer!$C$28:$C$88=($G189+2)),Leverancer!G$28:G$88)/1000)</f>
        <v>0</v>
      </c>
      <c r="X189" s="114" t="str">
        <f ca="1">IF(X188="","",SUMPRODUCT(--(Leverancer!$C$28:$C$88=($G189+2)),Leverancer!H$28:H$88)/1000)</f>
        <v/>
      </c>
      <c r="Y189" s="114" t="str">
        <f ca="1">IF(Y188="","",SUMPRODUCT(--(Leverancer!$C$28:$C$88=($G189+2)),Leverancer!I$28:I$88)/1000)</f>
        <v/>
      </c>
      <c r="Z189" s="114" t="str">
        <f ca="1">IF(Z188="","",SUMPRODUCT(--(Leverancer!$C$28:$C$88=($G189+2)),Leverancer!J$28:J$88)/1000)</f>
        <v/>
      </c>
      <c r="AA189" s="114" t="str">
        <f ca="1">IF(AA188="","",SUMPRODUCT(--(Leverancer!$C$28:$C$88=($G189+2)),Leverancer!K$28:K$88)/1000)</f>
        <v/>
      </c>
      <c r="AB189" s="114" t="str">
        <f ca="1">IF(AB188="","",SUMPRODUCT(--(Leverancer!$C$28:$C$88=($G189+2)),Leverancer!L$28:L$88)/1000)</f>
        <v/>
      </c>
      <c r="AC189" s="114" t="str">
        <f ca="1">IF(AC188="","",SUMPRODUCT(--(Leverancer!$C$28:$C$88=($G189+2)),Leverancer!M$28:M$88)/1000)</f>
        <v/>
      </c>
      <c r="AD189" s="114" t="str">
        <f ca="1">IF(AD188="","",SUMPRODUCT(--(Leverancer!$C$28:$C$88=($G189+2)),Leverancer!N$28:N$88)/1000)</f>
        <v/>
      </c>
      <c r="AE189" s="114" t="str">
        <f ca="1">IF(AE188="","",SUMPRODUCT(--(Leverancer!$C$28:$C$88=($G189+2)),Leverancer!O$28:O$88)/1000)</f>
        <v/>
      </c>
      <c r="AF189" s="114" t="str">
        <f ca="1">IF(AF188="","",SUMPRODUCT(--(Leverancer!$C$28:$C$88=($G189+2)),Leverancer!P$28:P$88)/1000)</f>
        <v/>
      </c>
      <c r="AG189" s="114" t="str">
        <f ca="1">IF(AG188="","",SUMPRODUCT(--(Leverancer!$C$28:$C$88=($G189+2)),Leverancer!Q$28:Q$88)/1000)</f>
        <v/>
      </c>
      <c r="AH189" s="114" t="str">
        <f ca="1">IF(AH188="","",SUMPRODUCT(--(Leverancer!$C$28:$C$88=($G189+2)),Leverancer!R$28:R$88)/1000)</f>
        <v/>
      </c>
      <c r="AI189" s="114" t="str">
        <f ca="1">IF(AI188="","",SUMPRODUCT(--(Leverancer!$C$28:$C$88=($G189+2)),Leverancer!S$28:S$88)/1000)</f>
        <v/>
      </c>
      <c r="AJ189" s="114" t="str">
        <f ca="1">IF(AJ188="","",SUMPRODUCT(--(Leverancer!$C$28:$C$88=($G189+2)),Leverancer!T$28:T$88)/1000)</f>
        <v/>
      </c>
      <c r="AK189" s="114" t="str">
        <f ca="1">IF(AK188="","",SUMPRODUCT(--(Leverancer!$C$28:$C$88=($G189+2)),Leverancer!U$28:U$88)/1000)</f>
        <v/>
      </c>
      <c r="AL189" s="114" t="str">
        <f ca="1">IF(AL188="","",SUMPRODUCT(--(Leverancer!$C$28:$C$88=($G189+2)),Leverancer!V$28:V$88)/1000)</f>
        <v/>
      </c>
      <c r="AM189" s="114" t="str">
        <f ca="1">IF(AM188="","",SUMPRODUCT(--(Leverancer!$C$28:$C$88=($G189+2)),Leverancer!W$28:W$88)/1000)</f>
        <v/>
      </c>
      <c r="AN189" s="114" t="str">
        <f ca="1">IF(AN188="","",SUMPRODUCT(--(Leverancer!$C$28:$C$88=($G189+2)),Leverancer!X$28:X$88)/1000)</f>
        <v/>
      </c>
      <c r="AO189" s="114" t="str">
        <f ca="1">IF(AO188="","",SUMPRODUCT(--(Leverancer!$C$28:$C$88=($G189+2)),Leverancer!Y$28:Y$88)/1000)</f>
        <v/>
      </c>
      <c r="AP189" s="114" t="str">
        <f ca="1">IF(AP188="","",SUMPRODUCT(--(Leverancer!$C$28:$C$88=($G189+2)),Leverancer!Z$28:Z$88)/1000)</f>
        <v/>
      </c>
      <c r="AQ189" s="114" t="str">
        <f ca="1">IF(AQ188="","",SUMPRODUCT(--(Leverancer!$C$28:$C$88=($G189+2)),Leverancer!AA$28:AA$88)/1000)</f>
        <v/>
      </c>
      <c r="AR189" s="114" t="str">
        <f ca="1">IF(AR188="","",SUMPRODUCT(--(Leverancer!$C$28:$C$88=($G189+2)),Leverancer!AB$28:AB$88)/1000)</f>
        <v/>
      </c>
      <c r="AS189" s="114" t="str">
        <f ca="1">IF(AS188="","",SUMPRODUCT(--(Leverancer!$C$28:$C$88=($G189+2)),Leverancer!AC$28:AC$88)/1000)</f>
        <v/>
      </c>
      <c r="AT189" s="114" t="str">
        <f ca="1">IF(AT188="","",SUMPRODUCT(--(Leverancer!$C$28:$C$88=($G189+2)),Leverancer!AD$28:AD$88)/1000)</f>
        <v/>
      </c>
      <c r="AU189" s="114" t="str">
        <f ca="1">IF(AU188="","",SUMPRODUCT(--(Leverancer!$C$28:$C$88=($G189+2)),Leverancer!AE$28:AE$88)/1000)</f>
        <v/>
      </c>
      <c r="AV189" s="114" t="str">
        <f ca="1">IF(AV188="","",SUMPRODUCT(--(Leverancer!$C$28:$C$88=($G189+2)),Leverancer!AF$28:AF$88)/1000)</f>
        <v/>
      </c>
      <c r="AW189" s="114" t="str">
        <f ca="1">IF(AW188="","",SUMPRODUCT(--(Leverancer!$C$28:$C$88=($G189+2)),Leverancer!AG$28:AG$88)/1000)</f>
        <v/>
      </c>
      <c r="AX189" s="90"/>
      <c r="AY189" s="90"/>
      <c r="AZ189" s="87"/>
    </row>
    <row r="190" spans="3:52" ht="12.75" hidden="1" customHeight="1" outlineLevel="1" x14ac:dyDescent="0.2">
      <c r="C190" s="128">
        <f>IFERROR(YEAR(C189),"")</f>
        <v>1900</v>
      </c>
      <c r="D190" s="128">
        <f>IFERROR(MONTH(C189),"")</f>
        <v>1</v>
      </c>
      <c r="E190" s="128">
        <f>INDEX(g_sc_1_assets_years,G189)</f>
        <v>0</v>
      </c>
      <c r="N190" s="85"/>
      <c r="O190" s="90"/>
      <c r="P190" s="90"/>
      <c r="Q190" s="115" t="str">
        <f>INDEX(g_lang_val,MATCH("tb_2_4_2",g_lang_key,0))</f>
        <v>Afskrivninger</v>
      </c>
      <c r="R190" s="116"/>
      <c r="S190" s="119">
        <f ca="1">SUM(T190:BG190)</f>
        <v>0</v>
      </c>
      <c r="T190" s="114">
        <f t="shared" ref="T190" ca="1" si="549">IF(T188="","",IF(T188&lt;$C190,0,IF(T188=$C190,T189/$C191*$E191+S191/$C191*$E191,IF(AND(T188&gt;$C190,T188&lt;ROUNDDOWN(($C190+($D190+$C191-1)/12),0)),(T189/2+S191)/($C191-$E191-12*(T188-$C190-1))*12,IF(AND($D191&lt;0,T188=ROUNDDOWN(($C190+($D190+$C191-1)/12),0)),S191+T189,IF(T188=ROUNDDOWN(($C190+($D190+$C191-1)/12),0),(T189+S191)/$C191*($D191+(T188-$C190-1)*12+$E191),IF(T188&gt;ROUNDDOWN(($C190+($D190+$C191)/12),0),0,0)))))))</f>
        <v>0</v>
      </c>
      <c r="U190" s="114">
        <f t="shared" ref="U190" ca="1" si="550">IF(U188="","",IF(U188&lt;$C190,0,IF(U188=$C190,U189/$C191*$E191+T191/$C191*$E191,IF(AND(U188&gt;$C190,U188&lt;ROUNDDOWN(($C190+($D190+$C191-1)/12),0)),(U189/2+T191)/($C191-$E191-12*(U188-$C190-1))*12,IF(AND($D191&lt;0,U188=ROUNDDOWN(($C190+($D190+$C191-1)/12),0)),T191+U189,IF(U188=ROUNDDOWN(($C190+($D190+$C191-1)/12),0),(U189+T191)/$C191*($D191+(U188-$C190-1)*12+$E191),IF(U188&gt;ROUNDDOWN(($C190+($D190+$C191)/12),0),0,0)))))))</f>
        <v>0</v>
      </c>
      <c r="V190" s="114">
        <f t="shared" ref="V190" ca="1" si="551">IF(V188="","",IF(V188&lt;$C190,0,IF(V188=$C190,V189/$C191*$E191+U191/$C191*$E191,IF(AND(V188&gt;$C190,V188&lt;ROUNDDOWN(($C190+($D190+$C191-1)/12),0)),(V189/2+U191)/($C191-$E191-12*(V188-$C190-1))*12,IF(AND($D191&lt;0,V188=ROUNDDOWN(($C190+($D190+$C191-1)/12),0)),U191+V189,IF(V188=ROUNDDOWN(($C190+($D190+$C191-1)/12),0),(V189+U191)/$C191*($D191+(V188-$C190-1)*12+$E191),IF(V188&gt;ROUNDDOWN(($C190+($D190+$C191)/12),0),0,0)))))))</f>
        <v>0</v>
      </c>
      <c r="W190" s="114">
        <f t="shared" ref="W190" ca="1" si="552">IF(W188="","",IF(W188&lt;$C190,0,IF(W188=$C190,W189/$C191*$E191+V191/$C191*$E191,IF(AND(W188&gt;$C190,W188&lt;ROUNDDOWN(($C190+($D190+$C191-1)/12),0)),(W189/2+V191)/($C191-$E191-12*(W188-$C190-1))*12,IF(AND($D191&lt;0,W188=ROUNDDOWN(($C190+($D190+$C191-1)/12),0)),V191+W189,IF(W188=ROUNDDOWN(($C190+($D190+$C191-1)/12),0),(W189+V191)/$C191*($D191+(W188-$C190-1)*12+$E191),IF(W188&gt;ROUNDDOWN(($C190+($D190+$C191)/12),0),0,0)))))))</f>
        <v>0</v>
      </c>
      <c r="X190" s="114" t="str">
        <f t="shared" ref="X190" ca="1" si="553">IF(X188="","",IF(X188&lt;$C190,0,IF(X188=$C190,X189/$C191*$E191+W191/$C191*$E191,IF(AND(X188&gt;$C190,X188&lt;ROUNDDOWN(($C190+($D190+$C191-1)/12),0)),(X189/2+W191)/($C191-$E191-12*(X188-$C190-1))*12,IF(AND($D191&lt;0,X188=ROUNDDOWN(($C190+($D190+$C191-1)/12),0)),W191+X189,IF(X188=ROUNDDOWN(($C190+($D190+$C191-1)/12),0),(X189+W191)/$C191*($D191+(X188-$C190-1)*12+$E191),IF(X188&gt;ROUNDDOWN(($C190+($D190+$C191)/12),0),0,0)))))))</f>
        <v/>
      </c>
      <c r="Y190" s="114" t="str">
        <f ca="1">IF(Y188="","",IF(Y188&lt;$C190,0,IF(Y188=$C190,Y189/$C191*$E191+X191/$C191*$E191,IF(AND(Y188&gt;$C190,Y188&lt;ROUNDDOWN(($C190+($D190+$C191-1)/12),0)),(Y189/2+X191)/($C191-$E191-12*(Y188-$C190-1))*12,IF(AND($D191&lt;0,Y188=ROUNDDOWN(($C190+($D190+$C191-1)/12),0)),X191+Y189,IF(Y188=ROUNDDOWN(($C190+($D190+$C191-1)/12),0),(Y189+X191)/$C191*($D191+(Y188-$C190-1)*12+$E191),IF(Y188&gt;ROUNDDOWN(($C190+($D190+$C191)/12),0),0,0)))))))</f>
        <v/>
      </c>
      <c r="Z190" s="114" t="str">
        <f ca="1">IF(Z188="","",IF(Z188&lt;$C190,0,IF(Z188=$C190,Z189/$C191*$E191+Y191/$C191*$E191,IF(AND(Z188&gt;$C190,Z188&lt;ROUNDDOWN(($C190+($D190+$C191-1)/12),0)),(Z189/2+Y191)/($C191-$E191-12*(Z188-$C190-1))*12,IF(AND($D191&lt;0,Z188=ROUNDDOWN(($C190+($D190+$C191-1)/12),0)),Y191+Z189,IF(Z188=ROUNDDOWN(($C190+($D190+$C191-1)/12),0),(Z189+Y191)/$C191*($D191+(Z188-$C190-1)*12+$E191),IF(Z188&gt;ROUNDDOWN(($C190+($D190+$C191)/12),0),0,0)))))))</f>
        <v/>
      </c>
      <c r="AA190" s="114" t="str">
        <f t="shared" ref="AA190" ca="1" si="554">IF(AA188="","",IF(AA188&lt;$C190,0,IF(AA188=$C190,AA189/$C191*$E191+Z191/$C191*$E191,IF(AND(AA188&gt;$C190,AA188&lt;ROUNDDOWN(($C190+($D190+$C191-1)/12),0)),(AA189/2+Z191)/($C191-$E191-12*(AA188-$C190-1))*12,IF(AND($D191&lt;0,AA188=ROUNDDOWN(($C190+($D190+$C191-1)/12),0)),Z191+AA189,IF(AA188=ROUNDDOWN(($C190+($D190+$C191-1)/12),0),(AA189+Z191)/$C191*($D191+(AA188-$C190-1)*12+$E191),IF(AA188&gt;ROUNDDOWN(($C190+($D190+$C191)/12),0),0,0)))))))</f>
        <v/>
      </c>
      <c r="AB190" s="114" t="str">
        <f t="shared" ref="AB190" ca="1" si="555">IF(AB188="","",IF(AB188&lt;$C190,0,IF(AB188=$C190,AB189/$C191*$E191+AA191/$C191*$E191,IF(AND(AB188&gt;$C190,AB188&lt;ROUNDDOWN(($C190+($D190+$C191-1)/12),0)),(AB189/2+AA191)/($C191-$E191-12*(AB188-$C190-1))*12,IF(AND($D191&lt;0,AB188=ROUNDDOWN(($C190+($D190+$C191-1)/12),0)),AA191+AB189,IF(AB188=ROUNDDOWN(($C190+($D190+$C191-1)/12),0),(AB189+AA191)/$C191*($D191+(AB188-$C190-1)*12+$E191),IF(AB188&gt;ROUNDDOWN(($C190+($D190+$C191)/12),0),0,0)))))))</f>
        <v/>
      </c>
      <c r="AC190" s="114" t="str">
        <f t="shared" ref="AC190" ca="1" si="556">IF(AC188="","",IF(AC188&lt;$C190,0,IF(AC188=$C190,AC189/$C191*$E191+AB191/$C191*$E191,IF(AND(AC188&gt;$C190,AC188&lt;ROUNDDOWN(($C190+($D190+$C191-1)/12),0)),(AC189/2+AB191)/($C191-$E191-12*(AC188-$C190-1))*12,IF(AND($D191&lt;0,AC188=ROUNDDOWN(($C190+($D190+$C191-1)/12),0)),AB191+AC189,IF(AC188=ROUNDDOWN(($C190+($D190+$C191-1)/12),0),(AC189+AB191)/$C191*($D191+(AC188-$C190-1)*12+$E191),IF(AC188&gt;ROUNDDOWN(($C190+($D190+$C191)/12),0),0,0)))))))</f>
        <v/>
      </c>
      <c r="AD190" s="114" t="str">
        <f t="shared" ref="AD190" ca="1" si="557">IF(AD188="","",IF(AD188&lt;$C190,0,IF(AD188=$C190,AD189/$C191*$E191+AC191/$C191*$E191,IF(AND(AD188&gt;$C190,AD188&lt;ROUNDDOWN(($C190+($D190+$C191-1)/12),0)),(AD189/2+AC191)/($C191-$E191-12*(AD188-$C190-1))*12,IF(AND($D191&lt;0,AD188=ROUNDDOWN(($C190+($D190+$C191-1)/12),0)),AC191+AD189,IF(AD188=ROUNDDOWN(($C190+($D190+$C191-1)/12),0),(AD189+AC191)/$C191*($D191+(AD188-$C190-1)*12+$E191),IF(AD188&gt;ROUNDDOWN(($C190+($D190+$C191)/12),0),0,0)))))))</f>
        <v/>
      </c>
      <c r="AE190" s="114" t="str">
        <f t="shared" ref="AE190" ca="1" si="558">IF(AE188="","",IF(AE188&lt;$C190,0,IF(AE188=$C190,AE189/$C191*$E191+AD191/$C191*$E191,IF(AND(AE188&gt;$C190,AE188&lt;ROUNDDOWN(($C190+($D190+$C191-1)/12),0)),(AE189/2+AD191)/($C191-$E191-12*(AE188-$C190-1))*12,IF(AND($D191&lt;0,AE188=ROUNDDOWN(($C190+($D190+$C191-1)/12),0)),AD191+AE189,IF(AE188=ROUNDDOWN(($C190+($D190+$C191-1)/12),0),(AE189+AD191)/$C191*($D191+(AE188-$C190-1)*12+$E191),IF(AE188&gt;ROUNDDOWN(($C190+($D190+$C191)/12),0),0,0)))))))</f>
        <v/>
      </c>
      <c r="AF190" s="114" t="str">
        <f t="shared" ref="AF190" ca="1" si="559">IF(AF188="","",IF(AF188&lt;$C190,0,IF(AF188=$C190,AF189/$C191*$E191+AE191/$C191*$E191,IF(AND(AF188&gt;$C190,AF188&lt;ROUNDDOWN(($C190+($D190+$C191-1)/12),0)),(AF189/2+AE191)/($C191-$E191-12*(AF188-$C190-1))*12,IF(AND($D191&lt;0,AF188=ROUNDDOWN(($C190+($D190+$C191-1)/12),0)),AE191+AF189,IF(AF188=ROUNDDOWN(($C190+($D190+$C191-1)/12),0),(AF189+AE191)/$C191*($D191+(AF188-$C190-1)*12+$E191),IF(AF188&gt;ROUNDDOWN(($C190+($D190+$C191)/12),0),0,0)))))))</f>
        <v/>
      </c>
      <c r="AG190" s="114" t="str">
        <f t="shared" ref="AG190" ca="1" si="560">IF(AG188="","",IF(AG188&lt;$C190,0,IF(AG188=$C190,AG189/$C191*$E191+AF191/$C191*$E191,IF(AND(AG188&gt;$C190,AG188&lt;ROUNDDOWN(($C190+($D190+$C191-1)/12),0)),(AG189/2+AF191)/($C191-$E191-12*(AG188-$C190-1))*12,IF(AND($D191&lt;0,AG188=ROUNDDOWN(($C190+($D190+$C191-1)/12),0)),AF191+AG189,IF(AG188=ROUNDDOWN(($C190+($D190+$C191-1)/12),0),(AG189+AF191)/$C191*($D191+(AG188-$C190-1)*12+$E191),IF(AG188&gt;ROUNDDOWN(($C190+($D190+$C191)/12),0),0,0)))))))</f>
        <v/>
      </c>
      <c r="AH190" s="114" t="str">
        <f t="shared" ref="AH190" ca="1" si="561">IF(AH188="","",IF(AH188&lt;$C190,0,IF(AH188=$C190,AH189/$C191*$E191+AG191/$C191*$E191,IF(AND(AH188&gt;$C190,AH188&lt;ROUNDDOWN(($C190+($D190+$C191-1)/12),0)),(AH189/2+AG191)/($C191-$E191-12*(AH188-$C190-1))*12,IF(AND($D191&lt;0,AH188=ROUNDDOWN(($C190+($D190+$C191-1)/12),0)),AG191+AH189,IF(AH188=ROUNDDOWN(($C190+($D190+$C191-1)/12),0),(AH189+AG191)/$C191*($D191+(AH188-$C190-1)*12+$E191),IF(AH188&gt;ROUNDDOWN(($C190+($D190+$C191)/12),0),0,0)))))))</f>
        <v/>
      </c>
      <c r="AI190" s="114" t="str">
        <f t="shared" ref="AI190" ca="1" si="562">IF(AI188="","",IF(AI188&lt;$C190,0,IF(AI188=$C190,AI189/$C191*$E191+AH191/$C191*$E191,IF(AND(AI188&gt;$C190,AI188&lt;ROUNDDOWN(($C190+($D190+$C191-1)/12),0)),(AI189/2+AH191)/($C191-$E191-12*(AI188-$C190-1))*12,IF(AND($D191&lt;0,AI188=ROUNDDOWN(($C190+($D190+$C191-1)/12),0)),AH191+AI189,IF(AI188=ROUNDDOWN(($C190+($D190+$C191-1)/12),0),(AI189+AH191)/$C191*($D191+(AI188-$C190-1)*12+$E191),IF(AI188&gt;ROUNDDOWN(($C190+($D190+$C191)/12),0),0,0)))))))</f>
        <v/>
      </c>
      <c r="AJ190" s="114" t="str">
        <f t="shared" ref="AJ190" ca="1" si="563">IF(AJ188="","",IF(AJ188&lt;$C190,0,IF(AJ188=$C190,AJ189/$C191*$E191+AI191/$C191*$E191,IF(AND(AJ188&gt;$C190,AJ188&lt;ROUNDDOWN(($C190+($D190+$C191-1)/12),0)),(AJ189/2+AI191)/($C191-$E191-12*(AJ188-$C190-1))*12,IF(AND($D191&lt;0,AJ188=ROUNDDOWN(($C190+($D190+$C191-1)/12),0)),AI191+AJ189,IF(AJ188=ROUNDDOWN(($C190+($D190+$C191-1)/12),0),(AJ189+AI191)/$C191*($D191+(AJ188-$C190-1)*12+$E191),IF(AJ188&gt;ROUNDDOWN(($C190+($D190+$C191)/12),0),0,0)))))))</f>
        <v/>
      </c>
      <c r="AK190" s="114" t="str">
        <f t="shared" ref="AK190" ca="1" si="564">IF(AK188="","",IF(AK188&lt;$C190,0,IF(AK188=$C190,AK189/$C191*$E191+AJ191/$C191*$E191,IF(AND(AK188&gt;$C190,AK188&lt;ROUNDDOWN(($C190+($D190+$C191-1)/12),0)),(AK189/2+AJ191)/($C191-$E191-12*(AK188-$C190-1))*12,IF(AND($D191&lt;0,AK188=ROUNDDOWN(($C190+($D190+$C191-1)/12),0)),AJ191+AK189,IF(AK188=ROUNDDOWN(($C190+($D190+$C191-1)/12),0),(AK189+AJ191)/$C191*($D191+(AK188-$C190-1)*12+$E191),IF(AK188&gt;ROUNDDOWN(($C190+($D190+$C191)/12),0),0,0)))))))</f>
        <v/>
      </c>
      <c r="AL190" s="114" t="str">
        <f t="shared" ref="AL190" ca="1" si="565">IF(AL188="","",IF(AL188&lt;$C190,0,IF(AL188=$C190,AL189/$C191*$E191+AK191/$C191*$E191,IF(AND(AL188&gt;$C190,AL188&lt;ROUNDDOWN(($C190+($D190+$C191-1)/12),0)),(AL189/2+AK191)/($C191-$E191-12*(AL188-$C190-1))*12,IF(AND($D191&lt;0,AL188=ROUNDDOWN(($C190+($D190+$C191-1)/12),0)),AK191+AL189,IF(AL188=ROUNDDOWN(($C190+($D190+$C191-1)/12),0),(AL189+AK191)/$C191*($D191+(AL188-$C190-1)*12+$E191),IF(AL188&gt;ROUNDDOWN(($C190+($D190+$C191)/12),0),0,0)))))))</f>
        <v/>
      </c>
      <c r="AM190" s="114" t="str">
        <f t="shared" ref="AM190" ca="1" si="566">IF(AM188="","",IF(AM188&lt;$C190,0,IF(AM188=$C190,AM189/$C191*$E191+AL191/$C191*$E191,IF(AND(AM188&gt;$C190,AM188&lt;ROUNDDOWN(($C190+($D190+$C191-1)/12),0)),(AM189/2+AL191)/($C191-$E191-12*(AM188-$C190-1))*12,IF(AND($D191&lt;0,AM188=ROUNDDOWN(($C190+($D190+$C191-1)/12),0)),AL191+AM189,IF(AM188=ROUNDDOWN(($C190+($D190+$C191-1)/12),0),(AM189+AL191)/$C191*($D191+(AM188-$C190-1)*12+$E191),IF(AM188&gt;ROUNDDOWN(($C190+($D190+$C191)/12),0),0,0)))))))</f>
        <v/>
      </c>
      <c r="AN190" s="114" t="str">
        <f t="shared" ref="AN190" ca="1" si="567">IF(AN188="","",IF(AN188&lt;$C190,0,IF(AN188=$C190,AN189/$C191*$E191+AM191/$C191*$E191,IF(AND(AN188&gt;$C190,AN188&lt;ROUNDDOWN(($C190+($D190+$C191-1)/12),0)),(AN189/2+AM191)/($C191-$E191-12*(AN188-$C190-1))*12,IF(AND($D191&lt;0,AN188=ROUNDDOWN(($C190+($D190+$C191-1)/12),0)),AM191+AN189,IF(AN188=ROUNDDOWN(($C190+($D190+$C191-1)/12),0),(AN189+AM191)/$C191*($D191+(AN188-$C190-1)*12+$E191),IF(AN188&gt;ROUNDDOWN(($C190+($D190+$C191)/12),0),0,0)))))))</f>
        <v/>
      </c>
      <c r="AO190" s="114" t="str">
        <f t="shared" ref="AO190" ca="1" si="568">IF(AO188="","",IF(AO188&lt;$C190,0,IF(AO188=$C190,AO189/$C191*$E191+AN191/$C191*$E191,IF(AND(AO188&gt;$C190,AO188&lt;ROUNDDOWN(($C190+($D190+$C191-1)/12),0)),(AO189/2+AN191)/($C191-$E191-12*(AO188-$C190-1))*12,IF(AND($D191&lt;0,AO188=ROUNDDOWN(($C190+($D190+$C191-1)/12),0)),AN191+AO189,IF(AO188=ROUNDDOWN(($C190+($D190+$C191-1)/12),0),(AO189+AN191)/$C191*($D191+(AO188-$C190-1)*12+$E191),IF(AO188&gt;ROUNDDOWN(($C190+($D190+$C191)/12),0),0,0)))))))</f>
        <v/>
      </c>
      <c r="AP190" s="114" t="str">
        <f t="shared" ref="AP190" ca="1" si="569">IF(AP188="","",IF(AP188&lt;$C190,0,IF(AP188=$C190,AP189/$C191*$E191+AO191/$C191*$E191,IF(AND(AP188&gt;$C190,AP188&lt;ROUNDDOWN(($C190+($D190+$C191-1)/12),0)),(AP189/2+AO191)/($C191-$E191-12*(AP188-$C190-1))*12,IF(AND($D191&lt;0,AP188=ROUNDDOWN(($C190+($D190+$C191-1)/12),0)),AO191+AP189,IF(AP188=ROUNDDOWN(($C190+($D190+$C191-1)/12),0),(AP189+AO191)/$C191*($D191+(AP188-$C190-1)*12+$E191),IF(AP188&gt;ROUNDDOWN(($C190+($D190+$C191)/12),0),0,0)))))))</f>
        <v/>
      </c>
      <c r="AQ190" s="114" t="str">
        <f t="shared" ref="AQ190" ca="1" si="570">IF(AQ188="","",IF(AQ188&lt;$C190,0,IF(AQ188=$C190,AQ189/$C191*$E191+AP191/$C191*$E191,IF(AND(AQ188&gt;$C190,AQ188&lt;ROUNDDOWN(($C190+($D190+$C191-1)/12),0)),(AQ189/2+AP191)/($C191-$E191-12*(AQ188-$C190-1))*12,IF(AND($D191&lt;0,AQ188=ROUNDDOWN(($C190+($D190+$C191-1)/12),0)),AP191+AQ189,IF(AQ188=ROUNDDOWN(($C190+($D190+$C191-1)/12),0),(AQ189+AP191)/$C191*($D191+(AQ188-$C190-1)*12+$E191),IF(AQ188&gt;ROUNDDOWN(($C190+($D190+$C191)/12),0),0,0)))))))</f>
        <v/>
      </c>
      <c r="AR190" s="114" t="str">
        <f t="shared" ref="AR190" ca="1" si="571">IF(AR188="","",IF(AR188&lt;$C190,0,IF(AR188=$C190,AR189/$C191*$E191+AQ191/$C191*$E191,IF(AND(AR188&gt;$C190,AR188&lt;ROUNDDOWN(($C190+($D190+$C191-1)/12),0)),(AR189/2+AQ191)/($C191-$E191-12*(AR188-$C190-1))*12,IF(AND($D191&lt;0,AR188=ROUNDDOWN(($C190+($D190+$C191-1)/12),0)),AQ191+AR189,IF(AR188=ROUNDDOWN(($C190+($D190+$C191-1)/12),0),(AR189+AQ191)/$C191*($D191+(AR188-$C190-1)*12+$E191),IF(AR188&gt;ROUNDDOWN(($C190+($D190+$C191)/12),0),0,0)))))))</f>
        <v/>
      </c>
      <c r="AS190" s="114" t="str">
        <f t="shared" ref="AS190" ca="1" si="572">IF(AS188="","",IF(AS188&lt;$C190,0,IF(AS188=$C190,AS189/$C191*$E191+AR191/$C191*$E191,IF(AND(AS188&gt;$C190,AS188&lt;ROUNDDOWN(($C190+($D190+$C191-1)/12),0)),(AS189/2+AR191)/($C191-$E191-12*(AS188-$C190-1))*12,IF(AND($D191&lt;0,AS188=ROUNDDOWN(($C190+($D190+$C191-1)/12),0)),AR191+AS189,IF(AS188=ROUNDDOWN(($C190+($D190+$C191-1)/12),0),(AS189+AR191)/$C191*($D191+(AS188-$C190-1)*12+$E191),IF(AS188&gt;ROUNDDOWN(($C190+($D190+$C191)/12),0),0,0)))))))</f>
        <v/>
      </c>
      <c r="AT190" s="114" t="str">
        <f t="shared" ref="AT190" ca="1" si="573">IF(AT188="","",IF(AT188&lt;$C190,0,IF(AT188=$C190,AT189/$C191*$E191+AS191/$C191*$E191,IF(AND(AT188&gt;$C190,AT188&lt;ROUNDDOWN(($C190+($D190+$C191-1)/12),0)),(AT189/2+AS191)/($C191-$E191-12*(AT188-$C190-1))*12,IF(AND($D191&lt;0,AT188=ROUNDDOWN(($C190+($D190+$C191-1)/12),0)),AS191+AT189,IF(AT188=ROUNDDOWN(($C190+($D190+$C191-1)/12),0),(AT189+AS191)/$C191*($D191+(AT188-$C190-1)*12+$E191),IF(AT188&gt;ROUNDDOWN(($C190+($D190+$C191)/12),0),0,0)))))))</f>
        <v/>
      </c>
      <c r="AU190" s="114" t="str">
        <f t="shared" ref="AU190" ca="1" si="574">IF(AU188="","",IF(AU188&lt;$C190,0,IF(AU188=$C190,AU189/$C191*$E191+AT191/$C191*$E191,IF(AND(AU188&gt;$C190,AU188&lt;ROUNDDOWN(($C190+($D190+$C191-1)/12),0)),(AU189/2+AT191)/($C191-$E191-12*(AU188-$C190-1))*12,IF(AND($D191&lt;0,AU188=ROUNDDOWN(($C190+($D190+$C191-1)/12),0)),AT191+AU189,IF(AU188=ROUNDDOWN(($C190+($D190+$C191-1)/12),0),(AU189+AT191)/$C191*($D191+(AU188-$C190-1)*12+$E191),IF(AU188&gt;ROUNDDOWN(($C190+($D190+$C191)/12),0),0,0)))))))</f>
        <v/>
      </c>
      <c r="AV190" s="114" t="str">
        <f t="shared" ref="AV190" ca="1" si="575">IF(AV188="","",IF(AV188&lt;$C190,0,IF(AV188=$C190,AV189/$C191*$E191+AU191/$C191*$E191,IF(AND(AV188&gt;$C190,AV188&lt;ROUNDDOWN(($C190+($D190+$C191-1)/12),0)),(AV189/2+AU191)/($C191-$E191-12*(AV188-$C190-1))*12,IF(AND($D191&lt;0,AV188=ROUNDDOWN(($C190+($D190+$C191-1)/12),0)),AU191+AV189,IF(AV188=ROUNDDOWN(($C190+($D190+$C191-1)/12),0),(AV189+AU191)/$C191*($D191+(AV188-$C190-1)*12+$E191),IF(AV188&gt;ROUNDDOWN(($C190+($D190+$C191)/12),0),0,0)))))))</f>
        <v/>
      </c>
      <c r="AW190" s="114" t="str">
        <f t="shared" ref="AW190" ca="1" si="576">IF(AW188="","",IF(AW188&lt;$C190,0,IF(AW188=$C190,AW189/$C191*$E191+AV191/$C191*$E191,IF(AND(AW188&gt;$C190,AW188&lt;ROUNDDOWN(($C190+($D190+$C191-1)/12),0)),(AW189/2+AV191)/($C191-$E191-12*(AW188-$C190-1))*12,IF(AND($D191&lt;0,AW188=ROUNDDOWN(($C190+($D190+$C191-1)/12),0)),AV191+AW189,IF(AW188=ROUNDDOWN(($C190+($D190+$C191-1)/12),0),(AW189+AV191)/$C191*($D191+(AW188-$C190-1)*12+$E191),IF(AW188&gt;ROUNDDOWN(($C190+($D190+$C191)/12),0),0,0)))))))</f>
        <v/>
      </c>
      <c r="AX190" s="90"/>
      <c r="AY190" s="90"/>
      <c r="AZ190" s="87"/>
    </row>
    <row r="191" spans="3:52" ht="12.75" hidden="1" customHeight="1" outlineLevel="1" x14ac:dyDescent="0.2">
      <c r="C191" s="128">
        <f>ROUNDUP((E190-ROUNDDOWN(E190,0))*12,0)+ROUNDDOWN(E190,0)*12</f>
        <v>0</v>
      </c>
      <c r="D191" s="128">
        <f>C191-E191-ROUNDDOWN(E190,0)*12</f>
        <v>-12</v>
      </c>
      <c r="E191" s="128">
        <f>13-MONTH(C189)</f>
        <v>12</v>
      </c>
      <c r="N191" s="85"/>
      <c r="O191" s="90"/>
      <c r="P191" s="90"/>
      <c r="Q191" s="115" t="str">
        <f>INDEX(g_lang_val,MATCH("tb_2_4_3",g_lang_key,0))</f>
        <v>FF4-gæld, ultimo året</v>
      </c>
      <c r="R191" s="116"/>
      <c r="S191" s="119"/>
      <c r="T191" s="114">
        <f t="shared" ref="T191" ca="1" si="577">IF(T188="","",S191+T189-T190)</f>
        <v>0</v>
      </c>
      <c r="U191" s="114">
        <f t="shared" ref="U191" ca="1" si="578">IF(U188="","",T191+U189-U190)</f>
        <v>0</v>
      </c>
      <c r="V191" s="114">
        <f t="shared" ref="V191" ca="1" si="579">IF(V188="","",U191+V189-V190)</f>
        <v>0</v>
      </c>
      <c r="W191" s="114">
        <f t="shared" ref="W191" ca="1" si="580">IF(W188="","",V191+W189-W190)</f>
        <v>0</v>
      </c>
      <c r="X191" s="114" t="str">
        <f t="shared" ref="X191" ca="1" si="581">IF(X188="","",W191+X189-X190)</f>
        <v/>
      </c>
      <c r="Y191" s="114" t="str">
        <f t="shared" ref="Y191" ca="1" si="582">IF(Y188="","",X191+Y189-Y190)</f>
        <v/>
      </c>
      <c r="Z191" s="114" t="str">
        <f t="shared" ref="Z191" ca="1" si="583">IF(Z188="","",Y191+Z189-Z190)</f>
        <v/>
      </c>
      <c r="AA191" s="114" t="str">
        <f t="shared" ref="AA191" ca="1" si="584">IF(AA188="","",Z191+AA189-AA190)</f>
        <v/>
      </c>
      <c r="AB191" s="114" t="str">
        <f t="shared" ref="AB191" ca="1" si="585">IF(AB188="","",AA191+AB189-AB190)</f>
        <v/>
      </c>
      <c r="AC191" s="114" t="str">
        <f t="shared" ref="AC191" ca="1" si="586">IF(AC188="","",AB191+AC189-AC190)</f>
        <v/>
      </c>
      <c r="AD191" s="114" t="str">
        <f t="shared" ref="AD191" ca="1" si="587">IF(AD188="","",AC191+AD189-AD190)</f>
        <v/>
      </c>
      <c r="AE191" s="114" t="str">
        <f t="shared" ref="AE191" ca="1" si="588">IF(AE188="","",AD191+AE189-AE190)</f>
        <v/>
      </c>
      <c r="AF191" s="114" t="str">
        <f t="shared" ref="AF191" ca="1" si="589">IF(AF188="","",AE191+AF189-AF190)</f>
        <v/>
      </c>
      <c r="AG191" s="114" t="str">
        <f t="shared" ref="AG191" ca="1" si="590">IF(AG188="","",AF191+AG189-AG190)</f>
        <v/>
      </c>
      <c r="AH191" s="114" t="str">
        <f t="shared" ref="AH191" ca="1" si="591">IF(AH188="","",AG191+AH189-AH190)</f>
        <v/>
      </c>
      <c r="AI191" s="114" t="str">
        <f t="shared" ref="AI191" ca="1" si="592">IF(AI188="","",AH191+AI189-AI190)</f>
        <v/>
      </c>
      <c r="AJ191" s="114" t="str">
        <f t="shared" ref="AJ191" ca="1" si="593">IF(AJ188="","",AI191+AJ189-AJ190)</f>
        <v/>
      </c>
      <c r="AK191" s="114" t="str">
        <f t="shared" ref="AK191" ca="1" si="594">IF(AK188="","",AJ191+AK189-AK190)</f>
        <v/>
      </c>
      <c r="AL191" s="114" t="str">
        <f t="shared" ref="AL191" ca="1" si="595">IF(AL188="","",AK191+AL189-AL190)</f>
        <v/>
      </c>
      <c r="AM191" s="114" t="str">
        <f t="shared" ref="AM191" ca="1" si="596">IF(AM188="","",AL191+AM189-AM190)</f>
        <v/>
      </c>
      <c r="AN191" s="114" t="str">
        <f t="shared" ref="AN191" ca="1" si="597">IF(AN188="","",AM191+AN189-AN190)</f>
        <v/>
      </c>
      <c r="AO191" s="114" t="str">
        <f t="shared" ref="AO191" ca="1" si="598">IF(AO188="","",AN191+AO189-AO190)</f>
        <v/>
      </c>
      <c r="AP191" s="114" t="str">
        <f t="shared" ref="AP191" ca="1" si="599">IF(AP188="","",AO191+AP189-AP190)</f>
        <v/>
      </c>
      <c r="AQ191" s="114" t="str">
        <f t="shared" ref="AQ191" ca="1" si="600">IF(AQ188="","",AP191+AQ189-AQ190)</f>
        <v/>
      </c>
      <c r="AR191" s="114" t="str">
        <f t="shared" ref="AR191" ca="1" si="601">IF(AR188="","",AQ191+AR189-AR190)</f>
        <v/>
      </c>
      <c r="AS191" s="114" t="str">
        <f t="shared" ref="AS191" ca="1" si="602">IF(AS188="","",AR191+AS189-AS190)</f>
        <v/>
      </c>
      <c r="AT191" s="114" t="str">
        <f t="shared" ref="AT191" ca="1" si="603">IF(AT188="","",AS191+AT189-AT190)</f>
        <v/>
      </c>
      <c r="AU191" s="114" t="str">
        <f t="shared" ref="AU191" ca="1" si="604">IF(AU188="","",AT191+AU189-AU190)</f>
        <v/>
      </c>
      <c r="AV191" s="114" t="str">
        <f t="shared" ref="AV191" ca="1" si="605">IF(AV188="","",AU191+AV189-AV190)</f>
        <v/>
      </c>
      <c r="AW191" s="114" t="str">
        <f t="shared" ref="AW191" ca="1" si="606">IF(AW188="","",AV191+AW189-AW190)</f>
        <v/>
      </c>
      <c r="AX191" s="90"/>
      <c r="AY191" s="90"/>
      <c r="AZ191" s="87"/>
    </row>
    <row r="192" spans="3:52" ht="12.75" hidden="1" customHeight="1" outlineLevel="1" x14ac:dyDescent="0.2">
      <c r="N192" s="85"/>
      <c r="O192" s="90"/>
      <c r="P192" s="90"/>
      <c r="Q192" s="115" t="str">
        <f>INDEX(g_lang_val,MATCH("tb_2_4_4",g_lang_key,0))</f>
        <v>Renter (FF4)</v>
      </c>
      <c r="R192" s="116"/>
      <c r="S192" s="119">
        <f ca="1">SUM(T192:BG192)</f>
        <v>0</v>
      </c>
      <c r="T192" s="114">
        <f t="shared" ref="T192" ca="1" si="607">IF(T188="","",g_interest_FF4*(S191+(T189/2)-(T190/2)))</f>
        <v>0</v>
      </c>
      <c r="U192" s="114">
        <f t="shared" ref="U192" ca="1" si="608">IF(U188="","",g_interest_FF4*(T191+(U189/2)-(U190/2)))</f>
        <v>0</v>
      </c>
      <c r="V192" s="114">
        <f t="shared" ref="V192" ca="1" si="609">IF(V188="","",g_interest_FF4*(U191+(V189/2)-(V190/2)))</f>
        <v>0</v>
      </c>
      <c r="W192" s="114">
        <f t="shared" ref="W192" ca="1" si="610">IF(W188="","",g_interest_FF4*(V191+(W189/2)-(W190/2)))</f>
        <v>0</v>
      </c>
      <c r="X192" s="114" t="str">
        <f t="shared" ref="X192" ca="1" si="611">IF(X188="","",g_interest_FF4*(W191+(X189/2)-(X190/2)))</f>
        <v/>
      </c>
      <c r="Y192" s="114" t="str">
        <f t="shared" ref="Y192" ca="1" si="612">IF(Y188="","",g_interest_FF4*(X191+(Y189/2)-(Y190/2)))</f>
        <v/>
      </c>
      <c r="Z192" s="114" t="str">
        <f t="shared" ref="Z192" ca="1" si="613">IF(Z188="","",g_interest_FF4*(Y191+(Z189/2)-(Z190/2)))</f>
        <v/>
      </c>
      <c r="AA192" s="114" t="str">
        <f t="shared" ref="AA192" ca="1" si="614">IF(AA188="","",g_interest_FF4*(Z191+(AA189/2)-(AA190/2)))</f>
        <v/>
      </c>
      <c r="AB192" s="114" t="str">
        <f t="shared" ref="AB192" ca="1" si="615">IF(AB188="","",g_interest_FF4*(AA191+(AB189/2)-(AB190/2)))</f>
        <v/>
      </c>
      <c r="AC192" s="114" t="str">
        <f t="shared" ref="AC192" ca="1" si="616">IF(AC188="","",g_interest_FF4*(AB191+(AC189/2)-(AC190/2)))</f>
        <v/>
      </c>
      <c r="AD192" s="114" t="str">
        <f t="shared" ref="AD192" ca="1" si="617">IF(AD188="","",g_interest_FF4*(AC191+(AD189/2)-(AD190/2)))</f>
        <v/>
      </c>
      <c r="AE192" s="114" t="str">
        <f t="shared" ref="AE192" ca="1" si="618">IF(AE188="","",g_interest_FF4*(AD191+(AE189/2)-(AE190/2)))</f>
        <v/>
      </c>
      <c r="AF192" s="114" t="str">
        <f t="shared" ref="AF192" ca="1" si="619">IF(AF188="","",g_interest_FF4*(AE191+(AF189/2)-(AF190/2)))</f>
        <v/>
      </c>
      <c r="AG192" s="114" t="str">
        <f t="shared" ref="AG192" ca="1" si="620">IF(AG188="","",g_interest_FF4*(AF191+(AG189/2)-(AG190/2)))</f>
        <v/>
      </c>
      <c r="AH192" s="114" t="str">
        <f t="shared" ref="AH192" ca="1" si="621">IF(AH188="","",g_interest_FF4*(AG191+(AH189/2)-(AH190/2)))</f>
        <v/>
      </c>
      <c r="AI192" s="114" t="str">
        <f t="shared" ref="AI192" ca="1" si="622">IF(AI188="","",g_interest_FF4*(AH191+(AI189/2)-(AI190/2)))</f>
        <v/>
      </c>
      <c r="AJ192" s="114" t="str">
        <f t="shared" ref="AJ192" ca="1" si="623">IF(AJ188="","",g_interest_FF4*(AI191+(AJ189/2)-(AJ190/2)))</f>
        <v/>
      </c>
      <c r="AK192" s="114" t="str">
        <f t="shared" ref="AK192" ca="1" si="624">IF(AK188="","",g_interest_FF4*(AJ191+(AK189/2)-(AK190/2)))</f>
        <v/>
      </c>
      <c r="AL192" s="114" t="str">
        <f t="shared" ref="AL192" ca="1" si="625">IF(AL188="","",g_interest_FF4*(AK191+(AL189/2)-(AL190/2)))</f>
        <v/>
      </c>
      <c r="AM192" s="114" t="str">
        <f t="shared" ref="AM192" ca="1" si="626">IF(AM188="","",g_interest_FF4*(AL191+(AM189/2)-(AM190/2)))</f>
        <v/>
      </c>
      <c r="AN192" s="114" t="str">
        <f t="shared" ref="AN192" ca="1" si="627">IF(AN188="","",g_interest_FF4*(AM191+(AN189/2)-(AN190/2)))</f>
        <v/>
      </c>
      <c r="AO192" s="114" t="str">
        <f t="shared" ref="AO192" ca="1" si="628">IF(AO188="","",g_interest_FF4*(AN191+(AO189/2)-(AO190/2)))</f>
        <v/>
      </c>
      <c r="AP192" s="114" t="str">
        <f t="shared" ref="AP192" ca="1" si="629">IF(AP188="","",g_interest_FF4*(AO191+(AP189/2)-(AP190/2)))</f>
        <v/>
      </c>
      <c r="AQ192" s="114" t="str">
        <f t="shared" ref="AQ192" ca="1" si="630">IF(AQ188="","",g_interest_FF4*(AP191+(AQ189/2)-(AQ190/2)))</f>
        <v/>
      </c>
      <c r="AR192" s="114" t="str">
        <f t="shared" ref="AR192" ca="1" si="631">IF(AR188="","",g_interest_FF4*(AQ191+(AR189/2)-(AR190/2)))</f>
        <v/>
      </c>
      <c r="AS192" s="114" t="str">
        <f t="shared" ref="AS192" ca="1" si="632">IF(AS188="","",g_interest_FF4*(AR191+(AS189/2)-(AS190/2)))</f>
        <v/>
      </c>
      <c r="AT192" s="114" t="str">
        <f t="shared" ref="AT192" ca="1" si="633">IF(AT188="","",g_interest_FF4*(AS191+(AT189/2)-(AT190/2)))</f>
        <v/>
      </c>
      <c r="AU192" s="114" t="str">
        <f t="shared" ref="AU192" ca="1" si="634">IF(AU188="","",g_interest_FF4*(AT191+(AU189/2)-(AU190/2)))</f>
        <v/>
      </c>
      <c r="AV192" s="114" t="str">
        <f t="shared" ref="AV192" ca="1" si="635">IF(AV188="","",g_interest_FF4*(AU191+(AV189/2)-(AV190/2)))</f>
        <v/>
      </c>
      <c r="AW192" s="114" t="str">
        <f t="shared" ref="AW192" ca="1" si="636">IF(AW188="","",g_interest_FF4*(AV191+(AW189/2)-(AW190/2)))</f>
        <v/>
      </c>
      <c r="AX192" s="90"/>
      <c r="AY192" s="90"/>
      <c r="AZ192" s="87"/>
    </row>
    <row r="193" spans="3:52" ht="12.75" hidden="1" customHeight="1" outlineLevel="1" x14ac:dyDescent="0.2">
      <c r="N193" s="85"/>
      <c r="O193" s="90"/>
      <c r="P193" s="90"/>
      <c r="Q193" s="118" t="str">
        <f>INDEX(g_assets_sc_1,10)</f>
        <v/>
      </c>
      <c r="R193" s="118"/>
      <c r="S193" s="113"/>
      <c r="T193" s="125">
        <f ca="1">T$157</f>
        <v>2026</v>
      </c>
      <c r="U193" s="125">
        <f t="shared" ref="U193:AF193" ca="1" si="637">U$157</f>
        <v>2027</v>
      </c>
      <c r="V193" s="125">
        <f t="shared" ca="1" si="637"/>
        <v>2028</v>
      </c>
      <c r="W193" s="125">
        <f t="shared" ca="1" si="637"/>
        <v>2029</v>
      </c>
      <c r="X193" s="125" t="str">
        <f t="shared" ca="1" si="637"/>
        <v/>
      </c>
      <c r="Y193" s="125" t="str">
        <f t="shared" ca="1" si="637"/>
        <v/>
      </c>
      <c r="Z193" s="125" t="str">
        <f t="shared" ca="1" si="637"/>
        <v/>
      </c>
      <c r="AA193" s="125" t="str">
        <f t="shared" ca="1" si="637"/>
        <v/>
      </c>
      <c r="AB193" s="125" t="str">
        <f t="shared" ca="1" si="637"/>
        <v/>
      </c>
      <c r="AC193" s="125" t="str">
        <f t="shared" ca="1" si="637"/>
        <v/>
      </c>
      <c r="AD193" s="125" t="str">
        <f t="shared" ca="1" si="637"/>
        <v/>
      </c>
      <c r="AE193" s="125" t="str">
        <f t="shared" ca="1" si="637"/>
        <v/>
      </c>
      <c r="AF193" s="125" t="str">
        <f t="shared" ca="1" si="637"/>
        <v/>
      </c>
      <c r="AG193" s="125" t="str">
        <f t="shared" ref="AG193:AW193" ca="1" si="638">AG$157</f>
        <v/>
      </c>
      <c r="AH193" s="125" t="str">
        <f t="shared" ca="1" si="638"/>
        <v/>
      </c>
      <c r="AI193" s="125" t="str">
        <f t="shared" ca="1" si="638"/>
        <v/>
      </c>
      <c r="AJ193" s="125" t="str">
        <f t="shared" ca="1" si="638"/>
        <v/>
      </c>
      <c r="AK193" s="125" t="str">
        <f t="shared" ca="1" si="638"/>
        <v/>
      </c>
      <c r="AL193" s="125" t="str">
        <f t="shared" ca="1" si="638"/>
        <v/>
      </c>
      <c r="AM193" s="125" t="str">
        <f t="shared" ca="1" si="638"/>
        <v/>
      </c>
      <c r="AN193" s="125" t="str">
        <f t="shared" ca="1" si="638"/>
        <v/>
      </c>
      <c r="AO193" s="125" t="str">
        <f t="shared" ca="1" si="638"/>
        <v/>
      </c>
      <c r="AP193" s="125" t="str">
        <f t="shared" ca="1" si="638"/>
        <v/>
      </c>
      <c r="AQ193" s="125" t="str">
        <f t="shared" ca="1" si="638"/>
        <v/>
      </c>
      <c r="AR193" s="125" t="str">
        <f t="shared" ca="1" si="638"/>
        <v/>
      </c>
      <c r="AS193" s="125" t="str">
        <f t="shared" ca="1" si="638"/>
        <v/>
      </c>
      <c r="AT193" s="125" t="str">
        <f t="shared" ca="1" si="638"/>
        <v/>
      </c>
      <c r="AU193" s="125" t="str">
        <f t="shared" ca="1" si="638"/>
        <v/>
      </c>
      <c r="AV193" s="125" t="str">
        <f t="shared" ca="1" si="638"/>
        <v/>
      </c>
      <c r="AW193" s="125" t="str">
        <f t="shared" ca="1" si="638"/>
        <v/>
      </c>
      <c r="AX193" s="90"/>
      <c r="AY193" s="90"/>
      <c r="AZ193" s="87"/>
    </row>
    <row r="194" spans="3:52" ht="12.75" hidden="1" customHeight="1" outlineLevel="1" x14ac:dyDescent="0.2">
      <c r="C194" s="126">
        <f>INDEX(g_sc_1_assets_dates,G194)</f>
        <v>0</v>
      </c>
      <c r="G194" s="127">
        <v>8</v>
      </c>
      <c r="N194" s="85"/>
      <c r="O194" s="90"/>
      <c r="P194" s="90"/>
      <c r="Q194" s="115" t="str">
        <f>INDEX(g_lang_val,MATCH("tb_2_4_1",g_lang_key,0))</f>
        <v>Køb af anlægsaktiver</v>
      </c>
      <c r="R194" s="116"/>
      <c r="S194" s="119">
        <f ca="1">SUM(T194:BG194)</f>
        <v>0</v>
      </c>
      <c r="T194" s="114">
        <f ca="1">IF(T193="","",SUMPRODUCT(--(Leverancer!$C$28:$C$88=($G194+2)),Leverancer!D$28:D$88)/1000)</f>
        <v>0</v>
      </c>
      <c r="U194" s="114">
        <f ca="1">IF(U193="","",SUMPRODUCT(--(Leverancer!$C$28:$C$88=($G194+2)),Leverancer!E$28:E$88)/1000)</f>
        <v>0</v>
      </c>
      <c r="V194" s="114">
        <f ca="1">IF(V193="","",SUMPRODUCT(--(Leverancer!$C$28:$C$88=($G194+2)),Leverancer!F$28:F$88)/1000)</f>
        <v>0</v>
      </c>
      <c r="W194" s="114">
        <f ca="1">IF(W193="","",SUMPRODUCT(--(Leverancer!$C$28:$C$88=($G194+2)),Leverancer!G$28:G$88)/1000)</f>
        <v>0</v>
      </c>
      <c r="X194" s="114" t="str">
        <f ca="1">IF(X193="","",SUMPRODUCT(--(Leverancer!$C$28:$C$88=($G194+2)),Leverancer!H$28:H$88)/1000)</f>
        <v/>
      </c>
      <c r="Y194" s="114" t="str">
        <f ca="1">IF(Y193="","",SUMPRODUCT(--(Leverancer!$C$28:$C$88=($G194+2)),Leverancer!I$28:I$88)/1000)</f>
        <v/>
      </c>
      <c r="Z194" s="114" t="str">
        <f ca="1">IF(Z193="","",SUMPRODUCT(--(Leverancer!$C$28:$C$88=($G194+2)),Leverancer!J$28:J$88)/1000)</f>
        <v/>
      </c>
      <c r="AA194" s="114" t="str">
        <f ca="1">IF(AA193="","",SUMPRODUCT(--(Leverancer!$C$28:$C$88=($G194+2)),Leverancer!K$28:K$88)/1000)</f>
        <v/>
      </c>
      <c r="AB194" s="114" t="str">
        <f ca="1">IF(AB193="","",SUMPRODUCT(--(Leverancer!$C$28:$C$88=($G194+2)),Leverancer!L$28:L$88)/1000)</f>
        <v/>
      </c>
      <c r="AC194" s="114" t="str">
        <f ca="1">IF(AC193="","",SUMPRODUCT(--(Leverancer!$C$28:$C$88=($G194+2)),Leverancer!M$28:M$88)/1000)</f>
        <v/>
      </c>
      <c r="AD194" s="114" t="str">
        <f ca="1">IF(AD193="","",SUMPRODUCT(--(Leverancer!$C$28:$C$88=($G194+2)),Leverancer!N$28:N$88)/1000)</f>
        <v/>
      </c>
      <c r="AE194" s="114" t="str">
        <f ca="1">IF(AE193="","",SUMPRODUCT(--(Leverancer!$C$28:$C$88=($G194+2)),Leverancer!O$28:O$88)/1000)</f>
        <v/>
      </c>
      <c r="AF194" s="114" t="str">
        <f ca="1">IF(AF193="","",SUMPRODUCT(--(Leverancer!$C$28:$C$88=($G194+2)),Leverancer!P$28:P$88)/1000)</f>
        <v/>
      </c>
      <c r="AG194" s="114" t="str">
        <f ca="1">IF(AG193="","",SUMPRODUCT(--(Leverancer!$C$28:$C$88=($G194+2)),Leverancer!Q$28:Q$88)/1000)</f>
        <v/>
      </c>
      <c r="AH194" s="114" t="str">
        <f ca="1">IF(AH193="","",SUMPRODUCT(--(Leverancer!$C$28:$C$88=($G194+2)),Leverancer!R$28:R$88)/1000)</f>
        <v/>
      </c>
      <c r="AI194" s="114" t="str">
        <f ca="1">IF(AI193="","",SUMPRODUCT(--(Leverancer!$C$28:$C$88=($G194+2)),Leverancer!S$28:S$88)/1000)</f>
        <v/>
      </c>
      <c r="AJ194" s="114" t="str">
        <f ca="1">IF(AJ193="","",SUMPRODUCT(--(Leverancer!$C$28:$C$88=($G194+2)),Leverancer!T$28:T$88)/1000)</f>
        <v/>
      </c>
      <c r="AK194" s="114" t="str">
        <f ca="1">IF(AK193="","",SUMPRODUCT(--(Leverancer!$C$28:$C$88=($G194+2)),Leverancer!U$28:U$88)/1000)</f>
        <v/>
      </c>
      <c r="AL194" s="114" t="str">
        <f ca="1">IF(AL193="","",SUMPRODUCT(--(Leverancer!$C$28:$C$88=($G194+2)),Leverancer!V$28:V$88)/1000)</f>
        <v/>
      </c>
      <c r="AM194" s="114" t="str">
        <f ca="1">IF(AM193="","",SUMPRODUCT(--(Leverancer!$C$28:$C$88=($G194+2)),Leverancer!W$28:W$88)/1000)</f>
        <v/>
      </c>
      <c r="AN194" s="114" t="str">
        <f ca="1">IF(AN193="","",SUMPRODUCT(--(Leverancer!$C$28:$C$88=($G194+2)),Leverancer!X$28:X$88)/1000)</f>
        <v/>
      </c>
      <c r="AO194" s="114" t="str">
        <f ca="1">IF(AO193="","",SUMPRODUCT(--(Leverancer!$C$28:$C$88=($G194+2)),Leverancer!Y$28:Y$88)/1000)</f>
        <v/>
      </c>
      <c r="AP194" s="114" t="str">
        <f ca="1">IF(AP193="","",SUMPRODUCT(--(Leverancer!$C$28:$C$88=($G194+2)),Leverancer!Z$28:Z$88)/1000)</f>
        <v/>
      </c>
      <c r="AQ194" s="114" t="str">
        <f ca="1">IF(AQ193="","",SUMPRODUCT(--(Leverancer!$C$28:$C$88=($G194+2)),Leverancer!AA$28:AA$88)/1000)</f>
        <v/>
      </c>
      <c r="AR194" s="114" t="str">
        <f ca="1">IF(AR193="","",SUMPRODUCT(--(Leverancer!$C$28:$C$88=($G194+2)),Leverancer!AB$28:AB$88)/1000)</f>
        <v/>
      </c>
      <c r="AS194" s="114" t="str">
        <f ca="1">IF(AS193="","",SUMPRODUCT(--(Leverancer!$C$28:$C$88=($G194+2)),Leverancer!AC$28:AC$88)/1000)</f>
        <v/>
      </c>
      <c r="AT194" s="114" t="str">
        <f ca="1">IF(AT193="","",SUMPRODUCT(--(Leverancer!$C$28:$C$88=($G194+2)),Leverancer!AD$28:AD$88)/1000)</f>
        <v/>
      </c>
      <c r="AU194" s="114" t="str">
        <f ca="1">IF(AU193="","",SUMPRODUCT(--(Leverancer!$C$28:$C$88=($G194+2)),Leverancer!AE$28:AE$88)/1000)</f>
        <v/>
      </c>
      <c r="AV194" s="114" t="str">
        <f ca="1">IF(AV193="","",SUMPRODUCT(--(Leverancer!$C$28:$C$88=($G194+2)),Leverancer!AF$28:AF$88)/1000)</f>
        <v/>
      </c>
      <c r="AW194" s="114" t="str">
        <f ca="1">IF(AW193="","",SUMPRODUCT(--(Leverancer!$C$28:$C$88=($G194+2)),Leverancer!AG$28:AG$88)/1000)</f>
        <v/>
      </c>
      <c r="AX194" s="90"/>
      <c r="AY194" s="90"/>
      <c r="AZ194" s="87"/>
    </row>
    <row r="195" spans="3:52" ht="12.75" hidden="1" customHeight="1" outlineLevel="1" x14ac:dyDescent="0.2">
      <c r="C195" s="128">
        <f>IFERROR(YEAR(C194),"")</f>
        <v>1900</v>
      </c>
      <c r="D195" s="128">
        <f>IFERROR(MONTH(C194),"")</f>
        <v>1</v>
      </c>
      <c r="E195" s="128">
        <f>INDEX(g_sc_1_assets_years,G194)</f>
        <v>0</v>
      </c>
      <c r="N195" s="85"/>
      <c r="O195" s="90"/>
      <c r="P195" s="90"/>
      <c r="Q195" s="115" t="str">
        <f>INDEX(g_lang_val,MATCH("tb_2_4_2",g_lang_key,0))</f>
        <v>Afskrivninger</v>
      </c>
      <c r="R195" s="116"/>
      <c r="S195" s="119">
        <f ca="1">SUM(T195:BG195)</f>
        <v>0</v>
      </c>
      <c r="T195" s="114">
        <f t="shared" ref="T195" ca="1" si="639">IF(T193="","",IF(T193&lt;$C195,0,IF(T193=$C195,T194/$C196*$E196+S196/$C196*$E196,IF(AND(T193&gt;$C195,T193&lt;ROUNDDOWN(($C195+($D195+$C196-1)/12),0)),(T194/2+S196)/($C196-$E196-12*(T193-$C195-1))*12,IF(AND($D196&lt;0,T193=ROUNDDOWN(($C195+($D195+$C196-1)/12),0)),S196+T194,IF(T193=ROUNDDOWN(($C195+($D195+$C196-1)/12),0),(T194+S196)/$C196*($D196+(T193-$C195-1)*12+$E196),IF(T193&gt;ROUNDDOWN(($C195+($D195+$C196)/12),0),0,0)))))))</f>
        <v>0</v>
      </c>
      <c r="U195" s="114">
        <f t="shared" ref="U195" ca="1" si="640">IF(U193="","",IF(U193&lt;$C195,0,IF(U193=$C195,U194/$C196*$E196+T196/$C196*$E196,IF(AND(U193&gt;$C195,U193&lt;ROUNDDOWN(($C195+($D195+$C196-1)/12),0)),(U194/2+T196)/($C196-$E196-12*(U193-$C195-1))*12,IF(AND($D196&lt;0,U193=ROUNDDOWN(($C195+($D195+$C196-1)/12),0)),T196+U194,IF(U193=ROUNDDOWN(($C195+($D195+$C196-1)/12),0),(U194+T196)/$C196*($D196+(U193-$C195-1)*12+$E196),IF(U193&gt;ROUNDDOWN(($C195+($D195+$C196)/12),0),0,0)))))))</f>
        <v>0</v>
      </c>
      <c r="V195" s="114">
        <f t="shared" ref="V195" ca="1" si="641">IF(V193="","",IF(V193&lt;$C195,0,IF(V193=$C195,V194/$C196*$E196+U196/$C196*$E196,IF(AND(V193&gt;$C195,V193&lt;ROUNDDOWN(($C195+($D195+$C196-1)/12),0)),(V194/2+U196)/($C196-$E196-12*(V193-$C195-1))*12,IF(AND($D196&lt;0,V193=ROUNDDOWN(($C195+($D195+$C196-1)/12),0)),U196+V194,IF(V193=ROUNDDOWN(($C195+($D195+$C196-1)/12),0),(V194+U196)/$C196*($D196+(V193-$C195-1)*12+$E196),IF(V193&gt;ROUNDDOWN(($C195+($D195+$C196)/12),0),0,0)))))))</f>
        <v>0</v>
      </c>
      <c r="W195" s="114">
        <f t="shared" ref="W195" ca="1" si="642">IF(W193="","",IF(W193&lt;$C195,0,IF(W193=$C195,W194/$C196*$E196+V196/$C196*$E196,IF(AND(W193&gt;$C195,W193&lt;ROUNDDOWN(($C195+($D195+$C196-1)/12),0)),(W194/2+V196)/($C196-$E196-12*(W193-$C195-1))*12,IF(AND($D196&lt;0,W193=ROUNDDOWN(($C195+($D195+$C196-1)/12),0)),V196+W194,IF(W193=ROUNDDOWN(($C195+($D195+$C196-1)/12),0),(W194+V196)/$C196*($D196+(W193-$C195-1)*12+$E196),IF(W193&gt;ROUNDDOWN(($C195+($D195+$C196)/12),0),0,0)))))))</f>
        <v>0</v>
      </c>
      <c r="X195" s="114" t="str">
        <f t="shared" ref="X195" ca="1" si="643">IF(X193="","",IF(X193&lt;$C195,0,IF(X193=$C195,X194/$C196*$E196+W196/$C196*$E196,IF(AND(X193&gt;$C195,X193&lt;ROUNDDOWN(($C195+($D195+$C196-1)/12),0)),(X194/2+W196)/($C196-$E196-12*(X193-$C195-1))*12,IF(AND($D196&lt;0,X193=ROUNDDOWN(($C195+($D195+$C196-1)/12),0)),W196+X194,IF(X193=ROUNDDOWN(($C195+($D195+$C196-1)/12),0),(X194+W196)/$C196*($D196+(X193-$C195-1)*12+$E196),IF(X193&gt;ROUNDDOWN(($C195+($D195+$C196)/12),0),0,0)))))))</f>
        <v/>
      </c>
      <c r="Y195" s="114" t="str">
        <f t="shared" ref="Y195" ca="1" si="644">IF(Y193="","",IF(Y193&lt;$C195,0,IF(Y193=$C195,Y194/$C196*$E196+X196/$C196*$E196,IF(AND(Y193&gt;$C195,Y193&lt;ROUNDDOWN(($C195+($D195+$C196-1)/12),0)),(Y194/2+X196)/($C196-$E196-12*(Y193-$C195-1))*12,IF(AND($D196&lt;0,Y193=ROUNDDOWN(($C195+($D195+$C196-1)/12),0)),X196+Y194,IF(Y193=ROUNDDOWN(($C195+($D195+$C196-1)/12),0),(Y194+X196)/$C196*($D196+(Y193-$C195-1)*12+$E196),IF(Y193&gt;ROUNDDOWN(($C195+($D195+$C196)/12),0),0,0)))))))</f>
        <v/>
      </c>
      <c r="Z195" s="114" t="str">
        <f ca="1">IF(Z193="","",IF(Z193&lt;$C195,0,IF(Z193=$C195,Z194/$C196*$E196+Y196/$C196*$E196,IF(AND(Z193&gt;$C195,Z193&lt;ROUNDDOWN(($C195+($D195+$C196-1)/12),0)),(Z194/2+Y196)/($C196-$E196-12*(Z193-$C195-1))*12,IF(AND($D196&lt;0,Z193=ROUNDDOWN(($C195+($D195+$C196-1)/12),0)),Y196+Z194,IF(Z193=ROUNDDOWN(($C195+($D195+$C196-1)/12),0),(Z194+Y196)/$C196*($D196+(Z193-$C195-1)*12+$E196),IF(Z193&gt;ROUNDDOWN(($C195+($D195+$C196)/12),0),0,0)))))))</f>
        <v/>
      </c>
      <c r="AA195" s="114" t="str">
        <f t="shared" ref="AA195" ca="1" si="645">IF(AA193="","",IF(AA193&lt;$C195,0,IF(AA193=$C195,AA194/$C196*$E196+Z196/$C196*$E196,IF(AND(AA193&gt;$C195,AA193&lt;ROUNDDOWN(($C195+($D195+$C196-1)/12),0)),(AA194/2+Z196)/($C196-$E196-12*(AA193-$C195-1))*12,IF(AND($D196&lt;0,AA193=ROUNDDOWN(($C195+($D195+$C196-1)/12),0)),Z196+AA194,IF(AA193=ROUNDDOWN(($C195+($D195+$C196-1)/12),0),(AA194+Z196)/$C196*($D196+(AA193-$C195-1)*12+$E196),IF(AA193&gt;ROUNDDOWN(($C195+($D195+$C196)/12),0),0,0)))))))</f>
        <v/>
      </c>
      <c r="AB195" s="114" t="str">
        <f t="shared" ref="AB195" ca="1" si="646">IF(AB193="","",IF(AB193&lt;$C195,0,IF(AB193=$C195,AB194/$C196*$E196+AA196/$C196*$E196,IF(AND(AB193&gt;$C195,AB193&lt;ROUNDDOWN(($C195+($D195+$C196-1)/12),0)),(AB194/2+AA196)/($C196-$E196-12*(AB193-$C195-1))*12,IF(AND($D196&lt;0,AB193=ROUNDDOWN(($C195+($D195+$C196-1)/12),0)),AA196+AB194,IF(AB193=ROUNDDOWN(($C195+($D195+$C196-1)/12),0),(AB194+AA196)/$C196*($D196+(AB193-$C195-1)*12+$E196),IF(AB193&gt;ROUNDDOWN(($C195+($D195+$C196)/12),0),0,0)))))))</f>
        <v/>
      </c>
      <c r="AC195" s="114" t="str">
        <f t="shared" ref="AC195" ca="1" si="647">IF(AC193="","",IF(AC193&lt;$C195,0,IF(AC193=$C195,AC194/$C196*$E196+AB196/$C196*$E196,IF(AND(AC193&gt;$C195,AC193&lt;ROUNDDOWN(($C195+($D195+$C196-1)/12),0)),(AC194/2+AB196)/($C196-$E196-12*(AC193-$C195-1))*12,IF(AND($D196&lt;0,AC193=ROUNDDOWN(($C195+($D195+$C196-1)/12),0)),AB196+AC194,IF(AC193=ROUNDDOWN(($C195+($D195+$C196-1)/12),0),(AC194+AB196)/$C196*($D196+(AC193-$C195-1)*12+$E196),IF(AC193&gt;ROUNDDOWN(($C195+($D195+$C196)/12),0),0,0)))))))</f>
        <v/>
      </c>
      <c r="AD195" s="114" t="str">
        <f t="shared" ref="AD195" ca="1" si="648">IF(AD193="","",IF(AD193&lt;$C195,0,IF(AD193=$C195,AD194/$C196*$E196+AC196/$C196*$E196,IF(AND(AD193&gt;$C195,AD193&lt;ROUNDDOWN(($C195+($D195+$C196-1)/12),0)),(AD194/2+AC196)/($C196-$E196-12*(AD193-$C195-1))*12,IF(AND($D196&lt;0,AD193=ROUNDDOWN(($C195+($D195+$C196-1)/12),0)),AC196+AD194,IF(AD193=ROUNDDOWN(($C195+($D195+$C196-1)/12),0),(AD194+AC196)/$C196*($D196+(AD193-$C195-1)*12+$E196),IF(AD193&gt;ROUNDDOWN(($C195+($D195+$C196)/12),0),0,0)))))))</f>
        <v/>
      </c>
      <c r="AE195" s="114" t="str">
        <f t="shared" ref="AE195" ca="1" si="649">IF(AE193="","",IF(AE193&lt;$C195,0,IF(AE193=$C195,AE194/$C196*$E196+AD196/$C196*$E196,IF(AND(AE193&gt;$C195,AE193&lt;ROUNDDOWN(($C195+($D195+$C196-1)/12),0)),(AE194/2+AD196)/($C196-$E196-12*(AE193-$C195-1))*12,IF(AND($D196&lt;0,AE193=ROUNDDOWN(($C195+($D195+$C196-1)/12),0)),AD196+AE194,IF(AE193=ROUNDDOWN(($C195+($D195+$C196-1)/12),0),(AE194+AD196)/$C196*($D196+(AE193-$C195-1)*12+$E196),IF(AE193&gt;ROUNDDOWN(($C195+($D195+$C196)/12),0),0,0)))))))</f>
        <v/>
      </c>
      <c r="AF195" s="114" t="str">
        <f t="shared" ref="AF195" ca="1" si="650">IF(AF193="","",IF(AF193&lt;$C195,0,IF(AF193=$C195,AF194/$C196*$E196+AE196/$C196*$E196,IF(AND(AF193&gt;$C195,AF193&lt;ROUNDDOWN(($C195+($D195+$C196-1)/12),0)),(AF194/2+AE196)/($C196-$E196-12*(AF193-$C195-1))*12,IF(AND($D196&lt;0,AF193=ROUNDDOWN(($C195+($D195+$C196-1)/12),0)),AE196+AF194,IF(AF193=ROUNDDOWN(($C195+($D195+$C196-1)/12),0),(AF194+AE196)/$C196*($D196+(AF193-$C195-1)*12+$E196),IF(AF193&gt;ROUNDDOWN(($C195+($D195+$C196)/12),0),0,0)))))))</f>
        <v/>
      </c>
      <c r="AG195" s="114" t="str">
        <f t="shared" ref="AG195" ca="1" si="651">IF(AG193="","",IF(AG193&lt;$C195,0,IF(AG193=$C195,AG194/$C196*$E196+AF196/$C196*$E196,IF(AND(AG193&gt;$C195,AG193&lt;ROUNDDOWN(($C195+($D195+$C196-1)/12),0)),(AG194/2+AF196)/($C196-$E196-12*(AG193-$C195-1))*12,IF(AND($D196&lt;0,AG193=ROUNDDOWN(($C195+($D195+$C196-1)/12),0)),AF196+AG194,IF(AG193=ROUNDDOWN(($C195+($D195+$C196-1)/12),0),(AG194+AF196)/$C196*($D196+(AG193-$C195-1)*12+$E196),IF(AG193&gt;ROUNDDOWN(($C195+($D195+$C196)/12),0),0,0)))))))</f>
        <v/>
      </c>
      <c r="AH195" s="114" t="str">
        <f t="shared" ref="AH195" ca="1" si="652">IF(AH193="","",IF(AH193&lt;$C195,0,IF(AH193=$C195,AH194/$C196*$E196+AG196/$C196*$E196,IF(AND(AH193&gt;$C195,AH193&lt;ROUNDDOWN(($C195+($D195+$C196-1)/12),0)),(AH194/2+AG196)/($C196-$E196-12*(AH193-$C195-1))*12,IF(AND($D196&lt;0,AH193=ROUNDDOWN(($C195+($D195+$C196-1)/12),0)),AG196+AH194,IF(AH193=ROUNDDOWN(($C195+($D195+$C196-1)/12),0),(AH194+AG196)/$C196*($D196+(AH193-$C195-1)*12+$E196),IF(AH193&gt;ROUNDDOWN(($C195+($D195+$C196)/12),0),0,0)))))))</f>
        <v/>
      </c>
      <c r="AI195" s="114" t="str">
        <f t="shared" ref="AI195" ca="1" si="653">IF(AI193="","",IF(AI193&lt;$C195,0,IF(AI193=$C195,AI194/$C196*$E196+AH196/$C196*$E196,IF(AND(AI193&gt;$C195,AI193&lt;ROUNDDOWN(($C195+($D195+$C196-1)/12),0)),(AI194/2+AH196)/($C196-$E196-12*(AI193-$C195-1))*12,IF(AND($D196&lt;0,AI193=ROUNDDOWN(($C195+($D195+$C196-1)/12),0)),AH196+AI194,IF(AI193=ROUNDDOWN(($C195+($D195+$C196-1)/12),0),(AI194+AH196)/$C196*($D196+(AI193-$C195-1)*12+$E196),IF(AI193&gt;ROUNDDOWN(($C195+($D195+$C196)/12),0),0,0)))))))</f>
        <v/>
      </c>
      <c r="AJ195" s="114" t="str">
        <f t="shared" ref="AJ195" ca="1" si="654">IF(AJ193="","",IF(AJ193&lt;$C195,0,IF(AJ193=$C195,AJ194/$C196*$E196+AI196/$C196*$E196,IF(AND(AJ193&gt;$C195,AJ193&lt;ROUNDDOWN(($C195+($D195+$C196-1)/12),0)),(AJ194/2+AI196)/($C196-$E196-12*(AJ193-$C195-1))*12,IF(AND($D196&lt;0,AJ193=ROUNDDOWN(($C195+($D195+$C196-1)/12),0)),AI196+AJ194,IF(AJ193=ROUNDDOWN(($C195+($D195+$C196-1)/12),0),(AJ194+AI196)/$C196*($D196+(AJ193-$C195-1)*12+$E196),IF(AJ193&gt;ROUNDDOWN(($C195+($D195+$C196)/12),0),0,0)))))))</f>
        <v/>
      </c>
      <c r="AK195" s="114" t="str">
        <f t="shared" ref="AK195" ca="1" si="655">IF(AK193="","",IF(AK193&lt;$C195,0,IF(AK193=$C195,AK194/$C196*$E196+AJ196/$C196*$E196,IF(AND(AK193&gt;$C195,AK193&lt;ROUNDDOWN(($C195+($D195+$C196-1)/12),0)),(AK194/2+AJ196)/($C196-$E196-12*(AK193-$C195-1))*12,IF(AND($D196&lt;0,AK193=ROUNDDOWN(($C195+($D195+$C196-1)/12),0)),AJ196+AK194,IF(AK193=ROUNDDOWN(($C195+($D195+$C196-1)/12),0),(AK194+AJ196)/$C196*($D196+(AK193-$C195-1)*12+$E196),IF(AK193&gt;ROUNDDOWN(($C195+($D195+$C196)/12),0),0,0)))))))</f>
        <v/>
      </c>
      <c r="AL195" s="114" t="str">
        <f t="shared" ref="AL195" ca="1" si="656">IF(AL193="","",IF(AL193&lt;$C195,0,IF(AL193=$C195,AL194/$C196*$E196+AK196/$C196*$E196,IF(AND(AL193&gt;$C195,AL193&lt;ROUNDDOWN(($C195+($D195+$C196-1)/12),0)),(AL194/2+AK196)/($C196-$E196-12*(AL193-$C195-1))*12,IF(AND($D196&lt;0,AL193=ROUNDDOWN(($C195+($D195+$C196-1)/12),0)),AK196+AL194,IF(AL193=ROUNDDOWN(($C195+($D195+$C196-1)/12),0),(AL194+AK196)/$C196*($D196+(AL193-$C195-1)*12+$E196),IF(AL193&gt;ROUNDDOWN(($C195+($D195+$C196)/12),0),0,0)))))))</f>
        <v/>
      </c>
      <c r="AM195" s="114" t="str">
        <f t="shared" ref="AM195" ca="1" si="657">IF(AM193="","",IF(AM193&lt;$C195,0,IF(AM193=$C195,AM194/$C196*$E196+AL196/$C196*$E196,IF(AND(AM193&gt;$C195,AM193&lt;ROUNDDOWN(($C195+($D195+$C196-1)/12),0)),(AM194/2+AL196)/($C196-$E196-12*(AM193-$C195-1))*12,IF(AND($D196&lt;0,AM193=ROUNDDOWN(($C195+($D195+$C196-1)/12),0)),AL196+AM194,IF(AM193=ROUNDDOWN(($C195+($D195+$C196-1)/12),0),(AM194+AL196)/$C196*($D196+(AM193-$C195-1)*12+$E196),IF(AM193&gt;ROUNDDOWN(($C195+($D195+$C196)/12),0),0,0)))))))</f>
        <v/>
      </c>
      <c r="AN195" s="114" t="str">
        <f t="shared" ref="AN195" ca="1" si="658">IF(AN193="","",IF(AN193&lt;$C195,0,IF(AN193=$C195,AN194/$C196*$E196+AM196/$C196*$E196,IF(AND(AN193&gt;$C195,AN193&lt;ROUNDDOWN(($C195+($D195+$C196-1)/12),0)),(AN194/2+AM196)/($C196-$E196-12*(AN193-$C195-1))*12,IF(AND($D196&lt;0,AN193=ROUNDDOWN(($C195+($D195+$C196-1)/12),0)),AM196+AN194,IF(AN193=ROUNDDOWN(($C195+($D195+$C196-1)/12),0),(AN194+AM196)/$C196*($D196+(AN193-$C195-1)*12+$E196),IF(AN193&gt;ROUNDDOWN(($C195+($D195+$C196)/12),0),0,0)))))))</f>
        <v/>
      </c>
      <c r="AO195" s="114" t="str">
        <f t="shared" ref="AO195" ca="1" si="659">IF(AO193="","",IF(AO193&lt;$C195,0,IF(AO193=$C195,AO194/$C196*$E196+AN196/$C196*$E196,IF(AND(AO193&gt;$C195,AO193&lt;ROUNDDOWN(($C195+($D195+$C196-1)/12),0)),(AO194/2+AN196)/($C196-$E196-12*(AO193-$C195-1))*12,IF(AND($D196&lt;0,AO193=ROUNDDOWN(($C195+($D195+$C196-1)/12),0)),AN196+AO194,IF(AO193=ROUNDDOWN(($C195+($D195+$C196-1)/12),0),(AO194+AN196)/$C196*($D196+(AO193-$C195-1)*12+$E196),IF(AO193&gt;ROUNDDOWN(($C195+($D195+$C196)/12),0),0,0)))))))</f>
        <v/>
      </c>
      <c r="AP195" s="114" t="str">
        <f t="shared" ref="AP195" ca="1" si="660">IF(AP193="","",IF(AP193&lt;$C195,0,IF(AP193=$C195,AP194/$C196*$E196+AO196/$C196*$E196,IF(AND(AP193&gt;$C195,AP193&lt;ROUNDDOWN(($C195+($D195+$C196-1)/12),0)),(AP194/2+AO196)/($C196-$E196-12*(AP193-$C195-1))*12,IF(AND($D196&lt;0,AP193=ROUNDDOWN(($C195+($D195+$C196-1)/12),0)),AO196+AP194,IF(AP193=ROUNDDOWN(($C195+($D195+$C196-1)/12),0),(AP194+AO196)/$C196*($D196+(AP193-$C195-1)*12+$E196),IF(AP193&gt;ROUNDDOWN(($C195+($D195+$C196)/12),0),0,0)))))))</f>
        <v/>
      </c>
      <c r="AQ195" s="114" t="str">
        <f t="shared" ref="AQ195" ca="1" si="661">IF(AQ193="","",IF(AQ193&lt;$C195,0,IF(AQ193=$C195,AQ194/$C196*$E196+AP196/$C196*$E196,IF(AND(AQ193&gt;$C195,AQ193&lt;ROUNDDOWN(($C195+($D195+$C196-1)/12),0)),(AQ194/2+AP196)/($C196-$E196-12*(AQ193-$C195-1))*12,IF(AND($D196&lt;0,AQ193=ROUNDDOWN(($C195+($D195+$C196-1)/12),0)),AP196+AQ194,IF(AQ193=ROUNDDOWN(($C195+($D195+$C196-1)/12),0),(AQ194+AP196)/$C196*($D196+(AQ193-$C195-1)*12+$E196),IF(AQ193&gt;ROUNDDOWN(($C195+($D195+$C196)/12),0),0,0)))))))</f>
        <v/>
      </c>
      <c r="AR195" s="114" t="str">
        <f t="shared" ref="AR195" ca="1" si="662">IF(AR193="","",IF(AR193&lt;$C195,0,IF(AR193=$C195,AR194/$C196*$E196+AQ196/$C196*$E196,IF(AND(AR193&gt;$C195,AR193&lt;ROUNDDOWN(($C195+($D195+$C196-1)/12),0)),(AR194/2+AQ196)/($C196-$E196-12*(AR193-$C195-1))*12,IF(AND($D196&lt;0,AR193=ROUNDDOWN(($C195+($D195+$C196-1)/12),0)),AQ196+AR194,IF(AR193=ROUNDDOWN(($C195+($D195+$C196-1)/12),0),(AR194+AQ196)/$C196*($D196+(AR193-$C195-1)*12+$E196),IF(AR193&gt;ROUNDDOWN(($C195+($D195+$C196)/12),0),0,0)))))))</f>
        <v/>
      </c>
      <c r="AS195" s="114" t="str">
        <f t="shared" ref="AS195" ca="1" si="663">IF(AS193="","",IF(AS193&lt;$C195,0,IF(AS193=$C195,AS194/$C196*$E196+AR196/$C196*$E196,IF(AND(AS193&gt;$C195,AS193&lt;ROUNDDOWN(($C195+($D195+$C196-1)/12),0)),(AS194/2+AR196)/($C196-$E196-12*(AS193-$C195-1))*12,IF(AND($D196&lt;0,AS193=ROUNDDOWN(($C195+($D195+$C196-1)/12),0)),AR196+AS194,IF(AS193=ROUNDDOWN(($C195+($D195+$C196-1)/12),0),(AS194+AR196)/$C196*($D196+(AS193-$C195-1)*12+$E196),IF(AS193&gt;ROUNDDOWN(($C195+($D195+$C196)/12),0),0,0)))))))</f>
        <v/>
      </c>
      <c r="AT195" s="114" t="str">
        <f t="shared" ref="AT195" ca="1" si="664">IF(AT193="","",IF(AT193&lt;$C195,0,IF(AT193=$C195,AT194/$C196*$E196+AS196/$C196*$E196,IF(AND(AT193&gt;$C195,AT193&lt;ROUNDDOWN(($C195+($D195+$C196-1)/12),0)),(AT194/2+AS196)/($C196-$E196-12*(AT193-$C195-1))*12,IF(AND($D196&lt;0,AT193=ROUNDDOWN(($C195+($D195+$C196-1)/12),0)),AS196+AT194,IF(AT193=ROUNDDOWN(($C195+($D195+$C196-1)/12),0),(AT194+AS196)/$C196*($D196+(AT193-$C195-1)*12+$E196),IF(AT193&gt;ROUNDDOWN(($C195+($D195+$C196)/12),0),0,0)))))))</f>
        <v/>
      </c>
      <c r="AU195" s="114" t="str">
        <f t="shared" ref="AU195" ca="1" si="665">IF(AU193="","",IF(AU193&lt;$C195,0,IF(AU193=$C195,AU194/$C196*$E196+AT196/$C196*$E196,IF(AND(AU193&gt;$C195,AU193&lt;ROUNDDOWN(($C195+($D195+$C196-1)/12),0)),(AU194/2+AT196)/($C196-$E196-12*(AU193-$C195-1))*12,IF(AND($D196&lt;0,AU193=ROUNDDOWN(($C195+($D195+$C196-1)/12),0)),AT196+AU194,IF(AU193=ROUNDDOWN(($C195+($D195+$C196-1)/12),0),(AU194+AT196)/$C196*($D196+(AU193-$C195-1)*12+$E196),IF(AU193&gt;ROUNDDOWN(($C195+($D195+$C196)/12),0),0,0)))))))</f>
        <v/>
      </c>
      <c r="AV195" s="114" t="str">
        <f t="shared" ref="AV195" ca="1" si="666">IF(AV193="","",IF(AV193&lt;$C195,0,IF(AV193=$C195,AV194/$C196*$E196+AU196/$C196*$E196,IF(AND(AV193&gt;$C195,AV193&lt;ROUNDDOWN(($C195+($D195+$C196-1)/12),0)),(AV194/2+AU196)/($C196-$E196-12*(AV193-$C195-1))*12,IF(AND($D196&lt;0,AV193=ROUNDDOWN(($C195+($D195+$C196-1)/12),0)),AU196+AV194,IF(AV193=ROUNDDOWN(($C195+($D195+$C196-1)/12),0),(AV194+AU196)/$C196*($D196+(AV193-$C195-1)*12+$E196),IF(AV193&gt;ROUNDDOWN(($C195+($D195+$C196)/12),0),0,0)))))))</f>
        <v/>
      </c>
      <c r="AW195" s="114" t="str">
        <f t="shared" ref="AW195" ca="1" si="667">IF(AW193="","",IF(AW193&lt;$C195,0,IF(AW193=$C195,AW194/$C196*$E196+AV196/$C196*$E196,IF(AND(AW193&gt;$C195,AW193&lt;ROUNDDOWN(($C195+($D195+$C196-1)/12),0)),(AW194/2+AV196)/($C196-$E196-12*(AW193-$C195-1))*12,IF(AND($D196&lt;0,AW193=ROUNDDOWN(($C195+($D195+$C196-1)/12),0)),AV196+AW194,IF(AW193=ROUNDDOWN(($C195+($D195+$C196-1)/12),0),(AW194+AV196)/$C196*($D196+(AW193-$C195-1)*12+$E196),IF(AW193&gt;ROUNDDOWN(($C195+($D195+$C196)/12),0),0,0)))))))</f>
        <v/>
      </c>
      <c r="AX195" s="90"/>
      <c r="AY195" s="90"/>
      <c r="AZ195" s="87"/>
    </row>
    <row r="196" spans="3:52" ht="12.75" hidden="1" customHeight="1" outlineLevel="1" x14ac:dyDescent="0.2">
      <c r="C196" s="128">
        <f>ROUNDUP((E195-ROUNDDOWN(E195,0))*12,0)+ROUNDDOWN(E195,0)*12</f>
        <v>0</v>
      </c>
      <c r="D196" s="128">
        <f>C196-E196-ROUNDDOWN(E195,0)*12</f>
        <v>-12</v>
      </c>
      <c r="E196" s="128">
        <f>13-MONTH(C194)</f>
        <v>12</v>
      </c>
      <c r="N196" s="85"/>
      <c r="O196" s="90"/>
      <c r="P196" s="90"/>
      <c r="Q196" s="115" t="str">
        <f>INDEX(g_lang_val,MATCH("tb_2_4_3",g_lang_key,0))</f>
        <v>FF4-gæld, ultimo året</v>
      </c>
      <c r="R196" s="116"/>
      <c r="S196" s="119"/>
      <c r="T196" s="114">
        <f t="shared" ref="T196" ca="1" si="668">IF(T193="","",S196+T194-T195)</f>
        <v>0</v>
      </c>
      <c r="U196" s="114">
        <f t="shared" ref="U196" ca="1" si="669">IF(U193="","",T196+U194-U195)</f>
        <v>0</v>
      </c>
      <c r="V196" s="114">
        <f t="shared" ref="V196" ca="1" si="670">IF(V193="","",U196+V194-V195)</f>
        <v>0</v>
      </c>
      <c r="W196" s="114">
        <f t="shared" ref="W196" ca="1" si="671">IF(W193="","",V196+W194-W195)</f>
        <v>0</v>
      </c>
      <c r="X196" s="114" t="str">
        <f t="shared" ref="X196" ca="1" si="672">IF(X193="","",W196+X194-X195)</f>
        <v/>
      </c>
      <c r="Y196" s="114" t="str">
        <f t="shared" ref="Y196" ca="1" si="673">IF(Y193="","",X196+Y194-Y195)</f>
        <v/>
      </c>
      <c r="Z196" s="114" t="str">
        <f t="shared" ref="Z196" ca="1" si="674">IF(Z193="","",Y196+Z194-Z195)</f>
        <v/>
      </c>
      <c r="AA196" s="114" t="str">
        <f t="shared" ref="AA196" ca="1" si="675">IF(AA193="","",Z196+AA194-AA195)</f>
        <v/>
      </c>
      <c r="AB196" s="114" t="str">
        <f t="shared" ref="AB196" ca="1" si="676">IF(AB193="","",AA196+AB194-AB195)</f>
        <v/>
      </c>
      <c r="AC196" s="114" t="str">
        <f t="shared" ref="AC196" ca="1" si="677">IF(AC193="","",AB196+AC194-AC195)</f>
        <v/>
      </c>
      <c r="AD196" s="114" t="str">
        <f t="shared" ref="AD196" ca="1" si="678">IF(AD193="","",AC196+AD194-AD195)</f>
        <v/>
      </c>
      <c r="AE196" s="114" t="str">
        <f t="shared" ref="AE196" ca="1" si="679">IF(AE193="","",AD196+AE194-AE195)</f>
        <v/>
      </c>
      <c r="AF196" s="114" t="str">
        <f t="shared" ref="AF196" ca="1" si="680">IF(AF193="","",AE196+AF194-AF195)</f>
        <v/>
      </c>
      <c r="AG196" s="114" t="str">
        <f t="shared" ref="AG196" ca="1" si="681">IF(AG193="","",AF196+AG194-AG195)</f>
        <v/>
      </c>
      <c r="AH196" s="114" t="str">
        <f t="shared" ref="AH196" ca="1" si="682">IF(AH193="","",AG196+AH194-AH195)</f>
        <v/>
      </c>
      <c r="AI196" s="114" t="str">
        <f t="shared" ref="AI196" ca="1" si="683">IF(AI193="","",AH196+AI194-AI195)</f>
        <v/>
      </c>
      <c r="AJ196" s="114" t="str">
        <f t="shared" ref="AJ196" ca="1" si="684">IF(AJ193="","",AI196+AJ194-AJ195)</f>
        <v/>
      </c>
      <c r="AK196" s="114" t="str">
        <f t="shared" ref="AK196" ca="1" si="685">IF(AK193="","",AJ196+AK194-AK195)</f>
        <v/>
      </c>
      <c r="AL196" s="114" t="str">
        <f t="shared" ref="AL196" ca="1" si="686">IF(AL193="","",AK196+AL194-AL195)</f>
        <v/>
      </c>
      <c r="AM196" s="114" t="str">
        <f t="shared" ref="AM196" ca="1" si="687">IF(AM193="","",AL196+AM194-AM195)</f>
        <v/>
      </c>
      <c r="AN196" s="114" t="str">
        <f t="shared" ref="AN196" ca="1" si="688">IF(AN193="","",AM196+AN194-AN195)</f>
        <v/>
      </c>
      <c r="AO196" s="114" t="str">
        <f t="shared" ref="AO196" ca="1" si="689">IF(AO193="","",AN196+AO194-AO195)</f>
        <v/>
      </c>
      <c r="AP196" s="114" t="str">
        <f t="shared" ref="AP196" ca="1" si="690">IF(AP193="","",AO196+AP194-AP195)</f>
        <v/>
      </c>
      <c r="AQ196" s="114" t="str">
        <f t="shared" ref="AQ196" ca="1" si="691">IF(AQ193="","",AP196+AQ194-AQ195)</f>
        <v/>
      </c>
      <c r="AR196" s="114" t="str">
        <f t="shared" ref="AR196" ca="1" si="692">IF(AR193="","",AQ196+AR194-AR195)</f>
        <v/>
      </c>
      <c r="AS196" s="114" t="str">
        <f t="shared" ref="AS196" ca="1" si="693">IF(AS193="","",AR196+AS194-AS195)</f>
        <v/>
      </c>
      <c r="AT196" s="114" t="str">
        <f t="shared" ref="AT196" ca="1" si="694">IF(AT193="","",AS196+AT194-AT195)</f>
        <v/>
      </c>
      <c r="AU196" s="114" t="str">
        <f t="shared" ref="AU196" ca="1" si="695">IF(AU193="","",AT196+AU194-AU195)</f>
        <v/>
      </c>
      <c r="AV196" s="114" t="str">
        <f t="shared" ref="AV196" ca="1" si="696">IF(AV193="","",AU196+AV194-AV195)</f>
        <v/>
      </c>
      <c r="AW196" s="114" t="str">
        <f t="shared" ref="AW196" ca="1" si="697">IF(AW193="","",AV196+AW194-AW195)</f>
        <v/>
      </c>
      <c r="AX196" s="90"/>
      <c r="AY196" s="90"/>
      <c r="AZ196" s="87"/>
    </row>
    <row r="197" spans="3:52" ht="12.75" hidden="1" customHeight="1" outlineLevel="1" x14ac:dyDescent="0.2">
      <c r="N197" s="85"/>
      <c r="O197" s="90"/>
      <c r="P197" s="90"/>
      <c r="Q197" s="115" t="str">
        <f>INDEX(g_lang_val,MATCH("tb_2_4_4",g_lang_key,0))</f>
        <v>Renter (FF4)</v>
      </c>
      <c r="R197" s="116"/>
      <c r="S197" s="119">
        <f ca="1">SUM(T197:BG197)</f>
        <v>0</v>
      </c>
      <c r="T197" s="114">
        <f t="shared" ref="T197" ca="1" si="698">IF(T193="","",g_interest_FF4*(S196+(T194/2)-(T195/2)))</f>
        <v>0</v>
      </c>
      <c r="U197" s="114">
        <f t="shared" ref="U197" ca="1" si="699">IF(U193="","",g_interest_FF4*(T196+(U194/2)-(U195/2)))</f>
        <v>0</v>
      </c>
      <c r="V197" s="114">
        <f t="shared" ref="V197" ca="1" si="700">IF(V193="","",g_interest_FF4*(U196+(V194/2)-(V195/2)))</f>
        <v>0</v>
      </c>
      <c r="W197" s="114">
        <f t="shared" ref="W197" ca="1" si="701">IF(W193="","",g_interest_FF4*(V196+(W194/2)-(W195/2)))</f>
        <v>0</v>
      </c>
      <c r="X197" s="114" t="str">
        <f t="shared" ref="X197" ca="1" si="702">IF(X193="","",g_interest_FF4*(W196+(X194/2)-(X195/2)))</f>
        <v/>
      </c>
      <c r="Y197" s="114" t="str">
        <f t="shared" ref="Y197" ca="1" si="703">IF(Y193="","",g_interest_FF4*(X196+(Y194/2)-(Y195/2)))</f>
        <v/>
      </c>
      <c r="Z197" s="114" t="str">
        <f t="shared" ref="Z197" ca="1" si="704">IF(Z193="","",g_interest_FF4*(Y196+(Z194/2)-(Z195/2)))</f>
        <v/>
      </c>
      <c r="AA197" s="114" t="str">
        <f t="shared" ref="AA197" ca="1" si="705">IF(AA193="","",g_interest_FF4*(Z196+(AA194/2)-(AA195/2)))</f>
        <v/>
      </c>
      <c r="AB197" s="114" t="str">
        <f t="shared" ref="AB197" ca="1" si="706">IF(AB193="","",g_interest_FF4*(AA196+(AB194/2)-(AB195/2)))</f>
        <v/>
      </c>
      <c r="AC197" s="114" t="str">
        <f t="shared" ref="AC197" ca="1" si="707">IF(AC193="","",g_interest_FF4*(AB196+(AC194/2)-(AC195/2)))</f>
        <v/>
      </c>
      <c r="AD197" s="114" t="str">
        <f t="shared" ref="AD197" ca="1" si="708">IF(AD193="","",g_interest_FF4*(AC196+(AD194/2)-(AD195/2)))</f>
        <v/>
      </c>
      <c r="AE197" s="114" t="str">
        <f t="shared" ref="AE197" ca="1" si="709">IF(AE193="","",g_interest_FF4*(AD196+(AE194/2)-(AE195/2)))</f>
        <v/>
      </c>
      <c r="AF197" s="114" t="str">
        <f t="shared" ref="AF197" ca="1" si="710">IF(AF193="","",g_interest_FF4*(AE196+(AF194/2)-(AF195/2)))</f>
        <v/>
      </c>
      <c r="AG197" s="114" t="str">
        <f t="shared" ref="AG197" ca="1" si="711">IF(AG193="","",g_interest_FF4*(AF196+(AG194/2)-(AG195/2)))</f>
        <v/>
      </c>
      <c r="AH197" s="114" t="str">
        <f t="shared" ref="AH197" ca="1" si="712">IF(AH193="","",g_interest_FF4*(AG196+(AH194/2)-(AH195/2)))</f>
        <v/>
      </c>
      <c r="AI197" s="114" t="str">
        <f t="shared" ref="AI197" ca="1" si="713">IF(AI193="","",g_interest_FF4*(AH196+(AI194/2)-(AI195/2)))</f>
        <v/>
      </c>
      <c r="AJ197" s="114" t="str">
        <f t="shared" ref="AJ197" ca="1" si="714">IF(AJ193="","",g_interest_FF4*(AI196+(AJ194/2)-(AJ195/2)))</f>
        <v/>
      </c>
      <c r="AK197" s="114" t="str">
        <f t="shared" ref="AK197" ca="1" si="715">IF(AK193="","",g_interest_FF4*(AJ196+(AK194/2)-(AK195/2)))</f>
        <v/>
      </c>
      <c r="AL197" s="114" t="str">
        <f t="shared" ref="AL197" ca="1" si="716">IF(AL193="","",g_interest_FF4*(AK196+(AL194/2)-(AL195/2)))</f>
        <v/>
      </c>
      <c r="AM197" s="114" t="str">
        <f t="shared" ref="AM197" ca="1" si="717">IF(AM193="","",g_interest_FF4*(AL196+(AM194/2)-(AM195/2)))</f>
        <v/>
      </c>
      <c r="AN197" s="114" t="str">
        <f t="shared" ref="AN197" ca="1" si="718">IF(AN193="","",g_interest_FF4*(AM196+(AN194/2)-(AN195/2)))</f>
        <v/>
      </c>
      <c r="AO197" s="114" t="str">
        <f t="shared" ref="AO197" ca="1" si="719">IF(AO193="","",g_interest_FF4*(AN196+(AO194/2)-(AO195/2)))</f>
        <v/>
      </c>
      <c r="AP197" s="114" t="str">
        <f t="shared" ref="AP197" ca="1" si="720">IF(AP193="","",g_interest_FF4*(AO196+(AP194/2)-(AP195/2)))</f>
        <v/>
      </c>
      <c r="AQ197" s="114" t="str">
        <f t="shared" ref="AQ197" ca="1" si="721">IF(AQ193="","",g_interest_FF4*(AP196+(AQ194/2)-(AQ195/2)))</f>
        <v/>
      </c>
      <c r="AR197" s="114" t="str">
        <f t="shared" ref="AR197" ca="1" si="722">IF(AR193="","",g_interest_FF4*(AQ196+(AR194/2)-(AR195/2)))</f>
        <v/>
      </c>
      <c r="AS197" s="114" t="str">
        <f t="shared" ref="AS197" ca="1" si="723">IF(AS193="","",g_interest_FF4*(AR196+(AS194/2)-(AS195/2)))</f>
        <v/>
      </c>
      <c r="AT197" s="114" t="str">
        <f t="shared" ref="AT197" ca="1" si="724">IF(AT193="","",g_interest_FF4*(AS196+(AT194/2)-(AT195/2)))</f>
        <v/>
      </c>
      <c r="AU197" s="114" t="str">
        <f t="shared" ref="AU197" ca="1" si="725">IF(AU193="","",g_interest_FF4*(AT196+(AU194/2)-(AU195/2)))</f>
        <v/>
      </c>
      <c r="AV197" s="114" t="str">
        <f t="shared" ref="AV197" ca="1" si="726">IF(AV193="","",g_interest_FF4*(AU196+(AV194/2)-(AV195/2)))</f>
        <v/>
      </c>
      <c r="AW197" s="114" t="str">
        <f t="shared" ref="AW197" ca="1" si="727">IF(AW193="","",g_interest_FF4*(AV196+(AW194/2)-(AW195/2)))</f>
        <v/>
      </c>
      <c r="AX197" s="90"/>
      <c r="AY197" s="90"/>
      <c r="AZ197" s="87"/>
    </row>
    <row r="198" spans="3:52" ht="12.75" hidden="1" customHeight="1" outlineLevel="1" x14ac:dyDescent="0.2">
      <c r="N198" s="85"/>
      <c r="O198" s="90"/>
      <c r="P198" s="90"/>
      <c r="Q198" s="118" t="str">
        <f>INDEX(g_assets_sc_1,11)</f>
        <v/>
      </c>
      <c r="R198" s="118"/>
      <c r="S198" s="113"/>
      <c r="T198" s="125">
        <f ca="1">T$157</f>
        <v>2026</v>
      </c>
      <c r="U198" s="125">
        <f t="shared" ref="U198:AW198" ca="1" si="728">U$157</f>
        <v>2027</v>
      </c>
      <c r="V198" s="125">
        <f t="shared" ca="1" si="728"/>
        <v>2028</v>
      </c>
      <c r="W198" s="125">
        <f t="shared" ca="1" si="728"/>
        <v>2029</v>
      </c>
      <c r="X198" s="125" t="str">
        <f t="shared" ca="1" si="728"/>
        <v/>
      </c>
      <c r="Y198" s="125" t="str">
        <f t="shared" ca="1" si="728"/>
        <v/>
      </c>
      <c r="Z198" s="125" t="str">
        <f t="shared" ca="1" si="728"/>
        <v/>
      </c>
      <c r="AA198" s="125" t="str">
        <f t="shared" ca="1" si="728"/>
        <v/>
      </c>
      <c r="AB198" s="125" t="str">
        <f t="shared" ca="1" si="728"/>
        <v/>
      </c>
      <c r="AC198" s="125" t="str">
        <f t="shared" ca="1" si="728"/>
        <v/>
      </c>
      <c r="AD198" s="125" t="str">
        <f t="shared" ca="1" si="728"/>
        <v/>
      </c>
      <c r="AE198" s="125" t="str">
        <f t="shared" ca="1" si="728"/>
        <v/>
      </c>
      <c r="AF198" s="125" t="str">
        <f t="shared" ca="1" si="728"/>
        <v/>
      </c>
      <c r="AG198" s="125" t="str">
        <f t="shared" ca="1" si="728"/>
        <v/>
      </c>
      <c r="AH198" s="125" t="str">
        <f t="shared" ca="1" si="728"/>
        <v/>
      </c>
      <c r="AI198" s="125" t="str">
        <f t="shared" ca="1" si="728"/>
        <v/>
      </c>
      <c r="AJ198" s="125" t="str">
        <f t="shared" ca="1" si="728"/>
        <v/>
      </c>
      <c r="AK198" s="125" t="str">
        <f t="shared" ca="1" si="728"/>
        <v/>
      </c>
      <c r="AL198" s="125" t="str">
        <f t="shared" ca="1" si="728"/>
        <v/>
      </c>
      <c r="AM198" s="125" t="str">
        <f t="shared" ca="1" si="728"/>
        <v/>
      </c>
      <c r="AN198" s="125" t="str">
        <f t="shared" ca="1" si="728"/>
        <v/>
      </c>
      <c r="AO198" s="125" t="str">
        <f t="shared" ca="1" si="728"/>
        <v/>
      </c>
      <c r="AP198" s="125" t="str">
        <f t="shared" ca="1" si="728"/>
        <v/>
      </c>
      <c r="AQ198" s="125" t="str">
        <f t="shared" ca="1" si="728"/>
        <v/>
      </c>
      <c r="AR198" s="125" t="str">
        <f t="shared" ca="1" si="728"/>
        <v/>
      </c>
      <c r="AS198" s="125" t="str">
        <f t="shared" ca="1" si="728"/>
        <v/>
      </c>
      <c r="AT198" s="125" t="str">
        <f t="shared" ca="1" si="728"/>
        <v/>
      </c>
      <c r="AU198" s="125" t="str">
        <f t="shared" ca="1" si="728"/>
        <v/>
      </c>
      <c r="AV198" s="125" t="str">
        <f t="shared" ca="1" si="728"/>
        <v/>
      </c>
      <c r="AW198" s="125" t="str">
        <f t="shared" ca="1" si="728"/>
        <v/>
      </c>
      <c r="AX198" s="90"/>
      <c r="AY198" s="90"/>
      <c r="AZ198" s="87"/>
    </row>
    <row r="199" spans="3:52" ht="12.75" hidden="1" customHeight="1" outlineLevel="1" x14ac:dyDescent="0.2">
      <c r="C199" s="126">
        <f>INDEX(g_sc_1_assets_dates,G199)</f>
        <v>0</v>
      </c>
      <c r="G199" s="127">
        <v>9</v>
      </c>
      <c r="N199" s="85"/>
      <c r="O199" s="90"/>
      <c r="P199" s="90"/>
      <c r="Q199" s="115" t="str">
        <f>INDEX(g_lang_val,MATCH("tb_2_4_1",g_lang_key,0))</f>
        <v>Køb af anlægsaktiver</v>
      </c>
      <c r="R199" s="116"/>
      <c r="S199" s="119">
        <f ca="1">SUM(T199:BG199)</f>
        <v>0</v>
      </c>
      <c r="T199" s="114">
        <f ca="1">IF(T198="","",SUMPRODUCT(--(Leverancer!$C$28:$C$88=($G199+2)),Leverancer!D$28:D$88)/1000)</f>
        <v>0</v>
      </c>
      <c r="U199" s="114">
        <f ca="1">IF(U198="","",SUMPRODUCT(--(Leverancer!$C$28:$C$88=($G199+2)),Leverancer!E$28:E$88)/1000)</f>
        <v>0</v>
      </c>
      <c r="V199" s="114">
        <f ca="1">IF(V198="","",SUMPRODUCT(--(Leverancer!$C$28:$C$88=($G199+2)),Leverancer!F$28:F$88)/1000)</f>
        <v>0</v>
      </c>
      <c r="W199" s="114">
        <f ca="1">IF(W198="","",SUMPRODUCT(--(Leverancer!$C$28:$C$88=($G199+2)),Leverancer!G$28:G$88)/1000)</f>
        <v>0</v>
      </c>
      <c r="X199" s="114" t="str">
        <f ca="1">IF(X198="","",SUMPRODUCT(--(Leverancer!$C$28:$C$88=($G199+2)),Leverancer!H$28:H$88)/1000)</f>
        <v/>
      </c>
      <c r="Y199" s="114" t="str">
        <f ca="1">IF(Y198="","",SUMPRODUCT(--(Leverancer!$C$28:$C$88=($G199+2)),Leverancer!I$28:I$88)/1000)</f>
        <v/>
      </c>
      <c r="Z199" s="114" t="str">
        <f ca="1">IF(Z198="","",SUMPRODUCT(--(Leverancer!$C$28:$C$88=($G199+2)),Leverancer!J$28:J$88)/1000)</f>
        <v/>
      </c>
      <c r="AA199" s="114" t="str">
        <f ca="1">IF(AA198="","",SUMPRODUCT(--(Leverancer!$C$28:$C$88=($G199+2)),Leverancer!K$28:K$88)/1000)</f>
        <v/>
      </c>
      <c r="AB199" s="114" t="str">
        <f ca="1">IF(AB198="","",SUMPRODUCT(--(Leverancer!$C$28:$C$88=($G199+2)),Leverancer!L$28:L$88)/1000)</f>
        <v/>
      </c>
      <c r="AC199" s="114" t="str">
        <f ca="1">IF(AC198="","",SUMPRODUCT(--(Leverancer!$C$28:$C$88=($G199+2)),Leverancer!M$28:M$88)/1000)</f>
        <v/>
      </c>
      <c r="AD199" s="114" t="str">
        <f ca="1">IF(AD198="","",SUMPRODUCT(--(Leverancer!$C$28:$C$88=($G199+2)),Leverancer!N$28:N$88)/1000)</f>
        <v/>
      </c>
      <c r="AE199" s="114" t="str">
        <f ca="1">IF(AE198="","",SUMPRODUCT(--(Leverancer!$C$28:$C$88=($G199+2)),Leverancer!O$28:O$88)/1000)</f>
        <v/>
      </c>
      <c r="AF199" s="114" t="str">
        <f ca="1">IF(AF198="","",SUMPRODUCT(--(Leverancer!$C$28:$C$88=($G199+2)),Leverancer!P$28:P$88)/1000)</f>
        <v/>
      </c>
      <c r="AG199" s="114" t="str">
        <f ca="1">IF(AG198="","",SUMPRODUCT(--(Leverancer!$C$28:$C$88=($G199+2)),Leverancer!Q$28:Q$88)/1000)</f>
        <v/>
      </c>
      <c r="AH199" s="114" t="str">
        <f ca="1">IF(AH198="","",SUMPRODUCT(--(Leverancer!$C$28:$C$88=($G199+2)),Leverancer!R$28:R$88)/1000)</f>
        <v/>
      </c>
      <c r="AI199" s="114" t="str">
        <f ca="1">IF(AI198="","",SUMPRODUCT(--(Leverancer!$C$28:$C$88=($G199+2)),Leverancer!S$28:S$88)/1000)</f>
        <v/>
      </c>
      <c r="AJ199" s="114" t="str">
        <f ca="1">IF(AJ198="","",SUMPRODUCT(--(Leverancer!$C$28:$C$88=($G199+2)),Leverancer!T$28:T$88)/1000)</f>
        <v/>
      </c>
      <c r="AK199" s="114" t="str">
        <f ca="1">IF(AK198="","",SUMPRODUCT(--(Leverancer!$C$28:$C$88=($G199+2)),Leverancer!U$28:U$88)/1000)</f>
        <v/>
      </c>
      <c r="AL199" s="114" t="str">
        <f ca="1">IF(AL198="","",SUMPRODUCT(--(Leverancer!$C$28:$C$88=($G199+2)),Leverancer!V$28:V$88)/1000)</f>
        <v/>
      </c>
      <c r="AM199" s="114" t="str">
        <f ca="1">IF(AM198="","",SUMPRODUCT(--(Leverancer!$C$28:$C$88=($G199+2)),Leverancer!W$28:W$88)/1000)</f>
        <v/>
      </c>
      <c r="AN199" s="114" t="str">
        <f ca="1">IF(AN198="","",SUMPRODUCT(--(Leverancer!$C$28:$C$88=($G199+2)),Leverancer!X$28:X$88)/1000)</f>
        <v/>
      </c>
      <c r="AO199" s="114" t="str">
        <f ca="1">IF(AO198="","",SUMPRODUCT(--(Leverancer!$C$28:$C$88=($G199+2)),Leverancer!Y$28:Y$88)/1000)</f>
        <v/>
      </c>
      <c r="AP199" s="114" t="str">
        <f ca="1">IF(AP198="","",SUMPRODUCT(--(Leverancer!$C$28:$C$88=($G199+2)),Leverancer!Z$28:Z$88)/1000)</f>
        <v/>
      </c>
      <c r="AQ199" s="114" t="str">
        <f ca="1">IF(AQ198="","",SUMPRODUCT(--(Leverancer!$C$28:$C$88=($G199+2)),Leverancer!AA$28:AA$88)/1000)</f>
        <v/>
      </c>
      <c r="AR199" s="114" t="str">
        <f ca="1">IF(AR198="","",SUMPRODUCT(--(Leverancer!$C$28:$C$88=($G199+2)),Leverancer!AB$28:AB$88)/1000)</f>
        <v/>
      </c>
      <c r="AS199" s="114" t="str">
        <f ca="1">IF(AS198="","",SUMPRODUCT(--(Leverancer!$C$28:$C$88=($G199+2)),Leverancer!AC$28:AC$88)/1000)</f>
        <v/>
      </c>
      <c r="AT199" s="114" t="str">
        <f ca="1">IF(AT198="","",SUMPRODUCT(--(Leverancer!$C$28:$C$88=($G199+2)),Leverancer!AD$28:AD$88)/1000)</f>
        <v/>
      </c>
      <c r="AU199" s="114" t="str">
        <f ca="1">IF(AU198="","",SUMPRODUCT(--(Leverancer!$C$28:$C$88=($G199+2)),Leverancer!AE$28:AE$88)/1000)</f>
        <v/>
      </c>
      <c r="AV199" s="114" t="str">
        <f ca="1">IF(AV198="","",SUMPRODUCT(--(Leverancer!$C$28:$C$88=($G199+2)),Leverancer!AF$28:AF$88)/1000)</f>
        <v/>
      </c>
      <c r="AW199" s="114" t="str">
        <f ca="1">IF(AW198="","",SUMPRODUCT(--(Leverancer!$C$28:$C$88=($G199+2)),Leverancer!AG$28:AG$88)/1000)</f>
        <v/>
      </c>
      <c r="AX199" s="114"/>
      <c r="AY199" s="90"/>
      <c r="AZ199" s="87"/>
    </row>
    <row r="200" spans="3:52" ht="12.75" hidden="1" customHeight="1" outlineLevel="1" x14ac:dyDescent="0.2">
      <c r="C200" s="128">
        <f>IFERROR(YEAR(C199),"")</f>
        <v>1900</v>
      </c>
      <c r="D200" s="128">
        <f>IFERROR(MONTH(C199),"")</f>
        <v>1</v>
      </c>
      <c r="E200" s="128">
        <f>INDEX(g_sc_1_assets_years,G199)</f>
        <v>0</v>
      </c>
      <c r="N200" s="85"/>
      <c r="O200" s="90"/>
      <c r="P200" s="90"/>
      <c r="Q200" s="115" t="str">
        <f>INDEX(g_lang_val,MATCH("tb_2_4_2",g_lang_key,0))</f>
        <v>Afskrivninger</v>
      </c>
      <c r="R200" s="116"/>
      <c r="S200" s="119">
        <f ca="1">SUM(T200:BG200)</f>
        <v>0</v>
      </c>
      <c r="T200" s="114">
        <f t="shared" ref="T200" ca="1" si="729">IF(T198="","",IF(T198&lt;$C200,0,IF(T198=$C200,T199/$C201*$E201+S201/$C201*$E201,IF(AND(T198&gt;$C200,T198&lt;ROUNDDOWN(($C200+($D200+$C201-1)/12),0)),(T199/2+S201)/($C201-$E201-12*(T198-$C200-1))*12,IF(AND($D201&lt;0,T198=ROUNDDOWN(($C200+($D200+$C201-1)/12),0)),S201+T199,IF(T198=ROUNDDOWN(($C200+($D200+$C201-1)/12),0),(T199+S201)/$C201*($D201+(T198-$C200-1)*12+$E201),IF(T198&gt;ROUNDDOWN(($C200+($D200+$C201)/12),0),0,0)))))))</f>
        <v>0</v>
      </c>
      <c r="U200" s="114">
        <f t="shared" ref="U200" ca="1" si="730">IF(U198="","",IF(U198&lt;$C200,0,IF(U198=$C200,U199/$C201*$E201+T201/$C201*$E201,IF(AND(U198&gt;$C200,U198&lt;ROUNDDOWN(($C200+($D200+$C201-1)/12),0)),(U199/2+T201)/($C201-$E201-12*(U198-$C200-1))*12,IF(AND($D201&lt;0,U198=ROUNDDOWN(($C200+($D200+$C201-1)/12),0)),T201+U199,IF(U198=ROUNDDOWN(($C200+($D200+$C201-1)/12),0),(U199+T201)/$C201*($D201+(U198-$C200-1)*12+$E201),IF(U198&gt;ROUNDDOWN(($C200+($D200+$C201)/12),0),0,0)))))))</f>
        <v>0</v>
      </c>
      <c r="V200" s="114">
        <f t="shared" ref="V200" ca="1" si="731">IF(V198="","",IF(V198&lt;$C200,0,IF(V198=$C200,V199/$C201*$E201+U201/$C201*$E201,IF(AND(V198&gt;$C200,V198&lt;ROUNDDOWN(($C200+($D200+$C201-1)/12),0)),(V199/2+U201)/($C201-$E201-12*(V198-$C200-1))*12,IF(AND($D201&lt;0,V198=ROUNDDOWN(($C200+($D200+$C201-1)/12),0)),U201+V199,IF(V198=ROUNDDOWN(($C200+($D200+$C201-1)/12),0),(V199+U201)/$C201*($D201+(V198-$C200-1)*12+$E201),IF(V198&gt;ROUNDDOWN(($C200+($D200+$C201)/12),0),0,0)))))))</f>
        <v>0</v>
      </c>
      <c r="W200" s="114">
        <f t="shared" ref="W200" ca="1" si="732">IF(W198="","",IF(W198&lt;$C200,0,IF(W198=$C200,W199/$C201*$E201+V201/$C201*$E201,IF(AND(W198&gt;$C200,W198&lt;ROUNDDOWN(($C200+($D200+$C201-1)/12),0)),(W199/2+V201)/($C201-$E201-12*(W198-$C200-1))*12,IF(AND($D201&lt;0,W198=ROUNDDOWN(($C200+($D200+$C201-1)/12),0)),V201+W199,IF(W198=ROUNDDOWN(($C200+($D200+$C201-1)/12),0),(W199+V201)/$C201*($D201+(W198-$C200-1)*12+$E201),IF(W198&gt;ROUNDDOWN(($C200+($D200+$C201)/12),0),0,0)))))))</f>
        <v>0</v>
      </c>
      <c r="X200" s="114" t="str">
        <f t="shared" ref="X200" ca="1" si="733">IF(X198="","",IF(X198&lt;$C200,0,IF(X198=$C200,X199/$C201*$E201+W201/$C201*$E201,IF(AND(X198&gt;$C200,X198&lt;ROUNDDOWN(($C200+($D200+$C201-1)/12),0)),(X199/2+W201)/($C201-$E201-12*(X198-$C200-1))*12,IF(AND($D201&lt;0,X198=ROUNDDOWN(($C200+($D200+$C201-1)/12),0)),W201+X199,IF(X198=ROUNDDOWN(($C200+($D200+$C201-1)/12),0),(X199+W201)/$C201*($D201+(X198-$C200-1)*12+$E201),IF(X198&gt;ROUNDDOWN(($C200+($D200+$C201)/12),0),0,0)))))))</f>
        <v/>
      </c>
      <c r="Y200" s="114" t="str">
        <f t="shared" ref="Y200" ca="1" si="734">IF(Y198="","",IF(Y198&lt;$C200,0,IF(Y198=$C200,Y199/$C201*$E201+X201/$C201*$E201,IF(AND(Y198&gt;$C200,Y198&lt;ROUNDDOWN(($C200+($D200+$C201-1)/12),0)),(Y199/2+X201)/($C201-$E201-12*(Y198-$C200-1))*12,IF(AND($D201&lt;0,Y198=ROUNDDOWN(($C200+($D200+$C201-1)/12),0)),X201+Y199,IF(Y198=ROUNDDOWN(($C200+($D200+$C201-1)/12),0),(Y199+X201)/$C201*($D201+(Y198-$C200-1)*12+$E201),IF(Y198&gt;ROUNDDOWN(($C200+($D200+$C201)/12),0),0,0)))))))</f>
        <v/>
      </c>
      <c r="Z200" s="114" t="str">
        <f ca="1">IF(Z198="","",IF(Z198&lt;$C200,0,IF(Z198=$C200,Z199/$C201*$E201+Y201/$C201*$E201,IF(AND(Z198&gt;$C200,Z198&lt;ROUNDDOWN(($C200+($D200+$C201-1)/12),0)),(Z199/2+Y201)/($C201-$E201-12*(Z198-$C200-1))*12,IF(AND($D201&lt;0,Z198=ROUNDDOWN(($C200+($D200+$C201-1)/12),0)),Y201+Z199,IF(Z198=ROUNDDOWN(($C200+($D200+$C201-1)/12),0),(Z199+Y201)/$C201*($D201+(Z198-$C200-1)*12+$E201),IF(Z198&gt;ROUNDDOWN(($C200+($D200+$C201)/12),0),0,0)))))))</f>
        <v/>
      </c>
      <c r="AA200" s="114" t="str">
        <f t="shared" ref="AA200" ca="1" si="735">IF(AA198="","",IF(AA198&lt;$C200,0,IF(AA198=$C200,AA199/$C201*$E201+Z201/$C201*$E201,IF(AND(AA198&gt;$C200,AA198&lt;ROUNDDOWN(($C200+($D200+$C201-1)/12),0)),(AA199/2+Z201)/($C201-$E201-12*(AA198-$C200-1))*12,IF(AND($D201&lt;0,AA198=ROUNDDOWN(($C200+($D200+$C201-1)/12),0)),Z201+AA199,IF(AA198=ROUNDDOWN(($C200+($D200+$C201-1)/12),0),(AA199+Z201)/$C201*($D201+(AA198-$C200-1)*12+$E201),IF(AA198&gt;ROUNDDOWN(($C200+($D200+$C201)/12),0),0,0)))))))</f>
        <v/>
      </c>
      <c r="AB200" s="114" t="str">
        <f t="shared" ref="AB200" ca="1" si="736">IF(AB198="","",IF(AB198&lt;$C200,0,IF(AB198=$C200,AB199/$C201*$E201+AA201/$C201*$E201,IF(AND(AB198&gt;$C200,AB198&lt;ROUNDDOWN(($C200+($D200+$C201-1)/12),0)),(AB199/2+AA201)/($C201-$E201-12*(AB198-$C200-1))*12,IF(AND($D201&lt;0,AB198=ROUNDDOWN(($C200+($D200+$C201-1)/12),0)),AA201+AB199,IF(AB198=ROUNDDOWN(($C200+($D200+$C201-1)/12),0),(AB199+AA201)/$C201*($D201+(AB198-$C200-1)*12+$E201),IF(AB198&gt;ROUNDDOWN(($C200+($D200+$C201)/12),0),0,0)))))))</f>
        <v/>
      </c>
      <c r="AC200" s="114" t="str">
        <f t="shared" ref="AC200" ca="1" si="737">IF(AC198="","",IF(AC198&lt;$C200,0,IF(AC198=$C200,AC199/$C201*$E201+AB201/$C201*$E201,IF(AND(AC198&gt;$C200,AC198&lt;ROUNDDOWN(($C200+($D200+$C201-1)/12),0)),(AC199/2+AB201)/($C201-$E201-12*(AC198-$C200-1))*12,IF(AND($D201&lt;0,AC198=ROUNDDOWN(($C200+($D200+$C201-1)/12),0)),AB201+AC199,IF(AC198=ROUNDDOWN(($C200+($D200+$C201-1)/12),0),(AC199+AB201)/$C201*($D201+(AC198-$C200-1)*12+$E201),IF(AC198&gt;ROUNDDOWN(($C200+($D200+$C201)/12),0),0,0)))))))</f>
        <v/>
      </c>
      <c r="AD200" s="114" t="str">
        <f t="shared" ref="AD200" ca="1" si="738">IF(AD198="","",IF(AD198&lt;$C200,0,IF(AD198=$C200,AD199/$C201*$E201+AC201/$C201*$E201,IF(AND(AD198&gt;$C200,AD198&lt;ROUNDDOWN(($C200+($D200+$C201-1)/12),0)),(AD199/2+AC201)/($C201-$E201-12*(AD198-$C200-1))*12,IF(AND($D201&lt;0,AD198=ROUNDDOWN(($C200+($D200+$C201-1)/12),0)),AC201+AD199,IF(AD198=ROUNDDOWN(($C200+($D200+$C201-1)/12),0),(AD199+AC201)/$C201*($D201+(AD198-$C200-1)*12+$E201),IF(AD198&gt;ROUNDDOWN(($C200+($D200+$C201)/12),0),0,0)))))))</f>
        <v/>
      </c>
      <c r="AE200" s="114" t="str">
        <f t="shared" ref="AE200" ca="1" si="739">IF(AE198="","",IF(AE198&lt;$C200,0,IF(AE198=$C200,AE199/$C201*$E201+AD201/$C201*$E201,IF(AND(AE198&gt;$C200,AE198&lt;ROUNDDOWN(($C200+($D200+$C201-1)/12),0)),(AE199/2+AD201)/($C201-$E201-12*(AE198-$C200-1))*12,IF(AND($D201&lt;0,AE198=ROUNDDOWN(($C200+($D200+$C201-1)/12),0)),AD201+AE199,IF(AE198=ROUNDDOWN(($C200+($D200+$C201-1)/12),0),(AE199+AD201)/$C201*($D201+(AE198-$C200-1)*12+$E201),IF(AE198&gt;ROUNDDOWN(($C200+($D200+$C201)/12),0),0,0)))))))</f>
        <v/>
      </c>
      <c r="AF200" s="114" t="str">
        <f t="shared" ref="AF200" ca="1" si="740">IF(AF198="","",IF(AF198&lt;$C200,0,IF(AF198=$C200,AF199/$C201*$E201+AE201/$C201*$E201,IF(AND(AF198&gt;$C200,AF198&lt;ROUNDDOWN(($C200+($D200+$C201-1)/12),0)),(AF199/2+AE201)/($C201-$E201-12*(AF198-$C200-1))*12,IF(AND($D201&lt;0,AF198=ROUNDDOWN(($C200+($D200+$C201-1)/12),0)),AE201+AF199,IF(AF198=ROUNDDOWN(($C200+($D200+$C201-1)/12),0),(AF199+AE201)/$C201*($D201+(AF198-$C200-1)*12+$E201),IF(AF198&gt;ROUNDDOWN(($C200+($D200+$C201)/12),0),0,0)))))))</f>
        <v/>
      </c>
      <c r="AG200" s="114" t="str">
        <f t="shared" ref="AG200" ca="1" si="741">IF(AG198="","",IF(AG198&lt;$C200,0,IF(AG198=$C200,AG199/$C201*$E201+AF201/$C201*$E201,IF(AND(AG198&gt;$C200,AG198&lt;ROUNDDOWN(($C200+($D200+$C201-1)/12),0)),(AG199/2+AF201)/($C201-$E201-12*(AG198-$C200-1))*12,IF(AND($D201&lt;0,AG198=ROUNDDOWN(($C200+($D200+$C201-1)/12),0)),AF201+AG199,IF(AG198=ROUNDDOWN(($C200+($D200+$C201-1)/12),0),(AG199+AF201)/$C201*($D201+(AG198-$C200-1)*12+$E201),IF(AG198&gt;ROUNDDOWN(($C200+($D200+$C201)/12),0),0,0)))))))</f>
        <v/>
      </c>
      <c r="AH200" s="114" t="str">
        <f t="shared" ref="AH200" ca="1" si="742">IF(AH198="","",IF(AH198&lt;$C200,0,IF(AH198=$C200,AH199/$C201*$E201+AG201/$C201*$E201,IF(AND(AH198&gt;$C200,AH198&lt;ROUNDDOWN(($C200+($D200+$C201-1)/12),0)),(AH199/2+AG201)/($C201-$E201-12*(AH198-$C200-1))*12,IF(AND($D201&lt;0,AH198=ROUNDDOWN(($C200+($D200+$C201-1)/12),0)),AG201+AH199,IF(AH198=ROUNDDOWN(($C200+($D200+$C201-1)/12),0),(AH199+AG201)/$C201*($D201+(AH198-$C200-1)*12+$E201),IF(AH198&gt;ROUNDDOWN(($C200+($D200+$C201)/12),0),0,0)))))))</f>
        <v/>
      </c>
      <c r="AI200" s="114" t="str">
        <f t="shared" ref="AI200" ca="1" si="743">IF(AI198="","",IF(AI198&lt;$C200,0,IF(AI198=$C200,AI199/$C201*$E201+AH201/$C201*$E201,IF(AND(AI198&gt;$C200,AI198&lt;ROUNDDOWN(($C200+($D200+$C201-1)/12),0)),(AI199/2+AH201)/($C201-$E201-12*(AI198-$C200-1))*12,IF(AND($D201&lt;0,AI198=ROUNDDOWN(($C200+($D200+$C201-1)/12),0)),AH201+AI199,IF(AI198=ROUNDDOWN(($C200+($D200+$C201-1)/12),0),(AI199+AH201)/$C201*($D201+(AI198-$C200-1)*12+$E201),IF(AI198&gt;ROUNDDOWN(($C200+($D200+$C201)/12),0),0,0)))))))</f>
        <v/>
      </c>
      <c r="AJ200" s="114" t="str">
        <f t="shared" ref="AJ200" ca="1" si="744">IF(AJ198="","",IF(AJ198&lt;$C200,0,IF(AJ198=$C200,AJ199/$C201*$E201+AI201/$C201*$E201,IF(AND(AJ198&gt;$C200,AJ198&lt;ROUNDDOWN(($C200+($D200+$C201-1)/12),0)),(AJ199/2+AI201)/($C201-$E201-12*(AJ198-$C200-1))*12,IF(AND($D201&lt;0,AJ198=ROUNDDOWN(($C200+($D200+$C201-1)/12),0)),AI201+AJ199,IF(AJ198=ROUNDDOWN(($C200+($D200+$C201-1)/12),0),(AJ199+AI201)/$C201*($D201+(AJ198-$C200-1)*12+$E201),IF(AJ198&gt;ROUNDDOWN(($C200+($D200+$C201)/12),0),0,0)))))))</f>
        <v/>
      </c>
      <c r="AK200" s="114" t="str">
        <f t="shared" ref="AK200" ca="1" si="745">IF(AK198="","",IF(AK198&lt;$C200,0,IF(AK198=$C200,AK199/$C201*$E201+AJ201/$C201*$E201,IF(AND(AK198&gt;$C200,AK198&lt;ROUNDDOWN(($C200+($D200+$C201-1)/12),0)),(AK199/2+AJ201)/($C201-$E201-12*(AK198-$C200-1))*12,IF(AND($D201&lt;0,AK198=ROUNDDOWN(($C200+($D200+$C201-1)/12),0)),AJ201+AK199,IF(AK198=ROUNDDOWN(($C200+($D200+$C201-1)/12),0),(AK199+AJ201)/$C201*($D201+(AK198-$C200-1)*12+$E201),IF(AK198&gt;ROUNDDOWN(($C200+($D200+$C201)/12),0),0,0)))))))</f>
        <v/>
      </c>
      <c r="AL200" s="114" t="str">
        <f t="shared" ref="AL200" ca="1" si="746">IF(AL198="","",IF(AL198&lt;$C200,0,IF(AL198=$C200,AL199/$C201*$E201+AK201/$C201*$E201,IF(AND(AL198&gt;$C200,AL198&lt;ROUNDDOWN(($C200+($D200+$C201-1)/12),0)),(AL199/2+AK201)/($C201-$E201-12*(AL198-$C200-1))*12,IF(AND($D201&lt;0,AL198=ROUNDDOWN(($C200+($D200+$C201-1)/12),0)),AK201+AL199,IF(AL198=ROUNDDOWN(($C200+($D200+$C201-1)/12),0),(AL199+AK201)/$C201*($D201+(AL198-$C200-1)*12+$E201),IF(AL198&gt;ROUNDDOWN(($C200+($D200+$C201)/12),0),0,0)))))))</f>
        <v/>
      </c>
      <c r="AM200" s="114" t="str">
        <f t="shared" ref="AM200" ca="1" si="747">IF(AM198="","",IF(AM198&lt;$C200,0,IF(AM198=$C200,AM199/$C201*$E201+AL201/$C201*$E201,IF(AND(AM198&gt;$C200,AM198&lt;ROUNDDOWN(($C200+($D200+$C201-1)/12),0)),(AM199/2+AL201)/($C201-$E201-12*(AM198-$C200-1))*12,IF(AND($D201&lt;0,AM198=ROUNDDOWN(($C200+($D200+$C201-1)/12),0)),AL201+AM199,IF(AM198=ROUNDDOWN(($C200+($D200+$C201-1)/12),0),(AM199+AL201)/$C201*($D201+(AM198-$C200-1)*12+$E201),IF(AM198&gt;ROUNDDOWN(($C200+($D200+$C201)/12),0),0,0)))))))</f>
        <v/>
      </c>
      <c r="AN200" s="114" t="str">
        <f t="shared" ref="AN200" ca="1" si="748">IF(AN198="","",IF(AN198&lt;$C200,0,IF(AN198=$C200,AN199/$C201*$E201+AM201/$C201*$E201,IF(AND(AN198&gt;$C200,AN198&lt;ROUNDDOWN(($C200+($D200+$C201-1)/12),0)),(AN199/2+AM201)/($C201-$E201-12*(AN198-$C200-1))*12,IF(AND($D201&lt;0,AN198=ROUNDDOWN(($C200+($D200+$C201-1)/12),0)),AM201+AN199,IF(AN198=ROUNDDOWN(($C200+($D200+$C201-1)/12),0),(AN199+AM201)/$C201*($D201+(AN198-$C200-1)*12+$E201),IF(AN198&gt;ROUNDDOWN(($C200+($D200+$C201)/12),0),0,0)))))))</f>
        <v/>
      </c>
      <c r="AO200" s="114" t="str">
        <f t="shared" ref="AO200" ca="1" si="749">IF(AO198="","",IF(AO198&lt;$C200,0,IF(AO198=$C200,AO199/$C201*$E201+AN201/$C201*$E201,IF(AND(AO198&gt;$C200,AO198&lt;ROUNDDOWN(($C200+($D200+$C201-1)/12),0)),(AO199/2+AN201)/($C201-$E201-12*(AO198-$C200-1))*12,IF(AND($D201&lt;0,AO198=ROUNDDOWN(($C200+($D200+$C201-1)/12),0)),AN201+AO199,IF(AO198=ROUNDDOWN(($C200+($D200+$C201-1)/12),0),(AO199+AN201)/$C201*($D201+(AO198-$C200-1)*12+$E201),IF(AO198&gt;ROUNDDOWN(($C200+($D200+$C201)/12),0),0,0)))))))</f>
        <v/>
      </c>
      <c r="AP200" s="114" t="str">
        <f t="shared" ref="AP200" ca="1" si="750">IF(AP198="","",IF(AP198&lt;$C200,0,IF(AP198=$C200,AP199/$C201*$E201+AO201/$C201*$E201,IF(AND(AP198&gt;$C200,AP198&lt;ROUNDDOWN(($C200+($D200+$C201-1)/12),0)),(AP199/2+AO201)/($C201-$E201-12*(AP198-$C200-1))*12,IF(AND($D201&lt;0,AP198=ROUNDDOWN(($C200+($D200+$C201-1)/12),0)),AO201+AP199,IF(AP198=ROUNDDOWN(($C200+($D200+$C201-1)/12),0),(AP199+AO201)/$C201*($D201+(AP198-$C200-1)*12+$E201),IF(AP198&gt;ROUNDDOWN(($C200+($D200+$C201)/12),0),0,0)))))))</f>
        <v/>
      </c>
      <c r="AQ200" s="114" t="str">
        <f t="shared" ref="AQ200" ca="1" si="751">IF(AQ198="","",IF(AQ198&lt;$C200,0,IF(AQ198=$C200,AQ199/$C201*$E201+AP201/$C201*$E201,IF(AND(AQ198&gt;$C200,AQ198&lt;ROUNDDOWN(($C200+($D200+$C201-1)/12),0)),(AQ199/2+AP201)/($C201-$E201-12*(AQ198-$C200-1))*12,IF(AND($D201&lt;0,AQ198=ROUNDDOWN(($C200+($D200+$C201-1)/12),0)),AP201+AQ199,IF(AQ198=ROUNDDOWN(($C200+($D200+$C201-1)/12),0),(AQ199+AP201)/$C201*($D201+(AQ198-$C200-1)*12+$E201),IF(AQ198&gt;ROUNDDOWN(($C200+($D200+$C201)/12),0),0,0)))))))</f>
        <v/>
      </c>
      <c r="AR200" s="114" t="str">
        <f t="shared" ref="AR200" ca="1" si="752">IF(AR198="","",IF(AR198&lt;$C200,0,IF(AR198=$C200,AR199/$C201*$E201+AQ201/$C201*$E201,IF(AND(AR198&gt;$C200,AR198&lt;ROUNDDOWN(($C200+($D200+$C201-1)/12),0)),(AR199/2+AQ201)/($C201-$E201-12*(AR198-$C200-1))*12,IF(AND($D201&lt;0,AR198=ROUNDDOWN(($C200+($D200+$C201-1)/12),0)),AQ201+AR199,IF(AR198=ROUNDDOWN(($C200+($D200+$C201-1)/12),0),(AR199+AQ201)/$C201*($D201+(AR198-$C200-1)*12+$E201),IF(AR198&gt;ROUNDDOWN(($C200+($D200+$C201)/12),0),0,0)))))))</f>
        <v/>
      </c>
      <c r="AS200" s="114" t="str">
        <f t="shared" ref="AS200" ca="1" si="753">IF(AS198="","",IF(AS198&lt;$C200,0,IF(AS198=$C200,AS199/$C201*$E201+AR201/$C201*$E201,IF(AND(AS198&gt;$C200,AS198&lt;ROUNDDOWN(($C200+($D200+$C201-1)/12),0)),(AS199/2+AR201)/($C201-$E201-12*(AS198-$C200-1))*12,IF(AND($D201&lt;0,AS198=ROUNDDOWN(($C200+($D200+$C201-1)/12),0)),AR201+AS199,IF(AS198=ROUNDDOWN(($C200+($D200+$C201-1)/12),0),(AS199+AR201)/$C201*($D201+(AS198-$C200-1)*12+$E201),IF(AS198&gt;ROUNDDOWN(($C200+($D200+$C201)/12),0),0,0)))))))</f>
        <v/>
      </c>
      <c r="AT200" s="114" t="str">
        <f t="shared" ref="AT200" ca="1" si="754">IF(AT198="","",IF(AT198&lt;$C200,0,IF(AT198=$C200,AT199/$C201*$E201+AS201/$C201*$E201,IF(AND(AT198&gt;$C200,AT198&lt;ROUNDDOWN(($C200+($D200+$C201-1)/12),0)),(AT199/2+AS201)/($C201-$E201-12*(AT198-$C200-1))*12,IF(AND($D201&lt;0,AT198=ROUNDDOWN(($C200+($D200+$C201-1)/12),0)),AS201+AT199,IF(AT198=ROUNDDOWN(($C200+($D200+$C201-1)/12),0),(AT199+AS201)/$C201*($D201+(AT198-$C200-1)*12+$E201),IF(AT198&gt;ROUNDDOWN(($C200+($D200+$C201)/12),0),0,0)))))))</f>
        <v/>
      </c>
      <c r="AU200" s="114" t="str">
        <f t="shared" ref="AU200" ca="1" si="755">IF(AU198="","",IF(AU198&lt;$C200,0,IF(AU198=$C200,AU199/$C201*$E201+AT201/$C201*$E201,IF(AND(AU198&gt;$C200,AU198&lt;ROUNDDOWN(($C200+($D200+$C201-1)/12),0)),(AU199/2+AT201)/($C201-$E201-12*(AU198-$C200-1))*12,IF(AND($D201&lt;0,AU198=ROUNDDOWN(($C200+($D200+$C201-1)/12),0)),AT201+AU199,IF(AU198=ROUNDDOWN(($C200+($D200+$C201-1)/12),0),(AU199+AT201)/$C201*($D201+(AU198-$C200-1)*12+$E201),IF(AU198&gt;ROUNDDOWN(($C200+($D200+$C201)/12),0),0,0)))))))</f>
        <v/>
      </c>
      <c r="AV200" s="114" t="str">
        <f t="shared" ref="AV200" ca="1" si="756">IF(AV198="","",IF(AV198&lt;$C200,0,IF(AV198=$C200,AV199/$C201*$E201+AU201/$C201*$E201,IF(AND(AV198&gt;$C200,AV198&lt;ROUNDDOWN(($C200+($D200+$C201-1)/12),0)),(AV199/2+AU201)/($C201-$E201-12*(AV198-$C200-1))*12,IF(AND($D201&lt;0,AV198=ROUNDDOWN(($C200+($D200+$C201-1)/12),0)),AU201+AV199,IF(AV198=ROUNDDOWN(($C200+($D200+$C201-1)/12),0),(AV199+AU201)/$C201*($D201+(AV198-$C200-1)*12+$E201),IF(AV198&gt;ROUNDDOWN(($C200+($D200+$C201)/12),0),0,0)))))))</f>
        <v/>
      </c>
      <c r="AW200" s="114" t="str">
        <f t="shared" ref="AW200" ca="1" si="757">IF(AW198="","",IF(AW198&lt;$C200,0,IF(AW198=$C200,AW199/$C201*$E201+AV201/$C201*$E201,IF(AND(AW198&gt;$C200,AW198&lt;ROUNDDOWN(($C200+($D200+$C201-1)/12),0)),(AW199/2+AV201)/($C201-$E201-12*(AW198-$C200-1))*12,IF(AND($D201&lt;0,AW198=ROUNDDOWN(($C200+($D200+$C201-1)/12),0)),AV201+AW199,IF(AW198=ROUNDDOWN(($C200+($D200+$C201-1)/12),0),(AW199+AV201)/$C201*($D201+(AW198-$C200-1)*12+$E201),IF(AW198&gt;ROUNDDOWN(($C200+($D200+$C201)/12),0),0,0)))))))</f>
        <v/>
      </c>
      <c r="AX200" s="90"/>
      <c r="AY200" s="90"/>
      <c r="AZ200" s="87"/>
    </row>
    <row r="201" spans="3:52" ht="12.75" hidden="1" customHeight="1" outlineLevel="1" x14ac:dyDescent="0.2">
      <c r="C201" s="128">
        <f>ROUNDUP((E200-ROUNDDOWN(E200,0))*12,0)+ROUNDDOWN(E200,0)*12</f>
        <v>0</v>
      </c>
      <c r="D201" s="128">
        <f>C201-E201-ROUNDDOWN(E200,0)*12</f>
        <v>-12</v>
      </c>
      <c r="E201" s="128">
        <f>13-MONTH(C199)</f>
        <v>12</v>
      </c>
      <c r="N201" s="85"/>
      <c r="O201" s="90"/>
      <c r="P201" s="90"/>
      <c r="Q201" s="115" t="str">
        <f>INDEX(g_lang_val,MATCH("tb_2_4_3",g_lang_key,0))</f>
        <v>FF4-gæld, ultimo året</v>
      </c>
      <c r="R201" s="116"/>
      <c r="S201" s="119"/>
      <c r="T201" s="114">
        <f t="shared" ref="T201" ca="1" si="758">IF(T198="","",S201+T199-T200)</f>
        <v>0</v>
      </c>
      <c r="U201" s="114">
        <f t="shared" ref="U201" ca="1" si="759">IF(U198="","",T201+U199-U200)</f>
        <v>0</v>
      </c>
      <c r="V201" s="114">
        <f t="shared" ref="V201" ca="1" si="760">IF(V198="","",U201+V199-V200)</f>
        <v>0</v>
      </c>
      <c r="W201" s="114">
        <f t="shared" ref="W201" ca="1" si="761">IF(W198="","",V201+W199-W200)</f>
        <v>0</v>
      </c>
      <c r="X201" s="114" t="str">
        <f t="shared" ref="X201" ca="1" si="762">IF(X198="","",W201+X199-X200)</f>
        <v/>
      </c>
      <c r="Y201" s="114" t="str">
        <f t="shared" ref="Y201" ca="1" si="763">IF(Y198="","",X201+Y199-Y200)</f>
        <v/>
      </c>
      <c r="Z201" s="114" t="str">
        <f t="shared" ref="Z201" ca="1" si="764">IF(Z198="","",Y201+Z199-Z200)</f>
        <v/>
      </c>
      <c r="AA201" s="114" t="str">
        <f t="shared" ref="AA201" ca="1" si="765">IF(AA198="","",Z201+AA199-AA200)</f>
        <v/>
      </c>
      <c r="AB201" s="114" t="str">
        <f t="shared" ref="AB201" ca="1" si="766">IF(AB198="","",AA201+AB199-AB200)</f>
        <v/>
      </c>
      <c r="AC201" s="114" t="str">
        <f t="shared" ref="AC201" ca="1" si="767">IF(AC198="","",AB201+AC199-AC200)</f>
        <v/>
      </c>
      <c r="AD201" s="114" t="str">
        <f t="shared" ref="AD201" ca="1" si="768">IF(AD198="","",AC201+AD199-AD200)</f>
        <v/>
      </c>
      <c r="AE201" s="114" t="str">
        <f t="shared" ref="AE201" ca="1" si="769">IF(AE198="","",AD201+AE199-AE200)</f>
        <v/>
      </c>
      <c r="AF201" s="114" t="str">
        <f t="shared" ref="AF201" ca="1" si="770">IF(AF198="","",AE201+AF199-AF200)</f>
        <v/>
      </c>
      <c r="AG201" s="114" t="str">
        <f t="shared" ref="AG201" ca="1" si="771">IF(AG198="","",AF201+AG199-AG200)</f>
        <v/>
      </c>
      <c r="AH201" s="114" t="str">
        <f t="shared" ref="AH201" ca="1" si="772">IF(AH198="","",AG201+AH199-AH200)</f>
        <v/>
      </c>
      <c r="AI201" s="114" t="str">
        <f t="shared" ref="AI201" ca="1" si="773">IF(AI198="","",AH201+AI199-AI200)</f>
        <v/>
      </c>
      <c r="AJ201" s="114" t="str">
        <f t="shared" ref="AJ201" ca="1" si="774">IF(AJ198="","",AI201+AJ199-AJ200)</f>
        <v/>
      </c>
      <c r="AK201" s="114" t="str">
        <f t="shared" ref="AK201" ca="1" si="775">IF(AK198="","",AJ201+AK199-AK200)</f>
        <v/>
      </c>
      <c r="AL201" s="114" t="str">
        <f t="shared" ref="AL201" ca="1" si="776">IF(AL198="","",AK201+AL199-AL200)</f>
        <v/>
      </c>
      <c r="AM201" s="114" t="str">
        <f t="shared" ref="AM201" ca="1" si="777">IF(AM198="","",AL201+AM199-AM200)</f>
        <v/>
      </c>
      <c r="AN201" s="114" t="str">
        <f t="shared" ref="AN201" ca="1" si="778">IF(AN198="","",AM201+AN199-AN200)</f>
        <v/>
      </c>
      <c r="AO201" s="114" t="str">
        <f t="shared" ref="AO201" ca="1" si="779">IF(AO198="","",AN201+AO199-AO200)</f>
        <v/>
      </c>
      <c r="AP201" s="114" t="str">
        <f t="shared" ref="AP201" ca="1" si="780">IF(AP198="","",AO201+AP199-AP200)</f>
        <v/>
      </c>
      <c r="AQ201" s="114" t="str">
        <f t="shared" ref="AQ201" ca="1" si="781">IF(AQ198="","",AP201+AQ199-AQ200)</f>
        <v/>
      </c>
      <c r="AR201" s="114" t="str">
        <f t="shared" ref="AR201" ca="1" si="782">IF(AR198="","",AQ201+AR199-AR200)</f>
        <v/>
      </c>
      <c r="AS201" s="114" t="str">
        <f t="shared" ref="AS201" ca="1" si="783">IF(AS198="","",AR201+AS199-AS200)</f>
        <v/>
      </c>
      <c r="AT201" s="114" t="str">
        <f t="shared" ref="AT201" ca="1" si="784">IF(AT198="","",AS201+AT199-AT200)</f>
        <v/>
      </c>
      <c r="AU201" s="114" t="str">
        <f t="shared" ref="AU201" ca="1" si="785">IF(AU198="","",AT201+AU199-AU200)</f>
        <v/>
      </c>
      <c r="AV201" s="114" t="str">
        <f t="shared" ref="AV201" ca="1" si="786">IF(AV198="","",AU201+AV199-AV200)</f>
        <v/>
      </c>
      <c r="AW201" s="114" t="str">
        <f t="shared" ref="AW201" ca="1" si="787">IF(AW198="","",AV201+AW199-AW200)</f>
        <v/>
      </c>
      <c r="AX201" s="90"/>
      <c r="AY201" s="90"/>
      <c r="AZ201" s="87"/>
    </row>
    <row r="202" spans="3:52" ht="12.75" hidden="1" customHeight="1" outlineLevel="1" x14ac:dyDescent="0.2">
      <c r="N202" s="85"/>
      <c r="O202" s="90"/>
      <c r="P202" s="90"/>
      <c r="Q202" s="115" t="str">
        <f>INDEX(g_lang_val,MATCH("tb_2_4_4",g_lang_key,0))</f>
        <v>Renter (FF4)</v>
      </c>
      <c r="R202" s="116"/>
      <c r="S202" s="119">
        <f ca="1">SUM(T202:BG202)</f>
        <v>0</v>
      </c>
      <c r="T202" s="114">
        <f t="shared" ref="T202" ca="1" si="788">IF(T198="","",g_interest_FF4*(S201+(T199/2)-(T200/2)))</f>
        <v>0</v>
      </c>
      <c r="U202" s="114">
        <f t="shared" ref="U202" ca="1" si="789">IF(U198="","",g_interest_FF4*(T201+(U199/2)-(U200/2)))</f>
        <v>0</v>
      </c>
      <c r="V202" s="114">
        <f t="shared" ref="V202" ca="1" si="790">IF(V198="","",g_interest_FF4*(U201+(V199/2)-(V200/2)))</f>
        <v>0</v>
      </c>
      <c r="W202" s="114">
        <f t="shared" ref="W202" ca="1" si="791">IF(W198="","",g_interest_FF4*(V201+(W199/2)-(W200/2)))</f>
        <v>0</v>
      </c>
      <c r="X202" s="114" t="str">
        <f t="shared" ref="X202" ca="1" si="792">IF(X198="","",g_interest_FF4*(W201+(X199/2)-(X200/2)))</f>
        <v/>
      </c>
      <c r="Y202" s="114" t="str">
        <f t="shared" ref="Y202" ca="1" si="793">IF(Y198="","",g_interest_FF4*(X201+(Y199/2)-(Y200/2)))</f>
        <v/>
      </c>
      <c r="Z202" s="114" t="str">
        <f t="shared" ref="Z202" ca="1" si="794">IF(Z198="","",g_interest_FF4*(Y201+(Z199/2)-(Z200/2)))</f>
        <v/>
      </c>
      <c r="AA202" s="114" t="str">
        <f t="shared" ref="AA202" ca="1" si="795">IF(AA198="","",g_interest_FF4*(Z201+(AA199/2)-(AA200/2)))</f>
        <v/>
      </c>
      <c r="AB202" s="114" t="str">
        <f t="shared" ref="AB202" ca="1" si="796">IF(AB198="","",g_interest_FF4*(AA201+(AB199/2)-(AB200/2)))</f>
        <v/>
      </c>
      <c r="AC202" s="114" t="str">
        <f t="shared" ref="AC202" ca="1" si="797">IF(AC198="","",g_interest_FF4*(AB201+(AC199/2)-(AC200/2)))</f>
        <v/>
      </c>
      <c r="AD202" s="114" t="str">
        <f t="shared" ref="AD202" ca="1" si="798">IF(AD198="","",g_interest_FF4*(AC201+(AD199/2)-(AD200/2)))</f>
        <v/>
      </c>
      <c r="AE202" s="114" t="str">
        <f t="shared" ref="AE202" ca="1" si="799">IF(AE198="","",g_interest_FF4*(AD201+(AE199/2)-(AE200/2)))</f>
        <v/>
      </c>
      <c r="AF202" s="114" t="str">
        <f t="shared" ref="AF202" ca="1" si="800">IF(AF198="","",g_interest_FF4*(AE201+(AF199/2)-(AF200/2)))</f>
        <v/>
      </c>
      <c r="AG202" s="114" t="str">
        <f t="shared" ref="AG202" ca="1" si="801">IF(AG198="","",g_interest_FF4*(AF201+(AG199/2)-(AG200/2)))</f>
        <v/>
      </c>
      <c r="AH202" s="114" t="str">
        <f t="shared" ref="AH202" ca="1" si="802">IF(AH198="","",g_interest_FF4*(AG201+(AH199/2)-(AH200/2)))</f>
        <v/>
      </c>
      <c r="AI202" s="114" t="str">
        <f t="shared" ref="AI202" ca="1" si="803">IF(AI198="","",g_interest_FF4*(AH201+(AI199/2)-(AI200/2)))</f>
        <v/>
      </c>
      <c r="AJ202" s="114" t="str">
        <f t="shared" ref="AJ202" ca="1" si="804">IF(AJ198="","",g_interest_FF4*(AI201+(AJ199/2)-(AJ200/2)))</f>
        <v/>
      </c>
      <c r="AK202" s="114" t="str">
        <f t="shared" ref="AK202" ca="1" si="805">IF(AK198="","",g_interest_FF4*(AJ201+(AK199/2)-(AK200/2)))</f>
        <v/>
      </c>
      <c r="AL202" s="114" t="str">
        <f t="shared" ref="AL202" ca="1" si="806">IF(AL198="","",g_interest_FF4*(AK201+(AL199/2)-(AL200/2)))</f>
        <v/>
      </c>
      <c r="AM202" s="114" t="str">
        <f t="shared" ref="AM202" ca="1" si="807">IF(AM198="","",g_interest_FF4*(AL201+(AM199/2)-(AM200/2)))</f>
        <v/>
      </c>
      <c r="AN202" s="114" t="str">
        <f t="shared" ref="AN202" ca="1" si="808">IF(AN198="","",g_interest_FF4*(AM201+(AN199/2)-(AN200/2)))</f>
        <v/>
      </c>
      <c r="AO202" s="114" t="str">
        <f t="shared" ref="AO202" ca="1" si="809">IF(AO198="","",g_interest_FF4*(AN201+(AO199/2)-(AO200/2)))</f>
        <v/>
      </c>
      <c r="AP202" s="114" t="str">
        <f t="shared" ref="AP202" ca="1" si="810">IF(AP198="","",g_interest_FF4*(AO201+(AP199/2)-(AP200/2)))</f>
        <v/>
      </c>
      <c r="AQ202" s="114" t="str">
        <f t="shared" ref="AQ202" ca="1" si="811">IF(AQ198="","",g_interest_FF4*(AP201+(AQ199/2)-(AQ200/2)))</f>
        <v/>
      </c>
      <c r="AR202" s="114" t="str">
        <f t="shared" ref="AR202" ca="1" si="812">IF(AR198="","",g_interest_FF4*(AQ201+(AR199/2)-(AR200/2)))</f>
        <v/>
      </c>
      <c r="AS202" s="114" t="str">
        <f t="shared" ref="AS202" ca="1" si="813">IF(AS198="","",g_interest_FF4*(AR201+(AS199/2)-(AS200/2)))</f>
        <v/>
      </c>
      <c r="AT202" s="114" t="str">
        <f t="shared" ref="AT202" ca="1" si="814">IF(AT198="","",g_interest_FF4*(AS201+(AT199/2)-(AT200/2)))</f>
        <v/>
      </c>
      <c r="AU202" s="114" t="str">
        <f t="shared" ref="AU202" ca="1" si="815">IF(AU198="","",g_interest_FF4*(AT201+(AU199/2)-(AU200/2)))</f>
        <v/>
      </c>
      <c r="AV202" s="114" t="str">
        <f t="shared" ref="AV202" ca="1" si="816">IF(AV198="","",g_interest_FF4*(AU201+(AV199/2)-(AV200/2)))</f>
        <v/>
      </c>
      <c r="AW202" s="114" t="str">
        <f t="shared" ref="AW202" ca="1" si="817">IF(AW198="","",g_interest_FF4*(AV201+(AW199/2)-(AW200/2)))</f>
        <v/>
      </c>
      <c r="AX202" s="90"/>
      <c r="AY202" s="90"/>
      <c r="AZ202" s="87"/>
    </row>
    <row r="203" spans="3:52" ht="12.75" hidden="1" customHeight="1" outlineLevel="1" x14ac:dyDescent="0.2">
      <c r="N203" s="85"/>
      <c r="O203" s="90"/>
      <c r="P203" s="90"/>
      <c r="Q203" s="118" t="str">
        <f>INDEX(g_assets_sc_1,12)</f>
        <v/>
      </c>
      <c r="R203" s="118"/>
      <c r="S203" s="113"/>
      <c r="T203" s="125">
        <f ca="1">T$157</f>
        <v>2026</v>
      </c>
      <c r="U203" s="125">
        <f t="shared" ref="U203:AW203" ca="1" si="818">U$157</f>
        <v>2027</v>
      </c>
      <c r="V203" s="125">
        <f t="shared" ca="1" si="818"/>
        <v>2028</v>
      </c>
      <c r="W203" s="125">
        <f t="shared" ca="1" si="818"/>
        <v>2029</v>
      </c>
      <c r="X203" s="125" t="str">
        <f t="shared" ca="1" si="818"/>
        <v/>
      </c>
      <c r="Y203" s="125" t="str">
        <f t="shared" ca="1" si="818"/>
        <v/>
      </c>
      <c r="Z203" s="125" t="str">
        <f t="shared" ca="1" si="818"/>
        <v/>
      </c>
      <c r="AA203" s="125" t="str">
        <f t="shared" ca="1" si="818"/>
        <v/>
      </c>
      <c r="AB203" s="125" t="str">
        <f t="shared" ca="1" si="818"/>
        <v/>
      </c>
      <c r="AC203" s="125" t="str">
        <f t="shared" ca="1" si="818"/>
        <v/>
      </c>
      <c r="AD203" s="125" t="str">
        <f t="shared" ca="1" si="818"/>
        <v/>
      </c>
      <c r="AE203" s="125" t="str">
        <f t="shared" ca="1" si="818"/>
        <v/>
      </c>
      <c r="AF203" s="125" t="str">
        <f t="shared" ca="1" si="818"/>
        <v/>
      </c>
      <c r="AG203" s="125" t="str">
        <f t="shared" ca="1" si="818"/>
        <v/>
      </c>
      <c r="AH203" s="125" t="str">
        <f t="shared" ca="1" si="818"/>
        <v/>
      </c>
      <c r="AI203" s="125" t="str">
        <f t="shared" ca="1" si="818"/>
        <v/>
      </c>
      <c r="AJ203" s="125" t="str">
        <f t="shared" ca="1" si="818"/>
        <v/>
      </c>
      <c r="AK203" s="125" t="str">
        <f t="shared" ca="1" si="818"/>
        <v/>
      </c>
      <c r="AL203" s="125" t="str">
        <f t="shared" ca="1" si="818"/>
        <v/>
      </c>
      <c r="AM203" s="125" t="str">
        <f t="shared" ca="1" si="818"/>
        <v/>
      </c>
      <c r="AN203" s="125" t="str">
        <f t="shared" ca="1" si="818"/>
        <v/>
      </c>
      <c r="AO203" s="125" t="str">
        <f t="shared" ca="1" si="818"/>
        <v/>
      </c>
      <c r="AP203" s="125" t="str">
        <f t="shared" ca="1" si="818"/>
        <v/>
      </c>
      <c r="AQ203" s="125" t="str">
        <f t="shared" ca="1" si="818"/>
        <v/>
      </c>
      <c r="AR203" s="125" t="str">
        <f t="shared" ca="1" si="818"/>
        <v/>
      </c>
      <c r="AS203" s="125" t="str">
        <f t="shared" ca="1" si="818"/>
        <v/>
      </c>
      <c r="AT203" s="125" t="str">
        <f t="shared" ca="1" si="818"/>
        <v/>
      </c>
      <c r="AU203" s="125" t="str">
        <f t="shared" ca="1" si="818"/>
        <v/>
      </c>
      <c r="AV203" s="125" t="str">
        <f t="shared" ca="1" si="818"/>
        <v/>
      </c>
      <c r="AW203" s="125" t="str">
        <f t="shared" ca="1" si="818"/>
        <v/>
      </c>
      <c r="AX203" s="90"/>
      <c r="AY203" s="90"/>
      <c r="AZ203" s="87"/>
    </row>
    <row r="204" spans="3:52" ht="12.75" hidden="1" customHeight="1" outlineLevel="1" x14ac:dyDescent="0.2">
      <c r="C204" s="126">
        <f>INDEX(g_sc_1_assets_dates,G204)</f>
        <v>0</v>
      </c>
      <c r="G204" s="127">
        <v>10</v>
      </c>
      <c r="N204" s="85"/>
      <c r="O204" s="90"/>
      <c r="P204" s="90"/>
      <c r="Q204" s="115" t="str">
        <f>INDEX(g_lang_val,MATCH("tb_2_4_1",g_lang_key,0))</f>
        <v>Køb af anlægsaktiver</v>
      </c>
      <c r="R204" s="116"/>
      <c r="S204" s="119">
        <f ca="1">SUM(T204:BG204)</f>
        <v>0</v>
      </c>
      <c r="T204" s="114">
        <f ca="1">IF(T203="","",SUMPRODUCT(--(Leverancer!$C$28:$C$88=($G204+2)),Leverancer!D$28:D$88)/1000)</f>
        <v>0</v>
      </c>
      <c r="U204" s="114">
        <f ca="1">IF(U203="","",SUMPRODUCT(--(Leverancer!$C$28:$C$88=($G204+2)),Leverancer!E$28:E$88)/1000)</f>
        <v>0</v>
      </c>
      <c r="V204" s="114">
        <f ca="1">IF(V203="","",SUMPRODUCT(--(Leverancer!$C$28:$C$88=($G204+2)),Leverancer!F$28:F$88)/1000)</f>
        <v>0</v>
      </c>
      <c r="W204" s="114">
        <f ca="1">IF(W203="","",SUMPRODUCT(--(Leverancer!$C$28:$C$88=($G204+2)),Leverancer!G$28:G$88)/1000)</f>
        <v>0</v>
      </c>
      <c r="X204" s="114" t="str">
        <f ca="1">IF(X203="","",SUMPRODUCT(--(Leverancer!$C$28:$C$88=($G204+2)),Leverancer!H$28:H$88)/1000)</f>
        <v/>
      </c>
      <c r="Y204" s="114" t="str">
        <f ca="1">IF(Y203="","",SUMPRODUCT(--(Leverancer!$C$28:$C$88=($G204+2)),Leverancer!I$28:I$88)/1000)</f>
        <v/>
      </c>
      <c r="Z204" s="114" t="str">
        <f ca="1">IF(Z203="","",SUMPRODUCT(--(Leverancer!$C$28:$C$88=($G204+2)),Leverancer!J$28:J$88)/1000)</f>
        <v/>
      </c>
      <c r="AA204" s="114" t="str">
        <f ca="1">IF(AA203="","",SUMPRODUCT(--(Leverancer!$C$28:$C$88=($G204+2)),Leverancer!K$28:K$88)/1000)</f>
        <v/>
      </c>
      <c r="AB204" s="114" t="str">
        <f ca="1">IF(AB203="","",SUMPRODUCT(--(Leverancer!$C$28:$C$88=($G204+2)),Leverancer!L$28:L$88)/1000)</f>
        <v/>
      </c>
      <c r="AC204" s="114" t="str">
        <f ca="1">IF(AC203="","",SUMPRODUCT(--(Leverancer!$C$28:$C$88=($G204+2)),Leverancer!M$28:M$88)/1000)</f>
        <v/>
      </c>
      <c r="AD204" s="114" t="str">
        <f ca="1">IF(AD203="","",SUMPRODUCT(--(Leverancer!$C$28:$C$88=($G204+2)),Leverancer!N$28:N$88)/1000)</f>
        <v/>
      </c>
      <c r="AE204" s="114" t="str">
        <f ca="1">IF(AE203="","",SUMPRODUCT(--(Leverancer!$C$28:$C$88=($G204+2)),Leverancer!O$28:O$88)/1000)</f>
        <v/>
      </c>
      <c r="AF204" s="114" t="str">
        <f ca="1">IF(AF203="","",SUMPRODUCT(--(Leverancer!$C$28:$C$88=($G204+2)),Leverancer!P$28:P$88)/1000)</f>
        <v/>
      </c>
      <c r="AG204" s="114" t="str">
        <f ca="1">IF(AG203="","",SUMPRODUCT(--(Leverancer!$C$28:$C$88=($G204+2)),Leverancer!Q$28:Q$88)/1000)</f>
        <v/>
      </c>
      <c r="AH204" s="114" t="str">
        <f ca="1">IF(AH203="","",SUMPRODUCT(--(Leverancer!$C$28:$C$88=($G204+2)),Leverancer!R$28:R$88)/1000)</f>
        <v/>
      </c>
      <c r="AI204" s="114" t="str">
        <f ca="1">IF(AI203="","",SUMPRODUCT(--(Leverancer!$C$28:$C$88=($G204+2)),Leverancer!S$28:S$88)/1000)</f>
        <v/>
      </c>
      <c r="AJ204" s="114" t="str">
        <f ca="1">IF(AJ203="","",SUMPRODUCT(--(Leverancer!$C$28:$C$88=($G204+2)),Leverancer!T$28:T$88)/1000)</f>
        <v/>
      </c>
      <c r="AK204" s="114" t="str">
        <f ca="1">IF(AK203="","",SUMPRODUCT(--(Leverancer!$C$28:$C$88=($G204+2)),Leverancer!U$28:U$88)/1000)</f>
        <v/>
      </c>
      <c r="AL204" s="114" t="str">
        <f ca="1">IF(AL203="","",SUMPRODUCT(--(Leverancer!$C$28:$C$88=($G204+2)),Leverancer!V$28:V$88)/1000)</f>
        <v/>
      </c>
      <c r="AM204" s="114" t="str">
        <f ca="1">IF(AM203="","",SUMPRODUCT(--(Leverancer!$C$28:$C$88=($G204+2)),Leverancer!W$28:W$88)/1000)</f>
        <v/>
      </c>
      <c r="AN204" s="114" t="str">
        <f ca="1">IF(AN203="","",SUMPRODUCT(--(Leverancer!$C$28:$C$88=($G204+2)),Leverancer!X$28:X$88)/1000)</f>
        <v/>
      </c>
      <c r="AO204" s="114" t="str">
        <f ca="1">IF(AO203="","",SUMPRODUCT(--(Leverancer!$C$28:$C$88=($G204+2)),Leverancer!Y$28:Y$88)/1000)</f>
        <v/>
      </c>
      <c r="AP204" s="114" t="str">
        <f ca="1">IF(AP203="","",SUMPRODUCT(--(Leverancer!$C$28:$C$88=($G204+2)),Leverancer!Z$28:Z$88)/1000)</f>
        <v/>
      </c>
      <c r="AQ204" s="114" t="str">
        <f ca="1">IF(AQ203="","",SUMPRODUCT(--(Leverancer!$C$28:$C$88=($G204+2)),Leverancer!AA$28:AA$88)/1000)</f>
        <v/>
      </c>
      <c r="AR204" s="114" t="str">
        <f ca="1">IF(AR203="","",SUMPRODUCT(--(Leverancer!$C$28:$C$88=($G204+2)),Leverancer!AB$28:AB$88)/1000)</f>
        <v/>
      </c>
      <c r="AS204" s="114" t="str">
        <f ca="1">IF(AS203="","",SUMPRODUCT(--(Leverancer!$C$28:$C$88=($G204+2)),Leverancer!AC$28:AC$88)/1000)</f>
        <v/>
      </c>
      <c r="AT204" s="114" t="str">
        <f ca="1">IF(AT203="","",SUMPRODUCT(--(Leverancer!$C$28:$C$88=($G204+2)),Leverancer!AD$28:AD$88)/1000)</f>
        <v/>
      </c>
      <c r="AU204" s="114" t="str">
        <f ca="1">IF(AU203="","",SUMPRODUCT(--(Leverancer!$C$28:$C$88=($G204+2)),Leverancer!AE$28:AE$88)/1000)</f>
        <v/>
      </c>
      <c r="AV204" s="114" t="str">
        <f ca="1">IF(AV203="","",SUMPRODUCT(--(Leverancer!$C$28:$C$88=($G204+2)),Leverancer!AF$28:AF$88)/1000)</f>
        <v/>
      </c>
      <c r="AW204" s="114" t="str">
        <f ca="1">IF(AW203="","",SUMPRODUCT(--(Leverancer!$C$28:$C$88=($G204+2)),Leverancer!AG$28:AG$88)/1000)</f>
        <v/>
      </c>
      <c r="AX204" s="90"/>
      <c r="AY204" s="90"/>
      <c r="AZ204" s="87"/>
    </row>
    <row r="205" spans="3:52" ht="12.75" hidden="1" customHeight="1" outlineLevel="1" x14ac:dyDescent="0.2">
      <c r="C205" s="128">
        <f>IFERROR(YEAR(C204),"")</f>
        <v>1900</v>
      </c>
      <c r="D205" s="128">
        <f>IFERROR(MONTH(C204),"")</f>
        <v>1</v>
      </c>
      <c r="E205" s="128">
        <f>INDEX(g_sc_1_assets_years,G204)</f>
        <v>0</v>
      </c>
      <c r="N205" s="85"/>
      <c r="O205" s="90"/>
      <c r="P205" s="90"/>
      <c r="Q205" s="115" t="str">
        <f>INDEX(g_lang_val,MATCH("tb_2_4_2",g_lang_key,0))</f>
        <v>Afskrivninger</v>
      </c>
      <c r="R205" s="116"/>
      <c r="S205" s="119">
        <f ca="1">SUM(T205:BG205)</f>
        <v>0</v>
      </c>
      <c r="T205" s="114">
        <f t="shared" ref="T205" ca="1" si="819">IF(T203="","",IF(T203&lt;$C205,0,IF(T203=$C205,T204/$C206*$E206+S206/$C206*$E206,IF(AND(T203&gt;$C205,T203&lt;ROUNDDOWN(($C205+($D205+$C206-1)/12),0)),(T204/2+S206)/($C206-$E206-12*(T203-$C205-1))*12,IF(AND($D206&lt;0,T203=ROUNDDOWN(($C205+($D205+$C206-1)/12),0)),S206+T204,IF(T203=ROUNDDOWN(($C205+($D205+$C206-1)/12),0),(T204+S206)/$C206*($D206+(T203-$C205-1)*12+$E206),IF(T203&gt;ROUNDDOWN(($C205+($D205+$C206)/12),0),0,0)))))))</f>
        <v>0</v>
      </c>
      <c r="U205" s="114">
        <f t="shared" ref="U205" ca="1" si="820">IF(U203="","",IF(U203&lt;$C205,0,IF(U203=$C205,U204/$C206*$E206+T206/$C206*$E206,IF(AND(U203&gt;$C205,U203&lt;ROUNDDOWN(($C205+($D205+$C206-1)/12),0)),(U204/2+T206)/($C206-$E206-12*(U203-$C205-1))*12,IF(AND($D206&lt;0,U203=ROUNDDOWN(($C205+($D205+$C206-1)/12),0)),T206+U204,IF(U203=ROUNDDOWN(($C205+($D205+$C206-1)/12),0),(U204+T206)/$C206*($D206+(U203-$C205-1)*12+$E206),IF(U203&gt;ROUNDDOWN(($C205+($D205+$C206)/12),0),0,0)))))))</f>
        <v>0</v>
      </c>
      <c r="V205" s="114">
        <f t="shared" ref="V205" ca="1" si="821">IF(V203="","",IF(V203&lt;$C205,0,IF(V203=$C205,V204/$C206*$E206+U206/$C206*$E206,IF(AND(V203&gt;$C205,V203&lt;ROUNDDOWN(($C205+($D205+$C206-1)/12),0)),(V204/2+U206)/($C206-$E206-12*(V203-$C205-1))*12,IF(AND($D206&lt;0,V203=ROUNDDOWN(($C205+($D205+$C206-1)/12),0)),U206+V204,IF(V203=ROUNDDOWN(($C205+($D205+$C206-1)/12),0),(V204+U206)/$C206*($D206+(V203-$C205-1)*12+$E206),IF(V203&gt;ROUNDDOWN(($C205+($D205+$C206)/12),0),0,0)))))))</f>
        <v>0</v>
      </c>
      <c r="W205" s="114">
        <f t="shared" ref="W205" ca="1" si="822">IF(W203="","",IF(W203&lt;$C205,0,IF(W203=$C205,W204/$C206*$E206+V206/$C206*$E206,IF(AND(W203&gt;$C205,W203&lt;ROUNDDOWN(($C205+($D205+$C206-1)/12),0)),(W204/2+V206)/($C206-$E206-12*(W203-$C205-1))*12,IF(AND($D206&lt;0,W203=ROUNDDOWN(($C205+($D205+$C206-1)/12),0)),V206+W204,IF(W203=ROUNDDOWN(($C205+($D205+$C206-1)/12),0),(W204+V206)/$C206*($D206+(W203-$C205-1)*12+$E206),IF(W203&gt;ROUNDDOWN(($C205+($D205+$C206)/12),0),0,0)))))))</f>
        <v>0</v>
      </c>
      <c r="X205" s="114" t="str">
        <f t="shared" ref="X205" ca="1" si="823">IF(X203="","",IF(X203&lt;$C205,0,IF(X203=$C205,X204/$C206*$E206+W206/$C206*$E206,IF(AND(X203&gt;$C205,X203&lt;ROUNDDOWN(($C205+($D205+$C206-1)/12),0)),(X204/2+W206)/($C206-$E206-12*(X203-$C205-1))*12,IF(AND($D206&lt;0,X203=ROUNDDOWN(($C205+($D205+$C206-1)/12),0)),W206+X204,IF(X203=ROUNDDOWN(($C205+($D205+$C206-1)/12),0),(X204+W206)/$C206*($D206+(X203-$C205-1)*12+$E206),IF(X203&gt;ROUNDDOWN(($C205+($D205+$C206)/12),0),0,0)))))))</f>
        <v/>
      </c>
      <c r="Y205" s="114" t="str">
        <f t="shared" ref="Y205" ca="1" si="824">IF(Y203="","",IF(Y203&lt;$C205,0,IF(Y203=$C205,Y204/$C206*$E206+X206/$C206*$E206,IF(AND(Y203&gt;$C205,Y203&lt;ROUNDDOWN(($C205+($D205+$C206-1)/12),0)),(Y204/2+X206)/($C206-$E206-12*(Y203-$C205-1))*12,IF(AND($D206&lt;0,Y203=ROUNDDOWN(($C205+($D205+$C206-1)/12),0)),X206+Y204,IF(Y203=ROUNDDOWN(($C205+($D205+$C206-1)/12),0),(Y204+X206)/$C206*($D206+(Y203-$C205-1)*12+$E206),IF(Y203&gt;ROUNDDOWN(($C205+($D205+$C206)/12),0),0,0)))))))</f>
        <v/>
      </c>
      <c r="Z205" s="114" t="str">
        <f ca="1">IF(Z203="","",IF(Z203&lt;$C205,0,IF(Z203=$C205,Z204/$C206*$E206+Y206/$C206*$E206,IF(AND(Z203&gt;$C205,Z203&lt;ROUNDDOWN(($C205+($D205+$C206-1)/12),0)),(Z204/2+Y206)/($C206-$E206-12*(Z203-$C205-1))*12,IF(AND($D206&lt;0,Z203=ROUNDDOWN(($C205+($D205+$C206-1)/12),0)),Y206+Z204,IF(Z203=ROUNDDOWN(($C205+($D205+$C206-1)/12),0),(Z204+Y206)/$C206*($D206+(Z203-$C205-1)*12+$E206),IF(Z203&gt;ROUNDDOWN(($C205+($D205+$C206)/12),0),0,0)))))))</f>
        <v/>
      </c>
      <c r="AA205" s="114" t="str">
        <f t="shared" ref="AA205" ca="1" si="825">IF(AA203="","",IF(AA203&lt;$C205,0,IF(AA203=$C205,AA204/$C206*$E206+Z206/$C206*$E206,IF(AND(AA203&gt;$C205,AA203&lt;ROUNDDOWN(($C205+($D205+$C206-1)/12),0)),(AA204/2+Z206)/($C206-$E206-12*(AA203-$C205-1))*12,IF(AND($D206&lt;0,AA203=ROUNDDOWN(($C205+($D205+$C206-1)/12),0)),Z206+AA204,IF(AA203=ROUNDDOWN(($C205+($D205+$C206-1)/12),0),(AA204+Z206)/$C206*($D206+(AA203-$C205-1)*12+$E206),IF(AA203&gt;ROUNDDOWN(($C205+($D205+$C206)/12),0),0,0)))))))</f>
        <v/>
      </c>
      <c r="AB205" s="114" t="str">
        <f t="shared" ref="AB205" ca="1" si="826">IF(AB203="","",IF(AB203&lt;$C205,0,IF(AB203=$C205,AB204/$C206*$E206+AA206/$C206*$E206,IF(AND(AB203&gt;$C205,AB203&lt;ROUNDDOWN(($C205+($D205+$C206-1)/12),0)),(AB204/2+AA206)/($C206-$E206-12*(AB203-$C205-1))*12,IF(AND($D206&lt;0,AB203=ROUNDDOWN(($C205+($D205+$C206-1)/12),0)),AA206+AB204,IF(AB203=ROUNDDOWN(($C205+($D205+$C206-1)/12),0),(AB204+AA206)/$C206*($D206+(AB203-$C205-1)*12+$E206),IF(AB203&gt;ROUNDDOWN(($C205+($D205+$C206)/12),0),0,0)))))))</f>
        <v/>
      </c>
      <c r="AC205" s="114" t="str">
        <f t="shared" ref="AC205" ca="1" si="827">IF(AC203="","",IF(AC203&lt;$C205,0,IF(AC203=$C205,AC204/$C206*$E206+AB206/$C206*$E206,IF(AND(AC203&gt;$C205,AC203&lt;ROUNDDOWN(($C205+($D205+$C206-1)/12),0)),(AC204/2+AB206)/($C206-$E206-12*(AC203-$C205-1))*12,IF(AND($D206&lt;0,AC203=ROUNDDOWN(($C205+($D205+$C206-1)/12),0)),AB206+AC204,IF(AC203=ROUNDDOWN(($C205+($D205+$C206-1)/12),0),(AC204+AB206)/$C206*($D206+(AC203-$C205-1)*12+$E206),IF(AC203&gt;ROUNDDOWN(($C205+($D205+$C206)/12),0),0,0)))))))</f>
        <v/>
      </c>
      <c r="AD205" s="114" t="str">
        <f t="shared" ref="AD205" ca="1" si="828">IF(AD203="","",IF(AD203&lt;$C205,0,IF(AD203=$C205,AD204/$C206*$E206+AC206/$C206*$E206,IF(AND(AD203&gt;$C205,AD203&lt;ROUNDDOWN(($C205+($D205+$C206-1)/12),0)),(AD204/2+AC206)/($C206-$E206-12*(AD203-$C205-1))*12,IF(AND($D206&lt;0,AD203=ROUNDDOWN(($C205+($D205+$C206-1)/12),0)),AC206+AD204,IF(AD203=ROUNDDOWN(($C205+($D205+$C206-1)/12),0),(AD204+AC206)/$C206*($D206+(AD203-$C205-1)*12+$E206),IF(AD203&gt;ROUNDDOWN(($C205+($D205+$C206)/12),0),0,0)))))))</f>
        <v/>
      </c>
      <c r="AE205" s="114" t="str">
        <f t="shared" ref="AE205" ca="1" si="829">IF(AE203="","",IF(AE203&lt;$C205,0,IF(AE203=$C205,AE204/$C206*$E206+AD206/$C206*$E206,IF(AND(AE203&gt;$C205,AE203&lt;ROUNDDOWN(($C205+($D205+$C206-1)/12),0)),(AE204/2+AD206)/($C206-$E206-12*(AE203-$C205-1))*12,IF(AND($D206&lt;0,AE203=ROUNDDOWN(($C205+($D205+$C206-1)/12),0)),AD206+AE204,IF(AE203=ROUNDDOWN(($C205+($D205+$C206-1)/12),0),(AE204+AD206)/$C206*($D206+(AE203-$C205-1)*12+$E206),IF(AE203&gt;ROUNDDOWN(($C205+($D205+$C206)/12),0),0,0)))))))</f>
        <v/>
      </c>
      <c r="AF205" s="114" t="str">
        <f t="shared" ref="AF205" ca="1" si="830">IF(AF203="","",IF(AF203&lt;$C205,0,IF(AF203=$C205,AF204/$C206*$E206+AE206/$C206*$E206,IF(AND(AF203&gt;$C205,AF203&lt;ROUNDDOWN(($C205+($D205+$C206-1)/12),0)),(AF204/2+AE206)/($C206-$E206-12*(AF203-$C205-1))*12,IF(AND($D206&lt;0,AF203=ROUNDDOWN(($C205+($D205+$C206-1)/12),0)),AE206+AF204,IF(AF203=ROUNDDOWN(($C205+($D205+$C206-1)/12),0),(AF204+AE206)/$C206*($D206+(AF203-$C205-1)*12+$E206),IF(AF203&gt;ROUNDDOWN(($C205+($D205+$C206)/12),0),0,0)))))))</f>
        <v/>
      </c>
      <c r="AG205" s="114" t="str">
        <f t="shared" ref="AG205" ca="1" si="831">IF(AG203="","",IF(AG203&lt;$C205,0,IF(AG203=$C205,AG204/$C206*$E206+AF206/$C206*$E206,IF(AND(AG203&gt;$C205,AG203&lt;ROUNDDOWN(($C205+($D205+$C206-1)/12),0)),(AG204/2+AF206)/($C206-$E206-12*(AG203-$C205-1))*12,IF(AND($D206&lt;0,AG203=ROUNDDOWN(($C205+($D205+$C206-1)/12),0)),AF206+AG204,IF(AG203=ROUNDDOWN(($C205+($D205+$C206-1)/12),0),(AG204+AF206)/$C206*($D206+(AG203-$C205-1)*12+$E206),IF(AG203&gt;ROUNDDOWN(($C205+($D205+$C206)/12),0),0,0)))))))</f>
        <v/>
      </c>
      <c r="AH205" s="114" t="str">
        <f t="shared" ref="AH205" ca="1" si="832">IF(AH203="","",IF(AH203&lt;$C205,0,IF(AH203=$C205,AH204/$C206*$E206+AG206/$C206*$E206,IF(AND(AH203&gt;$C205,AH203&lt;ROUNDDOWN(($C205+($D205+$C206-1)/12),0)),(AH204/2+AG206)/($C206-$E206-12*(AH203-$C205-1))*12,IF(AND($D206&lt;0,AH203=ROUNDDOWN(($C205+($D205+$C206-1)/12),0)),AG206+AH204,IF(AH203=ROUNDDOWN(($C205+($D205+$C206-1)/12),0),(AH204+AG206)/$C206*($D206+(AH203-$C205-1)*12+$E206),IF(AH203&gt;ROUNDDOWN(($C205+($D205+$C206)/12),0),0,0)))))))</f>
        <v/>
      </c>
      <c r="AI205" s="114" t="str">
        <f t="shared" ref="AI205" ca="1" si="833">IF(AI203="","",IF(AI203&lt;$C205,0,IF(AI203=$C205,AI204/$C206*$E206+AH206/$C206*$E206,IF(AND(AI203&gt;$C205,AI203&lt;ROUNDDOWN(($C205+($D205+$C206-1)/12),0)),(AI204/2+AH206)/($C206-$E206-12*(AI203-$C205-1))*12,IF(AND($D206&lt;0,AI203=ROUNDDOWN(($C205+($D205+$C206-1)/12),0)),AH206+AI204,IF(AI203=ROUNDDOWN(($C205+($D205+$C206-1)/12),0),(AI204+AH206)/$C206*($D206+(AI203-$C205-1)*12+$E206),IF(AI203&gt;ROUNDDOWN(($C205+($D205+$C206)/12),0),0,0)))))))</f>
        <v/>
      </c>
      <c r="AJ205" s="114" t="str">
        <f t="shared" ref="AJ205" ca="1" si="834">IF(AJ203="","",IF(AJ203&lt;$C205,0,IF(AJ203=$C205,AJ204/$C206*$E206+AI206/$C206*$E206,IF(AND(AJ203&gt;$C205,AJ203&lt;ROUNDDOWN(($C205+($D205+$C206-1)/12),0)),(AJ204/2+AI206)/($C206-$E206-12*(AJ203-$C205-1))*12,IF(AND($D206&lt;0,AJ203=ROUNDDOWN(($C205+($D205+$C206-1)/12),0)),AI206+AJ204,IF(AJ203=ROUNDDOWN(($C205+($D205+$C206-1)/12),0),(AJ204+AI206)/$C206*($D206+(AJ203-$C205-1)*12+$E206),IF(AJ203&gt;ROUNDDOWN(($C205+($D205+$C206)/12),0),0,0)))))))</f>
        <v/>
      </c>
      <c r="AK205" s="114" t="str">
        <f t="shared" ref="AK205" ca="1" si="835">IF(AK203="","",IF(AK203&lt;$C205,0,IF(AK203=$C205,AK204/$C206*$E206+AJ206/$C206*$E206,IF(AND(AK203&gt;$C205,AK203&lt;ROUNDDOWN(($C205+($D205+$C206-1)/12),0)),(AK204/2+AJ206)/($C206-$E206-12*(AK203-$C205-1))*12,IF(AND($D206&lt;0,AK203=ROUNDDOWN(($C205+($D205+$C206-1)/12),0)),AJ206+AK204,IF(AK203=ROUNDDOWN(($C205+($D205+$C206-1)/12),0),(AK204+AJ206)/$C206*($D206+(AK203-$C205-1)*12+$E206),IF(AK203&gt;ROUNDDOWN(($C205+($D205+$C206)/12),0),0,0)))))))</f>
        <v/>
      </c>
      <c r="AL205" s="114" t="str">
        <f t="shared" ref="AL205" ca="1" si="836">IF(AL203="","",IF(AL203&lt;$C205,0,IF(AL203=$C205,AL204/$C206*$E206+AK206/$C206*$E206,IF(AND(AL203&gt;$C205,AL203&lt;ROUNDDOWN(($C205+($D205+$C206-1)/12),0)),(AL204/2+AK206)/($C206-$E206-12*(AL203-$C205-1))*12,IF(AND($D206&lt;0,AL203=ROUNDDOWN(($C205+($D205+$C206-1)/12),0)),AK206+AL204,IF(AL203=ROUNDDOWN(($C205+($D205+$C206-1)/12),0),(AL204+AK206)/$C206*($D206+(AL203-$C205-1)*12+$E206),IF(AL203&gt;ROUNDDOWN(($C205+($D205+$C206)/12),0),0,0)))))))</f>
        <v/>
      </c>
      <c r="AM205" s="114" t="str">
        <f t="shared" ref="AM205" ca="1" si="837">IF(AM203="","",IF(AM203&lt;$C205,0,IF(AM203=$C205,AM204/$C206*$E206+AL206/$C206*$E206,IF(AND(AM203&gt;$C205,AM203&lt;ROUNDDOWN(($C205+($D205+$C206-1)/12),0)),(AM204/2+AL206)/($C206-$E206-12*(AM203-$C205-1))*12,IF(AND($D206&lt;0,AM203=ROUNDDOWN(($C205+($D205+$C206-1)/12),0)),AL206+AM204,IF(AM203=ROUNDDOWN(($C205+($D205+$C206-1)/12),0),(AM204+AL206)/$C206*($D206+(AM203-$C205-1)*12+$E206),IF(AM203&gt;ROUNDDOWN(($C205+($D205+$C206)/12),0),0,0)))))))</f>
        <v/>
      </c>
      <c r="AN205" s="114" t="str">
        <f t="shared" ref="AN205" ca="1" si="838">IF(AN203="","",IF(AN203&lt;$C205,0,IF(AN203=$C205,AN204/$C206*$E206+AM206/$C206*$E206,IF(AND(AN203&gt;$C205,AN203&lt;ROUNDDOWN(($C205+($D205+$C206-1)/12),0)),(AN204/2+AM206)/($C206-$E206-12*(AN203-$C205-1))*12,IF(AND($D206&lt;0,AN203=ROUNDDOWN(($C205+($D205+$C206-1)/12),0)),AM206+AN204,IF(AN203=ROUNDDOWN(($C205+($D205+$C206-1)/12),0),(AN204+AM206)/$C206*($D206+(AN203-$C205-1)*12+$E206),IF(AN203&gt;ROUNDDOWN(($C205+($D205+$C206)/12),0),0,0)))))))</f>
        <v/>
      </c>
      <c r="AO205" s="114" t="str">
        <f t="shared" ref="AO205" ca="1" si="839">IF(AO203="","",IF(AO203&lt;$C205,0,IF(AO203=$C205,AO204/$C206*$E206+AN206/$C206*$E206,IF(AND(AO203&gt;$C205,AO203&lt;ROUNDDOWN(($C205+($D205+$C206-1)/12),0)),(AO204/2+AN206)/($C206-$E206-12*(AO203-$C205-1))*12,IF(AND($D206&lt;0,AO203=ROUNDDOWN(($C205+($D205+$C206-1)/12),0)),AN206+AO204,IF(AO203=ROUNDDOWN(($C205+($D205+$C206-1)/12),0),(AO204+AN206)/$C206*($D206+(AO203-$C205-1)*12+$E206),IF(AO203&gt;ROUNDDOWN(($C205+($D205+$C206)/12),0),0,0)))))))</f>
        <v/>
      </c>
      <c r="AP205" s="114" t="str">
        <f t="shared" ref="AP205" ca="1" si="840">IF(AP203="","",IF(AP203&lt;$C205,0,IF(AP203=$C205,AP204/$C206*$E206+AO206/$C206*$E206,IF(AND(AP203&gt;$C205,AP203&lt;ROUNDDOWN(($C205+($D205+$C206-1)/12),0)),(AP204/2+AO206)/($C206-$E206-12*(AP203-$C205-1))*12,IF(AND($D206&lt;0,AP203=ROUNDDOWN(($C205+($D205+$C206-1)/12),0)),AO206+AP204,IF(AP203=ROUNDDOWN(($C205+($D205+$C206-1)/12),0),(AP204+AO206)/$C206*($D206+(AP203-$C205-1)*12+$E206),IF(AP203&gt;ROUNDDOWN(($C205+($D205+$C206)/12),0),0,0)))))))</f>
        <v/>
      </c>
      <c r="AQ205" s="114" t="str">
        <f t="shared" ref="AQ205" ca="1" si="841">IF(AQ203="","",IF(AQ203&lt;$C205,0,IF(AQ203=$C205,AQ204/$C206*$E206+AP206/$C206*$E206,IF(AND(AQ203&gt;$C205,AQ203&lt;ROUNDDOWN(($C205+($D205+$C206-1)/12),0)),(AQ204/2+AP206)/($C206-$E206-12*(AQ203-$C205-1))*12,IF(AND($D206&lt;0,AQ203=ROUNDDOWN(($C205+($D205+$C206-1)/12),0)),AP206+AQ204,IF(AQ203=ROUNDDOWN(($C205+($D205+$C206-1)/12),0),(AQ204+AP206)/$C206*($D206+(AQ203-$C205-1)*12+$E206),IF(AQ203&gt;ROUNDDOWN(($C205+($D205+$C206)/12),0),0,0)))))))</f>
        <v/>
      </c>
      <c r="AR205" s="114" t="str">
        <f t="shared" ref="AR205" ca="1" si="842">IF(AR203="","",IF(AR203&lt;$C205,0,IF(AR203=$C205,AR204/$C206*$E206+AQ206/$C206*$E206,IF(AND(AR203&gt;$C205,AR203&lt;ROUNDDOWN(($C205+($D205+$C206-1)/12),0)),(AR204/2+AQ206)/($C206-$E206-12*(AR203-$C205-1))*12,IF(AND($D206&lt;0,AR203=ROUNDDOWN(($C205+($D205+$C206-1)/12),0)),AQ206+AR204,IF(AR203=ROUNDDOWN(($C205+($D205+$C206-1)/12),0),(AR204+AQ206)/$C206*($D206+(AR203-$C205-1)*12+$E206),IF(AR203&gt;ROUNDDOWN(($C205+($D205+$C206)/12),0),0,0)))))))</f>
        <v/>
      </c>
      <c r="AS205" s="114" t="str">
        <f t="shared" ref="AS205" ca="1" si="843">IF(AS203="","",IF(AS203&lt;$C205,0,IF(AS203=$C205,AS204/$C206*$E206+AR206/$C206*$E206,IF(AND(AS203&gt;$C205,AS203&lt;ROUNDDOWN(($C205+($D205+$C206-1)/12),0)),(AS204/2+AR206)/($C206-$E206-12*(AS203-$C205-1))*12,IF(AND($D206&lt;0,AS203=ROUNDDOWN(($C205+($D205+$C206-1)/12),0)),AR206+AS204,IF(AS203=ROUNDDOWN(($C205+($D205+$C206-1)/12),0),(AS204+AR206)/$C206*($D206+(AS203-$C205-1)*12+$E206),IF(AS203&gt;ROUNDDOWN(($C205+($D205+$C206)/12),0),0,0)))))))</f>
        <v/>
      </c>
      <c r="AT205" s="114" t="str">
        <f t="shared" ref="AT205" ca="1" si="844">IF(AT203="","",IF(AT203&lt;$C205,0,IF(AT203=$C205,AT204/$C206*$E206+AS206/$C206*$E206,IF(AND(AT203&gt;$C205,AT203&lt;ROUNDDOWN(($C205+($D205+$C206-1)/12),0)),(AT204/2+AS206)/($C206-$E206-12*(AT203-$C205-1))*12,IF(AND($D206&lt;0,AT203=ROUNDDOWN(($C205+($D205+$C206-1)/12),0)),AS206+AT204,IF(AT203=ROUNDDOWN(($C205+($D205+$C206-1)/12),0),(AT204+AS206)/$C206*($D206+(AT203-$C205-1)*12+$E206),IF(AT203&gt;ROUNDDOWN(($C205+($D205+$C206)/12),0),0,0)))))))</f>
        <v/>
      </c>
      <c r="AU205" s="114" t="str">
        <f t="shared" ref="AU205" ca="1" si="845">IF(AU203="","",IF(AU203&lt;$C205,0,IF(AU203=$C205,AU204/$C206*$E206+AT206/$C206*$E206,IF(AND(AU203&gt;$C205,AU203&lt;ROUNDDOWN(($C205+($D205+$C206-1)/12),0)),(AU204/2+AT206)/($C206-$E206-12*(AU203-$C205-1))*12,IF(AND($D206&lt;0,AU203=ROUNDDOWN(($C205+($D205+$C206-1)/12),0)),AT206+AU204,IF(AU203=ROUNDDOWN(($C205+($D205+$C206-1)/12),0),(AU204+AT206)/$C206*($D206+(AU203-$C205-1)*12+$E206),IF(AU203&gt;ROUNDDOWN(($C205+($D205+$C206)/12),0),0,0)))))))</f>
        <v/>
      </c>
      <c r="AV205" s="114" t="str">
        <f t="shared" ref="AV205" ca="1" si="846">IF(AV203="","",IF(AV203&lt;$C205,0,IF(AV203=$C205,AV204/$C206*$E206+AU206/$C206*$E206,IF(AND(AV203&gt;$C205,AV203&lt;ROUNDDOWN(($C205+($D205+$C206-1)/12),0)),(AV204/2+AU206)/($C206-$E206-12*(AV203-$C205-1))*12,IF(AND($D206&lt;0,AV203=ROUNDDOWN(($C205+($D205+$C206-1)/12),0)),AU206+AV204,IF(AV203=ROUNDDOWN(($C205+($D205+$C206-1)/12),0),(AV204+AU206)/$C206*($D206+(AV203-$C205-1)*12+$E206),IF(AV203&gt;ROUNDDOWN(($C205+($D205+$C206)/12),0),0,0)))))))</f>
        <v/>
      </c>
      <c r="AW205" s="114" t="str">
        <f t="shared" ref="AW205" ca="1" si="847">IF(AW203="","",IF(AW203&lt;$C205,0,IF(AW203=$C205,AW204/$C206*$E206+AV206/$C206*$E206,IF(AND(AW203&gt;$C205,AW203&lt;ROUNDDOWN(($C205+($D205+$C206-1)/12),0)),(AW204/2+AV206)/($C206-$E206-12*(AW203-$C205-1))*12,IF(AND($D206&lt;0,AW203=ROUNDDOWN(($C205+($D205+$C206-1)/12),0)),AV206+AW204,IF(AW203=ROUNDDOWN(($C205+($D205+$C206-1)/12),0),(AW204+AV206)/$C206*($D206+(AW203-$C205-1)*12+$E206),IF(AW203&gt;ROUNDDOWN(($C205+($D205+$C206)/12),0),0,0)))))))</f>
        <v/>
      </c>
      <c r="AX205" s="90"/>
      <c r="AY205" s="90"/>
      <c r="AZ205" s="87"/>
    </row>
    <row r="206" spans="3:52" ht="12.75" hidden="1" customHeight="1" outlineLevel="1" x14ac:dyDescent="0.2">
      <c r="C206" s="128">
        <f>ROUNDUP((E205-ROUNDDOWN(E205,0))*12,0)+ROUNDDOWN(E205,0)*12</f>
        <v>0</v>
      </c>
      <c r="D206" s="128">
        <f>C206-E206-ROUNDDOWN(E205,0)*12</f>
        <v>-12</v>
      </c>
      <c r="E206" s="128">
        <f>13-MONTH(C204)</f>
        <v>12</v>
      </c>
      <c r="N206" s="85"/>
      <c r="O206" s="90"/>
      <c r="P206" s="90"/>
      <c r="Q206" s="115" t="str">
        <f>INDEX(g_lang_val,MATCH("tb_2_4_3",g_lang_key,0))</f>
        <v>FF4-gæld, ultimo året</v>
      </c>
      <c r="R206" s="116"/>
      <c r="S206" s="119"/>
      <c r="T206" s="114">
        <f t="shared" ref="T206" ca="1" si="848">IF(T203="","",S206+T204-T205)</f>
        <v>0</v>
      </c>
      <c r="U206" s="114">
        <f t="shared" ref="U206" ca="1" si="849">IF(U203="","",T206+U204-U205)</f>
        <v>0</v>
      </c>
      <c r="V206" s="114">
        <f t="shared" ref="V206" ca="1" si="850">IF(V203="","",U206+V204-V205)</f>
        <v>0</v>
      </c>
      <c r="W206" s="114">
        <f t="shared" ref="W206" ca="1" si="851">IF(W203="","",V206+W204-W205)</f>
        <v>0</v>
      </c>
      <c r="X206" s="114" t="str">
        <f t="shared" ref="X206" ca="1" si="852">IF(X203="","",W206+X204-X205)</f>
        <v/>
      </c>
      <c r="Y206" s="114" t="str">
        <f t="shared" ref="Y206" ca="1" si="853">IF(Y203="","",X206+Y204-Y205)</f>
        <v/>
      </c>
      <c r="Z206" s="114" t="str">
        <f t="shared" ref="Z206" ca="1" si="854">IF(Z203="","",Y206+Z204-Z205)</f>
        <v/>
      </c>
      <c r="AA206" s="114" t="str">
        <f t="shared" ref="AA206" ca="1" si="855">IF(AA203="","",Z206+AA204-AA205)</f>
        <v/>
      </c>
      <c r="AB206" s="114" t="str">
        <f t="shared" ref="AB206" ca="1" si="856">IF(AB203="","",AA206+AB204-AB205)</f>
        <v/>
      </c>
      <c r="AC206" s="114" t="str">
        <f t="shared" ref="AC206" ca="1" si="857">IF(AC203="","",AB206+AC204-AC205)</f>
        <v/>
      </c>
      <c r="AD206" s="114" t="str">
        <f t="shared" ref="AD206" ca="1" si="858">IF(AD203="","",AC206+AD204-AD205)</f>
        <v/>
      </c>
      <c r="AE206" s="114" t="str">
        <f t="shared" ref="AE206" ca="1" si="859">IF(AE203="","",AD206+AE204-AE205)</f>
        <v/>
      </c>
      <c r="AF206" s="114" t="str">
        <f t="shared" ref="AF206" ca="1" si="860">IF(AF203="","",AE206+AF204-AF205)</f>
        <v/>
      </c>
      <c r="AG206" s="114" t="str">
        <f t="shared" ref="AG206" ca="1" si="861">IF(AG203="","",AF206+AG204-AG205)</f>
        <v/>
      </c>
      <c r="AH206" s="114" t="str">
        <f t="shared" ref="AH206" ca="1" si="862">IF(AH203="","",AG206+AH204-AH205)</f>
        <v/>
      </c>
      <c r="AI206" s="114" t="str">
        <f t="shared" ref="AI206" ca="1" si="863">IF(AI203="","",AH206+AI204-AI205)</f>
        <v/>
      </c>
      <c r="AJ206" s="114" t="str">
        <f t="shared" ref="AJ206" ca="1" si="864">IF(AJ203="","",AI206+AJ204-AJ205)</f>
        <v/>
      </c>
      <c r="AK206" s="114" t="str">
        <f t="shared" ref="AK206" ca="1" si="865">IF(AK203="","",AJ206+AK204-AK205)</f>
        <v/>
      </c>
      <c r="AL206" s="114" t="str">
        <f t="shared" ref="AL206" ca="1" si="866">IF(AL203="","",AK206+AL204-AL205)</f>
        <v/>
      </c>
      <c r="AM206" s="114" t="str">
        <f t="shared" ref="AM206" ca="1" si="867">IF(AM203="","",AL206+AM204-AM205)</f>
        <v/>
      </c>
      <c r="AN206" s="114" t="str">
        <f t="shared" ref="AN206" ca="1" si="868">IF(AN203="","",AM206+AN204-AN205)</f>
        <v/>
      </c>
      <c r="AO206" s="114" t="str">
        <f t="shared" ref="AO206" ca="1" si="869">IF(AO203="","",AN206+AO204-AO205)</f>
        <v/>
      </c>
      <c r="AP206" s="114" t="str">
        <f t="shared" ref="AP206" ca="1" si="870">IF(AP203="","",AO206+AP204-AP205)</f>
        <v/>
      </c>
      <c r="AQ206" s="114" t="str">
        <f t="shared" ref="AQ206" ca="1" si="871">IF(AQ203="","",AP206+AQ204-AQ205)</f>
        <v/>
      </c>
      <c r="AR206" s="114" t="str">
        <f t="shared" ref="AR206" ca="1" si="872">IF(AR203="","",AQ206+AR204-AR205)</f>
        <v/>
      </c>
      <c r="AS206" s="114" t="str">
        <f t="shared" ref="AS206" ca="1" si="873">IF(AS203="","",AR206+AS204-AS205)</f>
        <v/>
      </c>
      <c r="AT206" s="114" t="str">
        <f t="shared" ref="AT206" ca="1" si="874">IF(AT203="","",AS206+AT204-AT205)</f>
        <v/>
      </c>
      <c r="AU206" s="114" t="str">
        <f t="shared" ref="AU206" ca="1" si="875">IF(AU203="","",AT206+AU204-AU205)</f>
        <v/>
      </c>
      <c r="AV206" s="114" t="str">
        <f t="shared" ref="AV206" ca="1" si="876">IF(AV203="","",AU206+AV204-AV205)</f>
        <v/>
      </c>
      <c r="AW206" s="114" t="str">
        <f t="shared" ref="AW206" ca="1" si="877">IF(AW203="","",AV206+AW204-AW205)</f>
        <v/>
      </c>
      <c r="AX206" s="90"/>
      <c r="AY206" s="90"/>
      <c r="AZ206" s="87"/>
    </row>
    <row r="207" spans="3:52" ht="12.75" hidden="1" customHeight="1" outlineLevel="1" x14ac:dyDescent="0.2">
      <c r="N207" s="85"/>
      <c r="O207" s="90"/>
      <c r="P207" s="90"/>
      <c r="Q207" s="115" t="str">
        <f>INDEX(g_lang_val,MATCH("tb_2_4_4",g_lang_key,0))</f>
        <v>Renter (FF4)</v>
      </c>
      <c r="R207" s="116"/>
      <c r="S207" s="119">
        <f ca="1">SUM(T207:BG207)</f>
        <v>0</v>
      </c>
      <c r="T207" s="114">
        <f t="shared" ref="T207" ca="1" si="878">IF(T203="","",g_interest_FF4*(S206+(T204/2)-(T205/2)))</f>
        <v>0</v>
      </c>
      <c r="U207" s="114">
        <f t="shared" ref="U207" ca="1" si="879">IF(U203="","",g_interest_FF4*(T206+(U204/2)-(U205/2)))</f>
        <v>0</v>
      </c>
      <c r="V207" s="114">
        <f t="shared" ref="V207" ca="1" si="880">IF(V203="","",g_interest_FF4*(U206+(V204/2)-(V205/2)))</f>
        <v>0</v>
      </c>
      <c r="W207" s="114">
        <f t="shared" ref="W207" ca="1" si="881">IF(W203="","",g_interest_FF4*(V206+(W204/2)-(W205/2)))</f>
        <v>0</v>
      </c>
      <c r="X207" s="114" t="str">
        <f t="shared" ref="X207" ca="1" si="882">IF(X203="","",g_interest_FF4*(W206+(X204/2)-(X205/2)))</f>
        <v/>
      </c>
      <c r="Y207" s="114" t="str">
        <f t="shared" ref="Y207" ca="1" si="883">IF(Y203="","",g_interest_FF4*(X206+(Y204/2)-(Y205/2)))</f>
        <v/>
      </c>
      <c r="Z207" s="114" t="str">
        <f t="shared" ref="Z207" ca="1" si="884">IF(Z203="","",g_interest_FF4*(Y206+(Z204/2)-(Z205/2)))</f>
        <v/>
      </c>
      <c r="AA207" s="114" t="str">
        <f t="shared" ref="AA207" ca="1" si="885">IF(AA203="","",g_interest_FF4*(Z206+(AA204/2)-(AA205/2)))</f>
        <v/>
      </c>
      <c r="AB207" s="114" t="str">
        <f t="shared" ref="AB207" ca="1" si="886">IF(AB203="","",g_interest_FF4*(AA206+(AB204/2)-(AB205/2)))</f>
        <v/>
      </c>
      <c r="AC207" s="114" t="str">
        <f t="shared" ref="AC207" ca="1" si="887">IF(AC203="","",g_interest_FF4*(AB206+(AC204/2)-(AC205/2)))</f>
        <v/>
      </c>
      <c r="AD207" s="114" t="str">
        <f t="shared" ref="AD207" ca="1" si="888">IF(AD203="","",g_interest_FF4*(AC206+(AD204/2)-(AD205/2)))</f>
        <v/>
      </c>
      <c r="AE207" s="114" t="str">
        <f t="shared" ref="AE207" ca="1" si="889">IF(AE203="","",g_interest_FF4*(AD206+(AE204/2)-(AE205/2)))</f>
        <v/>
      </c>
      <c r="AF207" s="114" t="str">
        <f t="shared" ref="AF207" ca="1" si="890">IF(AF203="","",g_interest_FF4*(AE206+(AF204/2)-(AF205/2)))</f>
        <v/>
      </c>
      <c r="AG207" s="114" t="str">
        <f t="shared" ref="AG207" ca="1" si="891">IF(AG203="","",g_interest_FF4*(AF206+(AG204/2)-(AG205/2)))</f>
        <v/>
      </c>
      <c r="AH207" s="114" t="str">
        <f t="shared" ref="AH207" ca="1" si="892">IF(AH203="","",g_interest_FF4*(AG206+(AH204/2)-(AH205/2)))</f>
        <v/>
      </c>
      <c r="AI207" s="114" t="str">
        <f t="shared" ref="AI207" ca="1" si="893">IF(AI203="","",g_interest_FF4*(AH206+(AI204/2)-(AI205/2)))</f>
        <v/>
      </c>
      <c r="AJ207" s="114" t="str">
        <f t="shared" ref="AJ207" ca="1" si="894">IF(AJ203="","",g_interest_FF4*(AI206+(AJ204/2)-(AJ205/2)))</f>
        <v/>
      </c>
      <c r="AK207" s="114" t="str">
        <f t="shared" ref="AK207" ca="1" si="895">IF(AK203="","",g_interest_FF4*(AJ206+(AK204/2)-(AK205/2)))</f>
        <v/>
      </c>
      <c r="AL207" s="114" t="str">
        <f t="shared" ref="AL207" ca="1" si="896">IF(AL203="","",g_interest_FF4*(AK206+(AL204/2)-(AL205/2)))</f>
        <v/>
      </c>
      <c r="AM207" s="114" t="str">
        <f t="shared" ref="AM207" ca="1" si="897">IF(AM203="","",g_interest_FF4*(AL206+(AM204/2)-(AM205/2)))</f>
        <v/>
      </c>
      <c r="AN207" s="114" t="str">
        <f t="shared" ref="AN207" ca="1" si="898">IF(AN203="","",g_interest_FF4*(AM206+(AN204/2)-(AN205/2)))</f>
        <v/>
      </c>
      <c r="AO207" s="114" t="str">
        <f t="shared" ref="AO207" ca="1" si="899">IF(AO203="","",g_interest_FF4*(AN206+(AO204/2)-(AO205/2)))</f>
        <v/>
      </c>
      <c r="AP207" s="114" t="str">
        <f t="shared" ref="AP207" ca="1" si="900">IF(AP203="","",g_interest_FF4*(AO206+(AP204/2)-(AP205/2)))</f>
        <v/>
      </c>
      <c r="AQ207" s="114" t="str">
        <f t="shared" ref="AQ207" ca="1" si="901">IF(AQ203="","",g_interest_FF4*(AP206+(AQ204/2)-(AQ205/2)))</f>
        <v/>
      </c>
      <c r="AR207" s="114" t="str">
        <f t="shared" ref="AR207" ca="1" si="902">IF(AR203="","",g_interest_FF4*(AQ206+(AR204/2)-(AR205/2)))</f>
        <v/>
      </c>
      <c r="AS207" s="114" t="str">
        <f t="shared" ref="AS207" ca="1" si="903">IF(AS203="","",g_interest_FF4*(AR206+(AS204/2)-(AS205/2)))</f>
        <v/>
      </c>
      <c r="AT207" s="114" t="str">
        <f t="shared" ref="AT207" ca="1" si="904">IF(AT203="","",g_interest_FF4*(AS206+(AT204/2)-(AT205/2)))</f>
        <v/>
      </c>
      <c r="AU207" s="114" t="str">
        <f t="shared" ref="AU207" ca="1" si="905">IF(AU203="","",g_interest_FF4*(AT206+(AU204/2)-(AU205/2)))</f>
        <v/>
      </c>
      <c r="AV207" s="114" t="str">
        <f t="shared" ref="AV207" ca="1" si="906">IF(AV203="","",g_interest_FF4*(AU206+(AV204/2)-(AV205/2)))</f>
        <v/>
      </c>
      <c r="AW207" s="114" t="str">
        <f t="shared" ref="AW207" ca="1" si="907">IF(AW203="","",g_interest_FF4*(AV206+(AW204/2)-(AW205/2)))</f>
        <v/>
      </c>
      <c r="AX207" s="90"/>
      <c r="AY207" s="90"/>
      <c r="AZ207" s="87"/>
    </row>
    <row r="208" spans="3:52" ht="12.75" hidden="1" customHeight="1" outlineLevel="1" x14ac:dyDescent="0.2">
      <c r="N208" s="85"/>
      <c r="O208" s="90"/>
      <c r="P208" s="90"/>
      <c r="Q208" s="118" t="str">
        <f>INDEX(g_assets_sc_1,13)</f>
        <v/>
      </c>
      <c r="R208" s="118"/>
      <c r="S208" s="113"/>
      <c r="T208" s="125">
        <f ca="1">T$157</f>
        <v>2026</v>
      </c>
      <c r="U208" s="125">
        <f t="shared" ref="U208:AW208" ca="1" si="908">U$157</f>
        <v>2027</v>
      </c>
      <c r="V208" s="125">
        <f t="shared" ca="1" si="908"/>
        <v>2028</v>
      </c>
      <c r="W208" s="125">
        <f t="shared" ca="1" si="908"/>
        <v>2029</v>
      </c>
      <c r="X208" s="125" t="str">
        <f t="shared" ca="1" si="908"/>
        <v/>
      </c>
      <c r="Y208" s="125" t="str">
        <f t="shared" ca="1" si="908"/>
        <v/>
      </c>
      <c r="Z208" s="125" t="str">
        <f t="shared" ca="1" si="908"/>
        <v/>
      </c>
      <c r="AA208" s="125" t="str">
        <f t="shared" ca="1" si="908"/>
        <v/>
      </c>
      <c r="AB208" s="125" t="str">
        <f t="shared" ca="1" si="908"/>
        <v/>
      </c>
      <c r="AC208" s="125" t="str">
        <f t="shared" ca="1" si="908"/>
        <v/>
      </c>
      <c r="AD208" s="125" t="str">
        <f t="shared" ca="1" si="908"/>
        <v/>
      </c>
      <c r="AE208" s="125" t="str">
        <f t="shared" ca="1" si="908"/>
        <v/>
      </c>
      <c r="AF208" s="125" t="str">
        <f t="shared" ca="1" si="908"/>
        <v/>
      </c>
      <c r="AG208" s="125" t="str">
        <f t="shared" ca="1" si="908"/>
        <v/>
      </c>
      <c r="AH208" s="125" t="str">
        <f t="shared" ca="1" si="908"/>
        <v/>
      </c>
      <c r="AI208" s="125" t="str">
        <f t="shared" ca="1" si="908"/>
        <v/>
      </c>
      <c r="AJ208" s="125" t="str">
        <f t="shared" ca="1" si="908"/>
        <v/>
      </c>
      <c r="AK208" s="125" t="str">
        <f t="shared" ca="1" si="908"/>
        <v/>
      </c>
      <c r="AL208" s="125" t="str">
        <f t="shared" ca="1" si="908"/>
        <v/>
      </c>
      <c r="AM208" s="125" t="str">
        <f t="shared" ca="1" si="908"/>
        <v/>
      </c>
      <c r="AN208" s="125" t="str">
        <f t="shared" ca="1" si="908"/>
        <v/>
      </c>
      <c r="AO208" s="125" t="str">
        <f t="shared" ca="1" si="908"/>
        <v/>
      </c>
      <c r="AP208" s="125" t="str">
        <f t="shared" ca="1" si="908"/>
        <v/>
      </c>
      <c r="AQ208" s="125" t="str">
        <f t="shared" ca="1" si="908"/>
        <v/>
      </c>
      <c r="AR208" s="125" t="str">
        <f t="shared" ca="1" si="908"/>
        <v/>
      </c>
      <c r="AS208" s="125" t="str">
        <f t="shared" ca="1" si="908"/>
        <v/>
      </c>
      <c r="AT208" s="125" t="str">
        <f t="shared" ca="1" si="908"/>
        <v/>
      </c>
      <c r="AU208" s="125" t="str">
        <f t="shared" ca="1" si="908"/>
        <v/>
      </c>
      <c r="AV208" s="125" t="str">
        <f t="shared" ca="1" si="908"/>
        <v/>
      </c>
      <c r="AW208" s="125" t="str">
        <f t="shared" ca="1" si="908"/>
        <v/>
      </c>
      <c r="AX208" s="90"/>
      <c r="AY208" s="90"/>
      <c r="AZ208" s="87"/>
    </row>
    <row r="209" spans="3:52" ht="12.75" hidden="1" customHeight="1" outlineLevel="1" x14ac:dyDescent="0.2">
      <c r="C209" s="126">
        <f>INDEX(g_sc_1_assets_dates,G209)</f>
        <v>0</v>
      </c>
      <c r="G209" s="127">
        <v>11</v>
      </c>
      <c r="N209" s="85"/>
      <c r="O209" s="90"/>
      <c r="P209" s="90"/>
      <c r="Q209" s="115" t="str">
        <f>INDEX(g_lang_val,MATCH("tb_2_4_1",g_lang_key,0))</f>
        <v>Køb af anlægsaktiver</v>
      </c>
      <c r="R209" s="116"/>
      <c r="S209" s="119">
        <f ca="1">SUM(T209:BG209)</f>
        <v>0</v>
      </c>
      <c r="T209" s="114">
        <f ca="1">IF(T208="","",SUMPRODUCT(--(Leverancer!$C$28:$C$88=($G209+2)),Leverancer!D$28:D$88)/1000)</f>
        <v>0</v>
      </c>
      <c r="U209" s="114">
        <f ca="1">IF(U208="","",SUMPRODUCT(--(Leverancer!$C$28:$C$88=($G209+2)),Leverancer!E$28:E$88)/1000)</f>
        <v>0</v>
      </c>
      <c r="V209" s="114">
        <f ca="1">IF(V208="","",SUMPRODUCT(--(Leverancer!$C$28:$C$88=($G209+2)),Leverancer!F$28:F$88)/1000)</f>
        <v>0</v>
      </c>
      <c r="W209" s="114">
        <f ca="1">IF(W208="","",SUMPRODUCT(--(Leverancer!$C$28:$C$88=($G209+2)),Leverancer!G$28:G$88)/1000)</f>
        <v>0</v>
      </c>
      <c r="X209" s="114" t="str">
        <f ca="1">IF(X208="","",SUMPRODUCT(--(Leverancer!$C$28:$C$88=($G209+2)),Leverancer!H$28:H$88)/1000)</f>
        <v/>
      </c>
      <c r="Y209" s="114" t="str">
        <f ca="1">IF(Y208="","",SUMPRODUCT(--(Leverancer!$C$28:$C$88=($G209+2)),Leverancer!I$28:I$88)/1000)</f>
        <v/>
      </c>
      <c r="Z209" s="114" t="str">
        <f ca="1">IF(Z208="","",SUMPRODUCT(--(Leverancer!$C$28:$C$88=($G209+2)),Leverancer!J$28:J$88)/1000)</f>
        <v/>
      </c>
      <c r="AA209" s="114" t="str">
        <f ca="1">IF(AA208="","",SUMPRODUCT(--(Leverancer!$C$28:$C$88=($G209+2)),Leverancer!K$28:K$88)/1000)</f>
        <v/>
      </c>
      <c r="AB209" s="114" t="str">
        <f ca="1">IF(AB208="","",SUMPRODUCT(--(Leverancer!$C$28:$C$88=($G209+2)),Leverancer!L$28:L$88)/1000)</f>
        <v/>
      </c>
      <c r="AC209" s="114" t="str">
        <f ca="1">IF(AC208="","",SUMPRODUCT(--(Leverancer!$C$28:$C$88=($G209+2)),Leverancer!M$28:M$88)/1000)</f>
        <v/>
      </c>
      <c r="AD209" s="114" t="str">
        <f ca="1">IF(AD208="","",SUMPRODUCT(--(Leverancer!$C$28:$C$88=($G209+2)),Leverancer!N$28:N$88)/1000)</f>
        <v/>
      </c>
      <c r="AE209" s="114" t="str">
        <f ca="1">IF(AE208="","",SUMPRODUCT(--(Leverancer!$C$28:$C$88=($G209+2)),Leverancer!O$28:O$88)/1000)</f>
        <v/>
      </c>
      <c r="AF209" s="114" t="str">
        <f ca="1">IF(AF208="","",SUMPRODUCT(--(Leverancer!$C$28:$C$88=($G209+2)),Leverancer!P$28:P$88)/1000)</f>
        <v/>
      </c>
      <c r="AG209" s="114" t="str">
        <f ca="1">IF(AG208="","",SUMPRODUCT(--(Leverancer!$C$28:$C$88=($G209+2)),Leverancer!Q$28:Q$88)/1000)</f>
        <v/>
      </c>
      <c r="AH209" s="114" t="str">
        <f ca="1">IF(AH208="","",SUMPRODUCT(--(Leverancer!$C$28:$C$88=($G209+2)),Leverancer!R$28:R$88)/1000)</f>
        <v/>
      </c>
      <c r="AI209" s="114" t="str">
        <f ca="1">IF(AI208="","",SUMPRODUCT(--(Leverancer!$C$28:$C$88=($G209+2)),Leverancer!S$28:S$88)/1000)</f>
        <v/>
      </c>
      <c r="AJ209" s="114" t="str">
        <f ca="1">IF(AJ208="","",SUMPRODUCT(--(Leverancer!$C$28:$C$88=($G209+2)),Leverancer!T$28:T$88)/1000)</f>
        <v/>
      </c>
      <c r="AK209" s="114" t="str">
        <f ca="1">IF(AK208="","",SUMPRODUCT(--(Leverancer!$C$28:$C$88=($G209+2)),Leverancer!U$28:U$88)/1000)</f>
        <v/>
      </c>
      <c r="AL209" s="114" t="str">
        <f ca="1">IF(AL208="","",SUMPRODUCT(--(Leverancer!$C$28:$C$88=($G209+2)),Leverancer!V$28:V$88)/1000)</f>
        <v/>
      </c>
      <c r="AM209" s="114" t="str">
        <f ca="1">IF(AM208="","",SUMPRODUCT(--(Leverancer!$C$28:$C$88=($G209+2)),Leverancer!W$28:W$88)/1000)</f>
        <v/>
      </c>
      <c r="AN209" s="114" t="str">
        <f ca="1">IF(AN208="","",SUMPRODUCT(--(Leverancer!$C$28:$C$88=($G209+2)),Leverancer!X$28:X$88)/1000)</f>
        <v/>
      </c>
      <c r="AO209" s="114" t="str">
        <f ca="1">IF(AO208="","",SUMPRODUCT(--(Leverancer!$C$28:$C$88=($G209+2)),Leverancer!Y$28:Y$88)/1000)</f>
        <v/>
      </c>
      <c r="AP209" s="114" t="str">
        <f ca="1">IF(AP208="","",SUMPRODUCT(--(Leverancer!$C$28:$C$88=($G209+2)),Leverancer!Z$28:Z$88)/1000)</f>
        <v/>
      </c>
      <c r="AQ209" s="114" t="str">
        <f ca="1">IF(AQ208="","",SUMPRODUCT(--(Leverancer!$C$28:$C$88=($G209+2)),Leverancer!AA$28:AA$88)/1000)</f>
        <v/>
      </c>
      <c r="AR209" s="114" t="str">
        <f ca="1">IF(AR208="","",SUMPRODUCT(--(Leverancer!$C$28:$C$88=($G209+2)),Leverancer!AB$28:AB$88)/1000)</f>
        <v/>
      </c>
      <c r="AS209" s="114" t="str">
        <f ca="1">IF(AS208="","",SUMPRODUCT(--(Leverancer!$C$28:$C$88=($G209+2)),Leverancer!AC$28:AC$88)/1000)</f>
        <v/>
      </c>
      <c r="AT209" s="114" t="str">
        <f ca="1">IF(AT208="","",SUMPRODUCT(--(Leverancer!$C$28:$C$88=($G209+2)),Leverancer!AD$28:AD$88)/1000)</f>
        <v/>
      </c>
      <c r="AU209" s="114" t="str">
        <f ca="1">IF(AU208="","",SUMPRODUCT(--(Leverancer!$C$28:$C$88=($G209+2)),Leverancer!AE$28:AE$88)/1000)</f>
        <v/>
      </c>
      <c r="AV209" s="114" t="str">
        <f ca="1">IF(AV208="","",SUMPRODUCT(--(Leverancer!$C$28:$C$88=($G209+2)),Leverancer!AF$28:AF$88)/1000)</f>
        <v/>
      </c>
      <c r="AW209" s="114" t="str">
        <f ca="1">IF(AW208="","",SUMPRODUCT(--(Leverancer!$C$28:$C$88=($G209+2)),Leverancer!AG$28:AG$88)/1000)</f>
        <v/>
      </c>
      <c r="AX209" s="90"/>
      <c r="AY209" s="90"/>
      <c r="AZ209" s="87"/>
    </row>
    <row r="210" spans="3:52" ht="12.75" hidden="1" customHeight="1" outlineLevel="1" x14ac:dyDescent="0.2">
      <c r="C210" s="128">
        <f>IFERROR(YEAR(C209),"")</f>
        <v>1900</v>
      </c>
      <c r="D210" s="128">
        <f>IFERROR(MONTH(C209),"")</f>
        <v>1</v>
      </c>
      <c r="E210" s="128">
        <f>INDEX(g_sc_1_assets_years,G209)</f>
        <v>0</v>
      </c>
      <c r="N210" s="85"/>
      <c r="O210" s="90"/>
      <c r="P210" s="90"/>
      <c r="Q210" s="115" t="str">
        <f>INDEX(g_lang_val,MATCH("tb_2_4_2",g_lang_key,0))</f>
        <v>Afskrivninger</v>
      </c>
      <c r="R210" s="116"/>
      <c r="S210" s="119">
        <f ca="1">SUM(T210:BG210)</f>
        <v>0</v>
      </c>
      <c r="T210" s="114">
        <f t="shared" ref="T210" ca="1" si="909">IF(T208="","",IF(T208&lt;$C210,0,IF(T208=$C210,T209/$C211*$E211+S211/$C211*$E211,IF(AND(T208&gt;$C210,T208&lt;ROUNDDOWN(($C210+($D210+$C211-1)/12),0)),(T209/2+S211)/($C211-$E211-12*(T208-$C210-1))*12,IF(AND($D211&lt;0,T208=ROUNDDOWN(($C210+($D210+$C211-1)/12),0)),S211+T209,IF(T208=ROUNDDOWN(($C210+($D210+$C211-1)/12),0),(T209+S211)/$C211*($D211+(T208-$C210-1)*12+$E211),IF(T208&gt;ROUNDDOWN(($C210+($D210+$C211)/12),0),0,0)))))))</f>
        <v>0</v>
      </c>
      <c r="U210" s="114">
        <f t="shared" ref="U210" ca="1" si="910">IF(U208="","",IF(U208&lt;$C210,0,IF(U208=$C210,U209/$C211*$E211+T211/$C211*$E211,IF(AND(U208&gt;$C210,U208&lt;ROUNDDOWN(($C210+($D210+$C211-1)/12),0)),(U209/2+T211)/($C211-$E211-12*(U208-$C210-1))*12,IF(AND($D211&lt;0,U208=ROUNDDOWN(($C210+($D210+$C211-1)/12),0)),T211+U209,IF(U208=ROUNDDOWN(($C210+($D210+$C211-1)/12),0),(U209+T211)/$C211*($D211+(U208-$C210-1)*12+$E211),IF(U208&gt;ROUNDDOWN(($C210+($D210+$C211)/12),0),0,0)))))))</f>
        <v>0</v>
      </c>
      <c r="V210" s="114">
        <f t="shared" ref="V210" ca="1" si="911">IF(V208="","",IF(V208&lt;$C210,0,IF(V208=$C210,V209/$C211*$E211+U211/$C211*$E211,IF(AND(V208&gt;$C210,V208&lt;ROUNDDOWN(($C210+($D210+$C211-1)/12),0)),(V209/2+U211)/($C211-$E211-12*(V208-$C210-1))*12,IF(AND($D211&lt;0,V208=ROUNDDOWN(($C210+($D210+$C211-1)/12),0)),U211+V209,IF(V208=ROUNDDOWN(($C210+($D210+$C211-1)/12),0),(V209+U211)/$C211*($D211+(V208-$C210-1)*12+$E211),IF(V208&gt;ROUNDDOWN(($C210+($D210+$C211)/12),0),0,0)))))))</f>
        <v>0</v>
      </c>
      <c r="W210" s="114">
        <f t="shared" ref="W210" ca="1" si="912">IF(W208="","",IF(W208&lt;$C210,0,IF(W208=$C210,W209/$C211*$E211+V211/$C211*$E211,IF(AND(W208&gt;$C210,W208&lt;ROUNDDOWN(($C210+($D210+$C211-1)/12),0)),(W209/2+V211)/($C211-$E211-12*(W208-$C210-1))*12,IF(AND($D211&lt;0,W208=ROUNDDOWN(($C210+($D210+$C211-1)/12),0)),V211+W209,IF(W208=ROUNDDOWN(($C210+($D210+$C211-1)/12),0),(W209+V211)/$C211*($D211+(W208-$C210-1)*12+$E211),IF(W208&gt;ROUNDDOWN(($C210+($D210+$C211)/12),0),0,0)))))))</f>
        <v>0</v>
      </c>
      <c r="X210" s="114" t="str">
        <f t="shared" ref="X210" ca="1" si="913">IF(X208="","",IF(X208&lt;$C210,0,IF(X208=$C210,X209/$C211*$E211+W211/$C211*$E211,IF(AND(X208&gt;$C210,X208&lt;ROUNDDOWN(($C210+($D210+$C211-1)/12),0)),(X209/2+W211)/($C211-$E211-12*(X208-$C210-1))*12,IF(AND($D211&lt;0,X208=ROUNDDOWN(($C210+($D210+$C211-1)/12),0)),W211+X209,IF(X208=ROUNDDOWN(($C210+($D210+$C211-1)/12),0),(X209+W211)/$C211*($D211+(X208-$C210-1)*12+$E211),IF(X208&gt;ROUNDDOWN(($C210+($D210+$C211)/12),0),0,0)))))))</f>
        <v/>
      </c>
      <c r="Y210" s="114" t="str">
        <f t="shared" ref="Y210" ca="1" si="914">IF(Y208="","",IF(Y208&lt;$C210,0,IF(Y208=$C210,Y209/$C211*$E211+X211/$C211*$E211,IF(AND(Y208&gt;$C210,Y208&lt;ROUNDDOWN(($C210+($D210+$C211-1)/12),0)),(Y209/2+X211)/($C211-$E211-12*(Y208-$C210-1))*12,IF(AND($D211&lt;0,Y208=ROUNDDOWN(($C210+($D210+$C211-1)/12),0)),X211+Y209,IF(Y208=ROUNDDOWN(($C210+($D210+$C211-1)/12),0),(Y209+X211)/$C211*($D211+(Y208-$C210-1)*12+$E211),IF(Y208&gt;ROUNDDOWN(($C210+($D210+$C211)/12),0),0,0)))))))</f>
        <v/>
      </c>
      <c r="Z210" s="114" t="str">
        <f ca="1">IF(Z208="","",IF(Z208&lt;$C210,0,IF(Z208=$C210,Z209/$C211*$E211+Y211/$C211*$E211,IF(AND(Z208&gt;$C210,Z208&lt;ROUNDDOWN(($C210+($D210+$C211-1)/12),0)),(Z209/2+Y211)/($C211-$E211-12*(Z208-$C210-1))*12,IF(AND($D211&lt;0,Z208=ROUNDDOWN(($C210+($D210+$C211-1)/12),0)),Y211+Z209,IF(Z208=ROUNDDOWN(($C210+($D210+$C211-1)/12),0),(Z209+Y211)/$C211*($D211+(Z208-$C210-1)*12+$E211),IF(Z208&gt;ROUNDDOWN(($C210+($D210+$C211)/12),0),0,0)))))))</f>
        <v/>
      </c>
      <c r="AA210" s="114" t="str">
        <f t="shared" ref="AA210" ca="1" si="915">IF(AA208="","",IF(AA208&lt;$C210,0,IF(AA208=$C210,AA209/$C211*$E211+Z211/$C211*$E211,IF(AND(AA208&gt;$C210,AA208&lt;ROUNDDOWN(($C210+($D210+$C211-1)/12),0)),(AA209/2+Z211)/($C211-$E211-12*(AA208-$C210-1))*12,IF(AND($D211&lt;0,AA208=ROUNDDOWN(($C210+($D210+$C211-1)/12),0)),Z211+AA209,IF(AA208=ROUNDDOWN(($C210+($D210+$C211-1)/12),0),(AA209+Z211)/$C211*($D211+(AA208-$C210-1)*12+$E211),IF(AA208&gt;ROUNDDOWN(($C210+($D210+$C211)/12),0),0,0)))))))</f>
        <v/>
      </c>
      <c r="AB210" s="114" t="str">
        <f t="shared" ref="AB210" ca="1" si="916">IF(AB208="","",IF(AB208&lt;$C210,0,IF(AB208=$C210,AB209/$C211*$E211+AA211/$C211*$E211,IF(AND(AB208&gt;$C210,AB208&lt;ROUNDDOWN(($C210+($D210+$C211-1)/12),0)),(AB209/2+AA211)/($C211-$E211-12*(AB208-$C210-1))*12,IF(AND($D211&lt;0,AB208=ROUNDDOWN(($C210+($D210+$C211-1)/12),0)),AA211+AB209,IF(AB208=ROUNDDOWN(($C210+($D210+$C211-1)/12),0),(AB209+AA211)/$C211*($D211+(AB208-$C210-1)*12+$E211),IF(AB208&gt;ROUNDDOWN(($C210+($D210+$C211)/12),0),0,0)))))))</f>
        <v/>
      </c>
      <c r="AC210" s="114" t="str">
        <f t="shared" ref="AC210" ca="1" si="917">IF(AC208="","",IF(AC208&lt;$C210,0,IF(AC208=$C210,AC209/$C211*$E211+AB211/$C211*$E211,IF(AND(AC208&gt;$C210,AC208&lt;ROUNDDOWN(($C210+($D210+$C211-1)/12),0)),(AC209/2+AB211)/($C211-$E211-12*(AC208-$C210-1))*12,IF(AND($D211&lt;0,AC208=ROUNDDOWN(($C210+($D210+$C211-1)/12),0)),AB211+AC209,IF(AC208=ROUNDDOWN(($C210+($D210+$C211-1)/12),0),(AC209+AB211)/$C211*($D211+(AC208-$C210-1)*12+$E211),IF(AC208&gt;ROUNDDOWN(($C210+($D210+$C211)/12),0),0,0)))))))</f>
        <v/>
      </c>
      <c r="AD210" s="114" t="str">
        <f t="shared" ref="AD210" ca="1" si="918">IF(AD208="","",IF(AD208&lt;$C210,0,IF(AD208=$C210,AD209/$C211*$E211+AC211/$C211*$E211,IF(AND(AD208&gt;$C210,AD208&lt;ROUNDDOWN(($C210+($D210+$C211-1)/12),0)),(AD209/2+AC211)/($C211-$E211-12*(AD208-$C210-1))*12,IF(AND($D211&lt;0,AD208=ROUNDDOWN(($C210+($D210+$C211-1)/12),0)),AC211+AD209,IF(AD208=ROUNDDOWN(($C210+($D210+$C211-1)/12),0),(AD209+AC211)/$C211*($D211+(AD208-$C210-1)*12+$E211),IF(AD208&gt;ROUNDDOWN(($C210+($D210+$C211)/12),0),0,0)))))))</f>
        <v/>
      </c>
      <c r="AE210" s="114" t="str">
        <f t="shared" ref="AE210" ca="1" si="919">IF(AE208="","",IF(AE208&lt;$C210,0,IF(AE208=$C210,AE209/$C211*$E211+AD211/$C211*$E211,IF(AND(AE208&gt;$C210,AE208&lt;ROUNDDOWN(($C210+($D210+$C211-1)/12),0)),(AE209/2+AD211)/($C211-$E211-12*(AE208-$C210-1))*12,IF(AND($D211&lt;0,AE208=ROUNDDOWN(($C210+($D210+$C211-1)/12),0)),AD211+AE209,IF(AE208=ROUNDDOWN(($C210+($D210+$C211-1)/12),0),(AE209+AD211)/$C211*($D211+(AE208-$C210-1)*12+$E211),IF(AE208&gt;ROUNDDOWN(($C210+($D210+$C211)/12),0),0,0)))))))</f>
        <v/>
      </c>
      <c r="AF210" s="114" t="str">
        <f t="shared" ref="AF210" ca="1" si="920">IF(AF208="","",IF(AF208&lt;$C210,0,IF(AF208=$C210,AF209/$C211*$E211+AE211/$C211*$E211,IF(AND(AF208&gt;$C210,AF208&lt;ROUNDDOWN(($C210+($D210+$C211-1)/12),0)),(AF209/2+AE211)/($C211-$E211-12*(AF208-$C210-1))*12,IF(AND($D211&lt;0,AF208=ROUNDDOWN(($C210+($D210+$C211-1)/12),0)),AE211+AF209,IF(AF208=ROUNDDOWN(($C210+($D210+$C211-1)/12),0),(AF209+AE211)/$C211*($D211+(AF208-$C210-1)*12+$E211),IF(AF208&gt;ROUNDDOWN(($C210+($D210+$C211)/12),0),0,0)))))))</f>
        <v/>
      </c>
      <c r="AG210" s="114" t="str">
        <f t="shared" ref="AG210" ca="1" si="921">IF(AG208="","",IF(AG208&lt;$C210,0,IF(AG208=$C210,AG209/$C211*$E211+AF211/$C211*$E211,IF(AND(AG208&gt;$C210,AG208&lt;ROUNDDOWN(($C210+($D210+$C211-1)/12),0)),(AG209/2+AF211)/($C211-$E211-12*(AG208-$C210-1))*12,IF(AND($D211&lt;0,AG208=ROUNDDOWN(($C210+($D210+$C211-1)/12),0)),AF211+AG209,IF(AG208=ROUNDDOWN(($C210+($D210+$C211-1)/12),0),(AG209+AF211)/$C211*($D211+(AG208-$C210-1)*12+$E211),IF(AG208&gt;ROUNDDOWN(($C210+($D210+$C211)/12),0),0,0)))))))</f>
        <v/>
      </c>
      <c r="AH210" s="114" t="str">
        <f t="shared" ref="AH210" ca="1" si="922">IF(AH208="","",IF(AH208&lt;$C210,0,IF(AH208=$C210,AH209/$C211*$E211+AG211/$C211*$E211,IF(AND(AH208&gt;$C210,AH208&lt;ROUNDDOWN(($C210+($D210+$C211-1)/12),0)),(AH209/2+AG211)/($C211-$E211-12*(AH208-$C210-1))*12,IF(AND($D211&lt;0,AH208=ROUNDDOWN(($C210+($D210+$C211-1)/12),0)),AG211+AH209,IF(AH208=ROUNDDOWN(($C210+($D210+$C211-1)/12),0),(AH209+AG211)/$C211*($D211+(AH208-$C210-1)*12+$E211),IF(AH208&gt;ROUNDDOWN(($C210+($D210+$C211)/12),0),0,0)))))))</f>
        <v/>
      </c>
      <c r="AI210" s="114" t="str">
        <f t="shared" ref="AI210" ca="1" si="923">IF(AI208="","",IF(AI208&lt;$C210,0,IF(AI208=$C210,AI209/$C211*$E211+AH211/$C211*$E211,IF(AND(AI208&gt;$C210,AI208&lt;ROUNDDOWN(($C210+($D210+$C211-1)/12),0)),(AI209/2+AH211)/($C211-$E211-12*(AI208-$C210-1))*12,IF(AND($D211&lt;0,AI208=ROUNDDOWN(($C210+($D210+$C211-1)/12),0)),AH211+AI209,IF(AI208=ROUNDDOWN(($C210+($D210+$C211-1)/12),0),(AI209+AH211)/$C211*($D211+(AI208-$C210-1)*12+$E211),IF(AI208&gt;ROUNDDOWN(($C210+($D210+$C211)/12),0),0,0)))))))</f>
        <v/>
      </c>
      <c r="AJ210" s="114" t="str">
        <f t="shared" ref="AJ210" ca="1" si="924">IF(AJ208="","",IF(AJ208&lt;$C210,0,IF(AJ208=$C210,AJ209/$C211*$E211+AI211/$C211*$E211,IF(AND(AJ208&gt;$C210,AJ208&lt;ROUNDDOWN(($C210+($D210+$C211-1)/12),0)),(AJ209/2+AI211)/($C211-$E211-12*(AJ208-$C210-1))*12,IF(AND($D211&lt;0,AJ208=ROUNDDOWN(($C210+($D210+$C211-1)/12),0)),AI211+AJ209,IF(AJ208=ROUNDDOWN(($C210+($D210+$C211-1)/12),0),(AJ209+AI211)/$C211*($D211+(AJ208-$C210-1)*12+$E211),IF(AJ208&gt;ROUNDDOWN(($C210+($D210+$C211)/12),0),0,0)))))))</f>
        <v/>
      </c>
      <c r="AK210" s="114" t="str">
        <f t="shared" ref="AK210" ca="1" si="925">IF(AK208="","",IF(AK208&lt;$C210,0,IF(AK208=$C210,AK209/$C211*$E211+AJ211/$C211*$E211,IF(AND(AK208&gt;$C210,AK208&lt;ROUNDDOWN(($C210+($D210+$C211-1)/12),0)),(AK209/2+AJ211)/($C211-$E211-12*(AK208-$C210-1))*12,IF(AND($D211&lt;0,AK208=ROUNDDOWN(($C210+($D210+$C211-1)/12),0)),AJ211+AK209,IF(AK208=ROUNDDOWN(($C210+($D210+$C211-1)/12),0),(AK209+AJ211)/$C211*($D211+(AK208-$C210-1)*12+$E211),IF(AK208&gt;ROUNDDOWN(($C210+($D210+$C211)/12),0),0,0)))))))</f>
        <v/>
      </c>
      <c r="AL210" s="114" t="str">
        <f t="shared" ref="AL210" ca="1" si="926">IF(AL208="","",IF(AL208&lt;$C210,0,IF(AL208=$C210,AL209/$C211*$E211+AK211/$C211*$E211,IF(AND(AL208&gt;$C210,AL208&lt;ROUNDDOWN(($C210+($D210+$C211-1)/12),0)),(AL209/2+AK211)/($C211-$E211-12*(AL208-$C210-1))*12,IF(AND($D211&lt;0,AL208=ROUNDDOWN(($C210+($D210+$C211-1)/12),0)),AK211+AL209,IF(AL208=ROUNDDOWN(($C210+($D210+$C211-1)/12),0),(AL209+AK211)/$C211*($D211+(AL208-$C210-1)*12+$E211),IF(AL208&gt;ROUNDDOWN(($C210+($D210+$C211)/12),0),0,0)))))))</f>
        <v/>
      </c>
      <c r="AM210" s="114" t="str">
        <f t="shared" ref="AM210" ca="1" si="927">IF(AM208="","",IF(AM208&lt;$C210,0,IF(AM208=$C210,AM209/$C211*$E211+AL211/$C211*$E211,IF(AND(AM208&gt;$C210,AM208&lt;ROUNDDOWN(($C210+($D210+$C211-1)/12),0)),(AM209/2+AL211)/($C211-$E211-12*(AM208-$C210-1))*12,IF(AND($D211&lt;0,AM208=ROUNDDOWN(($C210+($D210+$C211-1)/12),0)),AL211+AM209,IF(AM208=ROUNDDOWN(($C210+($D210+$C211-1)/12),0),(AM209+AL211)/$C211*($D211+(AM208-$C210-1)*12+$E211),IF(AM208&gt;ROUNDDOWN(($C210+($D210+$C211)/12),0),0,0)))))))</f>
        <v/>
      </c>
      <c r="AN210" s="114" t="str">
        <f t="shared" ref="AN210" ca="1" si="928">IF(AN208="","",IF(AN208&lt;$C210,0,IF(AN208=$C210,AN209/$C211*$E211+AM211/$C211*$E211,IF(AND(AN208&gt;$C210,AN208&lt;ROUNDDOWN(($C210+($D210+$C211-1)/12),0)),(AN209/2+AM211)/($C211-$E211-12*(AN208-$C210-1))*12,IF(AND($D211&lt;0,AN208=ROUNDDOWN(($C210+($D210+$C211-1)/12),0)),AM211+AN209,IF(AN208=ROUNDDOWN(($C210+($D210+$C211-1)/12),0),(AN209+AM211)/$C211*($D211+(AN208-$C210-1)*12+$E211),IF(AN208&gt;ROUNDDOWN(($C210+($D210+$C211)/12),0),0,0)))))))</f>
        <v/>
      </c>
      <c r="AO210" s="114" t="str">
        <f t="shared" ref="AO210" ca="1" si="929">IF(AO208="","",IF(AO208&lt;$C210,0,IF(AO208=$C210,AO209/$C211*$E211+AN211/$C211*$E211,IF(AND(AO208&gt;$C210,AO208&lt;ROUNDDOWN(($C210+($D210+$C211-1)/12),0)),(AO209/2+AN211)/($C211-$E211-12*(AO208-$C210-1))*12,IF(AND($D211&lt;0,AO208=ROUNDDOWN(($C210+($D210+$C211-1)/12),0)),AN211+AO209,IF(AO208=ROUNDDOWN(($C210+($D210+$C211-1)/12),0),(AO209+AN211)/$C211*($D211+(AO208-$C210-1)*12+$E211),IF(AO208&gt;ROUNDDOWN(($C210+($D210+$C211)/12),0),0,0)))))))</f>
        <v/>
      </c>
      <c r="AP210" s="114" t="str">
        <f t="shared" ref="AP210" ca="1" si="930">IF(AP208="","",IF(AP208&lt;$C210,0,IF(AP208=$C210,AP209/$C211*$E211+AO211/$C211*$E211,IF(AND(AP208&gt;$C210,AP208&lt;ROUNDDOWN(($C210+($D210+$C211-1)/12),0)),(AP209/2+AO211)/($C211-$E211-12*(AP208-$C210-1))*12,IF(AND($D211&lt;0,AP208=ROUNDDOWN(($C210+($D210+$C211-1)/12),0)),AO211+AP209,IF(AP208=ROUNDDOWN(($C210+($D210+$C211-1)/12),0),(AP209+AO211)/$C211*($D211+(AP208-$C210-1)*12+$E211),IF(AP208&gt;ROUNDDOWN(($C210+($D210+$C211)/12),0),0,0)))))))</f>
        <v/>
      </c>
      <c r="AQ210" s="114" t="str">
        <f t="shared" ref="AQ210" ca="1" si="931">IF(AQ208="","",IF(AQ208&lt;$C210,0,IF(AQ208=$C210,AQ209/$C211*$E211+AP211/$C211*$E211,IF(AND(AQ208&gt;$C210,AQ208&lt;ROUNDDOWN(($C210+($D210+$C211-1)/12),0)),(AQ209/2+AP211)/($C211-$E211-12*(AQ208-$C210-1))*12,IF(AND($D211&lt;0,AQ208=ROUNDDOWN(($C210+($D210+$C211-1)/12),0)),AP211+AQ209,IF(AQ208=ROUNDDOWN(($C210+($D210+$C211-1)/12),0),(AQ209+AP211)/$C211*($D211+(AQ208-$C210-1)*12+$E211),IF(AQ208&gt;ROUNDDOWN(($C210+($D210+$C211)/12),0),0,0)))))))</f>
        <v/>
      </c>
      <c r="AR210" s="114" t="str">
        <f t="shared" ref="AR210" ca="1" si="932">IF(AR208="","",IF(AR208&lt;$C210,0,IF(AR208=$C210,AR209/$C211*$E211+AQ211/$C211*$E211,IF(AND(AR208&gt;$C210,AR208&lt;ROUNDDOWN(($C210+($D210+$C211-1)/12),0)),(AR209/2+AQ211)/($C211-$E211-12*(AR208-$C210-1))*12,IF(AND($D211&lt;0,AR208=ROUNDDOWN(($C210+($D210+$C211-1)/12),0)),AQ211+AR209,IF(AR208=ROUNDDOWN(($C210+($D210+$C211-1)/12),0),(AR209+AQ211)/$C211*($D211+(AR208-$C210-1)*12+$E211),IF(AR208&gt;ROUNDDOWN(($C210+($D210+$C211)/12),0),0,0)))))))</f>
        <v/>
      </c>
      <c r="AS210" s="114" t="str">
        <f t="shared" ref="AS210" ca="1" si="933">IF(AS208="","",IF(AS208&lt;$C210,0,IF(AS208=$C210,AS209/$C211*$E211+AR211/$C211*$E211,IF(AND(AS208&gt;$C210,AS208&lt;ROUNDDOWN(($C210+($D210+$C211-1)/12),0)),(AS209/2+AR211)/($C211-$E211-12*(AS208-$C210-1))*12,IF(AND($D211&lt;0,AS208=ROUNDDOWN(($C210+($D210+$C211-1)/12),0)),AR211+AS209,IF(AS208=ROUNDDOWN(($C210+($D210+$C211-1)/12),0),(AS209+AR211)/$C211*($D211+(AS208-$C210-1)*12+$E211),IF(AS208&gt;ROUNDDOWN(($C210+($D210+$C211)/12),0),0,0)))))))</f>
        <v/>
      </c>
      <c r="AT210" s="114" t="str">
        <f t="shared" ref="AT210" ca="1" si="934">IF(AT208="","",IF(AT208&lt;$C210,0,IF(AT208=$C210,AT209/$C211*$E211+AS211/$C211*$E211,IF(AND(AT208&gt;$C210,AT208&lt;ROUNDDOWN(($C210+($D210+$C211-1)/12),0)),(AT209/2+AS211)/($C211-$E211-12*(AT208-$C210-1))*12,IF(AND($D211&lt;0,AT208=ROUNDDOWN(($C210+($D210+$C211-1)/12),0)),AS211+AT209,IF(AT208=ROUNDDOWN(($C210+($D210+$C211-1)/12),0),(AT209+AS211)/$C211*($D211+(AT208-$C210-1)*12+$E211),IF(AT208&gt;ROUNDDOWN(($C210+($D210+$C211)/12),0),0,0)))))))</f>
        <v/>
      </c>
      <c r="AU210" s="114" t="str">
        <f t="shared" ref="AU210" ca="1" si="935">IF(AU208="","",IF(AU208&lt;$C210,0,IF(AU208=$C210,AU209/$C211*$E211+AT211/$C211*$E211,IF(AND(AU208&gt;$C210,AU208&lt;ROUNDDOWN(($C210+($D210+$C211-1)/12),0)),(AU209/2+AT211)/($C211-$E211-12*(AU208-$C210-1))*12,IF(AND($D211&lt;0,AU208=ROUNDDOWN(($C210+($D210+$C211-1)/12),0)),AT211+AU209,IF(AU208=ROUNDDOWN(($C210+($D210+$C211-1)/12),0),(AU209+AT211)/$C211*($D211+(AU208-$C210-1)*12+$E211),IF(AU208&gt;ROUNDDOWN(($C210+($D210+$C211)/12),0),0,0)))))))</f>
        <v/>
      </c>
      <c r="AV210" s="114" t="str">
        <f t="shared" ref="AV210" ca="1" si="936">IF(AV208="","",IF(AV208&lt;$C210,0,IF(AV208=$C210,AV209/$C211*$E211+AU211/$C211*$E211,IF(AND(AV208&gt;$C210,AV208&lt;ROUNDDOWN(($C210+($D210+$C211-1)/12),0)),(AV209/2+AU211)/($C211-$E211-12*(AV208-$C210-1))*12,IF(AND($D211&lt;0,AV208=ROUNDDOWN(($C210+($D210+$C211-1)/12),0)),AU211+AV209,IF(AV208=ROUNDDOWN(($C210+($D210+$C211-1)/12),0),(AV209+AU211)/$C211*($D211+(AV208-$C210-1)*12+$E211),IF(AV208&gt;ROUNDDOWN(($C210+($D210+$C211)/12),0),0,0)))))))</f>
        <v/>
      </c>
      <c r="AW210" s="114" t="str">
        <f t="shared" ref="AW210" ca="1" si="937">IF(AW208="","",IF(AW208&lt;$C210,0,IF(AW208=$C210,AW209/$C211*$E211+AV211/$C211*$E211,IF(AND(AW208&gt;$C210,AW208&lt;ROUNDDOWN(($C210+($D210+$C211-1)/12),0)),(AW209/2+AV211)/($C211-$E211-12*(AW208-$C210-1))*12,IF(AND($D211&lt;0,AW208=ROUNDDOWN(($C210+($D210+$C211-1)/12),0)),AV211+AW209,IF(AW208=ROUNDDOWN(($C210+($D210+$C211-1)/12),0),(AW209+AV211)/$C211*($D211+(AW208-$C210-1)*12+$E211),IF(AW208&gt;ROUNDDOWN(($C210+($D210+$C211)/12),0),0,0)))))))</f>
        <v/>
      </c>
      <c r="AX210" s="90"/>
      <c r="AY210" s="90"/>
      <c r="AZ210" s="87"/>
    </row>
    <row r="211" spans="3:52" ht="12.75" hidden="1" customHeight="1" outlineLevel="1" x14ac:dyDescent="0.2">
      <c r="C211" s="128">
        <f>ROUNDUP((E210-ROUNDDOWN(E210,0))*12,0)+ROUNDDOWN(E210,0)*12</f>
        <v>0</v>
      </c>
      <c r="D211" s="128">
        <f>C211-E211-ROUNDDOWN(E210,0)*12</f>
        <v>-12</v>
      </c>
      <c r="E211" s="128">
        <f>13-MONTH(C209)</f>
        <v>12</v>
      </c>
      <c r="N211" s="85"/>
      <c r="O211" s="90"/>
      <c r="P211" s="90"/>
      <c r="Q211" s="115" t="str">
        <f>INDEX(g_lang_val,MATCH("tb_2_4_3",g_lang_key,0))</f>
        <v>FF4-gæld, ultimo året</v>
      </c>
      <c r="R211" s="116"/>
      <c r="S211" s="119"/>
      <c r="T211" s="114">
        <f t="shared" ref="T211" ca="1" si="938">IF(T208="","",S211+T209-T210)</f>
        <v>0</v>
      </c>
      <c r="U211" s="114">
        <f t="shared" ref="U211" ca="1" si="939">IF(U208="","",T211+U209-U210)</f>
        <v>0</v>
      </c>
      <c r="V211" s="114">
        <f t="shared" ref="V211" ca="1" si="940">IF(V208="","",U211+V209-V210)</f>
        <v>0</v>
      </c>
      <c r="W211" s="114">
        <f t="shared" ref="W211" ca="1" si="941">IF(W208="","",V211+W209-W210)</f>
        <v>0</v>
      </c>
      <c r="X211" s="114" t="str">
        <f t="shared" ref="X211" ca="1" si="942">IF(X208="","",W211+X209-X210)</f>
        <v/>
      </c>
      <c r="Y211" s="114" t="str">
        <f t="shared" ref="Y211" ca="1" si="943">IF(Y208="","",X211+Y209-Y210)</f>
        <v/>
      </c>
      <c r="Z211" s="114" t="str">
        <f t="shared" ref="Z211" ca="1" si="944">IF(Z208="","",Y211+Z209-Z210)</f>
        <v/>
      </c>
      <c r="AA211" s="114" t="str">
        <f t="shared" ref="AA211" ca="1" si="945">IF(AA208="","",Z211+AA209-AA210)</f>
        <v/>
      </c>
      <c r="AB211" s="114" t="str">
        <f t="shared" ref="AB211" ca="1" si="946">IF(AB208="","",AA211+AB209-AB210)</f>
        <v/>
      </c>
      <c r="AC211" s="114" t="str">
        <f t="shared" ref="AC211" ca="1" si="947">IF(AC208="","",AB211+AC209-AC210)</f>
        <v/>
      </c>
      <c r="AD211" s="114" t="str">
        <f t="shared" ref="AD211" ca="1" si="948">IF(AD208="","",AC211+AD209-AD210)</f>
        <v/>
      </c>
      <c r="AE211" s="114" t="str">
        <f t="shared" ref="AE211" ca="1" si="949">IF(AE208="","",AD211+AE209-AE210)</f>
        <v/>
      </c>
      <c r="AF211" s="114" t="str">
        <f t="shared" ref="AF211" ca="1" si="950">IF(AF208="","",AE211+AF209-AF210)</f>
        <v/>
      </c>
      <c r="AG211" s="114" t="str">
        <f t="shared" ref="AG211" ca="1" si="951">IF(AG208="","",AF211+AG209-AG210)</f>
        <v/>
      </c>
      <c r="AH211" s="114" t="str">
        <f t="shared" ref="AH211" ca="1" si="952">IF(AH208="","",AG211+AH209-AH210)</f>
        <v/>
      </c>
      <c r="AI211" s="114" t="str">
        <f t="shared" ref="AI211" ca="1" si="953">IF(AI208="","",AH211+AI209-AI210)</f>
        <v/>
      </c>
      <c r="AJ211" s="114" t="str">
        <f t="shared" ref="AJ211" ca="1" si="954">IF(AJ208="","",AI211+AJ209-AJ210)</f>
        <v/>
      </c>
      <c r="AK211" s="114" t="str">
        <f t="shared" ref="AK211" ca="1" si="955">IF(AK208="","",AJ211+AK209-AK210)</f>
        <v/>
      </c>
      <c r="AL211" s="114" t="str">
        <f t="shared" ref="AL211" ca="1" si="956">IF(AL208="","",AK211+AL209-AL210)</f>
        <v/>
      </c>
      <c r="AM211" s="114" t="str">
        <f t="shared" ref="AM211" ca="1" si="957">IF(AM208="","",AL211+AM209-AM210)</f>
        <v/>
      </c>
      <c r="AN211" s="114" t="str">
        <f t="shared" ref="AN211" ca="1" si="958">IF(AN208="","",AM211+AN209-AN210)</f>
        <v/>
      </c>
      <c r="AO211" s="114" t="str">
        <f t="shared" ref="AO211" ca="1" si="959">IF(AO208="","",AN211+AO209-AO210)</f>
        <v/>
      </c>
      <c r="AP211" s="114" t="str">
        <f t="shared" ref="AP211" ca="1" si="960">IF(AP208="","",AO211+AP209-AP210)</f>
        <v/>
      </c>
      <c r="AQ211" s="114" t="str">
        <f t="shared" ref="AQ211" ca="1" si="961">IF(AQ208="","",AP211+AQ209-AQ210)</f>
        <v/>
      </c>
      <c r="AR211" s="114" t="str">
        <f t="shared" ref="AR211" ca="1" si="962">IF(AR208="","",AQ211+AR209-AR210)</f>
        <v/>
      </c>
      <c r="AS211" s="114" t="str">
        <f t="shared" ref="AS211" ca="1" si="963">IF(AS208="","",AR211+AS209-AS210)</f>
        <v/>
      </c>
      <c r="AT211" s="114" t="str">
        <f t="shared" ref="AT211" ca="1" si="964">IF(AT208="","",AS211+AT209-AT210)</f>
        <v/>
      </c>
      <c r="AU211" s="114" t="str">
        <f t="shared" ref="AU211" ca="1" si="965">IF(AU208="","",AT211+AU209-AU210)</f>
        <v/>
      </c>
      <c r="AV211" s="114" t="str">
        <f t="shared" ref="AV211" ca="1" si="966">IF(AV208="","",AU211+AV209-AV210)</f>
        <v/>
      </c>
      <c r="AW211" s="114" t="str">
        <f t="shared" ref="AW211" ca="1" si="967">IF(AW208="","",AV211+AW209-AW210)</f>
        <v/>
      </c>
      <c r="AX211" s="90"/>
      <c r="AY211" s="90"/>
      <c r="AZ211" s="87"/>
    </row>
    <row r="212" spans="3:52" ht="12.75" hidden="1" customHeight="1" outlineLevel="1" x14ac:dyDescent="0.2">
      <c r="N212" s="85"/>
      <c r="O212" s="90"/>
      <c r="P212" s="90"/>
      <c r="Q212" s="115" t="str">
        <f>INDEX(g_lang_val,MATCH("tb_2_4_4",g_lang_key,0))</f>
        <v>Renter (FF4)</v>
      </c>
      <c r="R212" s="116"/>
      <c r="S212" s="119">
        <f ca="1">SUM(T212:BG212)</f>
        <v>0</v>
      </c>
      <c r="T212" s="114">
        <f t="shared" ref="T212" ca="1" si="968">IF(T208="","",g_interest_FF4*(S211+(T209/2)-(T210/2)))</f>
        <v>0</v>
      </c>
      <c r="U212" s="114">
        <f t="shared" ref="U212" ca="1" si="969">IF(U208="","",g_interest_FF4*(T211+(U209/2)-(U210/2)))</f>
        <v>0</v>
      </c>
      <c r="V212" s="114">
        <f t="shared" ref="V212" ca="1" si="970">IF(V208="","",g_interest_FF4*(U211+(V209/2)-(V210/2)))</f>
        <v>0</v>
      </c>
      <c r="W212" s="114">
        <f t="shared" ref="W212" ca="1" si="971">IF(W208="","",g_interest_FF4*(V211+(W209/2)-(W210/2)))</f>
        <v>0</v>
      </c>
      <c r="X212" s="114" t="str">
        <f t="shared" ref="X212" ca="1" si="972">IF(X208="","",g_interest_FF4*(W211+(X209/2)-(X210/2)))</f>
        <v/>
      </c>
      <c r="Y212" s="114" t="str">
        <f t="shared" ref="Y212" ca="1" si="973">IF(Y208="","",g_interest_FF4*(X211+(Y209/2)-(Y210/2)))</f>
        <v/>
      </c>
      <c r="Z212" s="114" t="str">
        <f t="shared" ref="Z212" ca="1" si="974">IF(Z208="","",g_interest_FF4*(Y211+(Z209/2)-(Z210/2)))</f>
        <v/>
      </c>
      <c r="AA212" s="114" t="str">
        <f t="shared" ref="AA212" ca="1" si="975">IF(AA208="","",g_interest_FF4*(Z211+(AA209/2)-(AA210/2)))</f>
        <v/>
      </c>
      <c r="AB212" s="114" t="str">
        <f t="shared" ref="AB212" ca="1" si="976">IF(AB208="","",g_interest_FF4*(AA211+(AB209/2)-(AB210/2)))</f>
        <v/>
      </c>
      <c r="AC212" s="114" t="str">
        <f t="shared" ref="AC212" ca="1" si="977">IF(AC208="","",g_interest_FF4*(AB211+(AC209/2)-(AC210/2)))</f>
        <v/>
      </c>
      <c r="AD212" s="114" t="str">
        <f t="shared" ref="AD212" ca="1" si="978">IF(AD208="","",g_interest_FF4*(AC211+(AD209/2)-(AD210/2)))</f>
        <v/>
      </c>
      <c r="AE212" s="114" t="str">
        <f t="shared" ref="AE212" ca="1" si="979">IF(AE208="","",g_interest_FF4*(AD211+(AE209/2)-(AE210/2)))</f>
        <v/>
      </c>
      <c r="AF212" s="114" t="str">
        <f t="shared" ref="AF212" ca="1" si="980">IF(AF208="","",g_interest_FF4*(AE211+(AF209/2)-(AF210/2)))</f>
        <v/>
      </c>
      <c r="AG212" s="114" t="str">
        <f t="shared" ref="AG212" ca="1" si="981">IF(AG208="","",g_interest_FF4*(AF211+(AG209/2)-(AG210/2)))</f>
        <v/>
      </c>
      <c r="AH212" s="114" t="str">
        <f t="shared" ref="AH212" ca="1" si="982">IF(AH208="","",g_interest_FF4*(AG211+(AH209/2)-(AH210/2)))</f>
        <v/>
      </c>
      <c r="AI212" s="114" t="str">
        <f t="shared" ref="AI212" ca="1" si="983">IF(AI208="","",g_interest_FF4*(AH211+(AI209/2)-(AI210/2)))</f>
        <v/>
      </c>
      <c r="AJ212" s="114" t="str">
        <f t="shared" ref="AJ212" ca="1" si="984">IF(AJ208="","",g_interest_FF4*(AI211+(AJ209/2)-(AJ210/2)))</f>
        <v/>
      </c>
      <c r="AK212" s="114" t="str">
        <f t="shared" ref="AK212" ca="1" si="985">IF(AK208="","",g_interest_FF4*(AJ211+(AK209/2)-(AK210/2)))</f>
        <v/>
      </c>
      <c r="AL212" s="114" t="str">
        <f t="shared" ref="AL212" ca="1" si="986">IF(AL208="","",g_interest_FF4*(AK211+(AL209/2)-(AL210/2)))</f>
        <v/>
      </c>
      <c r="AM212" s="114" t="str">
        <f t="shared" ref="AM212" ca="1" si="987">IF(AM208="","",g_interest_FF4*(AL211+(AM209/2)-(AM210/2)))</f>
        <v/>
      </c>
      <c r="AN212" s="114" t="str">
        <f t="shared" ref="AN212" ca="1" si="988">IF(AN208="","",g_interest_FF4*(AM211+(AN209/2)-(AN210/2)))</f>
        <v/>
      </c>
      <c r="AO212" s="114" t="str">
        <f t="shared" ref="AO212" ca="1" si="989">IF(AO208="","",g_interest_FF4*(AN211+(AO209/2)-(AO210/2)))</f>
        <v/>
      </c>
      <c r="AP212" s="114" t="str">
        <f t="shared" ref="AP212" ca="1" si="990">IF(AP208="","",g_interest_FF4*(AO211+(AP209/2)-(AP210/2)))</f>
        <v/>
      </c>
      <c r="AQ212" s="114" t="str">
        <f t="shared" ref="AQ212" ca="1" si="991">IF(AQ208="","",g_interest_FF4*(AP211+(AQ209/2)-(AQ210/2)))</f>
        <v/>
      </c>
      <c r="AR212" s="114" t="str">
        <f t="shared" ref="AR212" ca="1" si="992">IF(AR208="","",g_interest_FF4*(AQ211+(AR209/2)-(AR210/2)))</f>
        <v/>
      </c>
      <c r="AS212" s="114" t="str">
        <f t="shared" ref="AS212" ca="1" si="993">IF(AS208="","",g_interest_FF4*(AR211+(AS209/2)-(AS210/2)))</f>
        <v/>
      </c>
      <c r="AT212" s="114" t="str">
        <f t="shared" ref="AT212" ca="1" si="994">IF(AT208="","",g_interest_FF4*(AS211+(AT209/2)-(AT210/2)))</f>
        <v/>
      </c>
      <c r="AU212" s="114" t="str">
        <f t="shared" ref="AU212" ca="1" si="995">IF(AU208="","",g_interest_FF4*(AT211+(AU209/2)-(AU210/2)))</f>
        <v/>
      </c>
      <c r="AV212" s="114" t="str">
        <f t="shared" ref="AV212" ca="1" si="996">IF(AV208="","",g_interest_FF4*(AU211+(AV209/2)-(AV210/2)))</f>
        <v/>
      </c>
      <c r="AW212" s="114" t="str">
        <f t="shared" ref="AW212" ca="1" si="997">IF(AW208="","",g_interest_FF4*(AV211+(AW209/2)-(AW210/2)))</f>
        <v/>
      </c>
      <c r="AX212" s="90"/>
      <c r="AY212" s="90"/>
      <c r="AZ212" s="87"/>
    </row>
    <row r="213" spans="3:52" ht="12.75" hidden="1" customHeight="1" outlineLevel="1" x14ac:dyDescent="0.2">
      <c r="N213" s="85"/>
      <c r="O213" s="102"/>
      <c r="P213" s="102"/>
      <c r="Q213" s="118" t="str">
        <f>INDEX(g_assets_sc_1,14)</f>
        <v/>
      </c>
      <c r="R213" s="116"/>
      <c r="S213" s="119"/>
      <c r="T213" s="125">
        <f ca="1">T$157</f>
        <v>2026</v>
      </c>
      <c r="U213" s="125">
        <f t="shared" ref="U213:AW213" ca="1" si="998">U$157</f>
        <v>2027</v>
      </c>
      <c r="V213" s="125">
        <f t="shared" ca="1" si="998"/>
        <v>2028</v>
      </c>
      <c r="W213" s="125">
        <f t="shared" ca="1" si="998"/>
        <v>2029</v>
      </c>
      <c r="X213" s="125" t="str">
        <f t="shared" ca="1" si="998"/>
        <v/>
      </c>
      <c r="Y213" s="125" t="str">
        <f t="shared" ca="1" si="998"/>
        <v/>
      </c>
      <c r="Z213" s="125" t="str">
        <f t="shared" ca="1" si="998"/>
        <v/>
      </c>
      <c r="AA213" s="125" t="str">
        <f t="shared" ca="1" si="998"/>
        <v/>
      </c>
      <c r="AB213" s="125" t="str">
        <f t="shared" ca="1" si="998"/>
        <v/>
      </c>
      <c r="AC213" s="125" t="str">
        <f t="shared" ca="1" si="998"/>
        <v/>
      </c>
      <c r="AD213" s="125" t="str">
        <f t="shared" ca="1" si="998"/>
        <v/>
      </c>
      <c r="AE213" s="125" t="str">
        <f t="shared" ca="1" si="998"/>
        <v/>
      </c>
      <c r="AF213" s="125" t="str">
        <f t="shared" ca="1" si="998"/>
        <v/>
      </c>
      <c r="AG213" s="125" t="str">
        <f t="shared" ca="1" si="998"/>
        <v/>
      </c>
      <c r="AH213" s="125" t="str">
        <f t="shared" ca="1" si="998"/>
        <v/>
      </c>
      <c r="AI213" s="125" t="str">
        <f t="shared" ca="1" si="998"/>
        <v/>
      </c>
      <c r="AJ213" s="125" t="str">
        <f t="shared" ca="1" si="998"/>
        <v/>
      </c>
      <c r="AK213" s="125" t="str">
        <f t="shared" ca="1" si="998"/>
        <v/>
      </c>
      <c r="AL213" s="125" t="str">
        <f t="shared" ca="1" si="998"/>
        <v/>
      </c>
      <c r="AM213" s="125" t="str">
        <f t="shared" ca="1" si="998"/>
        <v/>
      </c>
      <c r="AN213" s="125" t="str">
        <f t="shared" ca="1" si="998"/>
        <v/>
      </c>
      <c r="AO213" s="125" t="str">
        <f t="shared" ca="1" si="998"/>
        <v/>
      </c>
      <c r="AP213" s="125" t="str">
        <f t="shared" ca="1" si="998"/>
        <v/>
      </c>
      <c r="AQ213" s="125" t="str">
        <f t="shared" ca="1" si="998"/>
        <v/>
      </c>
      <c r="AR213" s="125" t="str">
        <f t="shared" ca="1" si="998"/>
        <v/>
      </c>
      <c r="AS213" s="125" t="str">
        <f t="shared" ca="1" si="998"/>
        <v/>
      </c>
      <c r="AT213" s="125" t="str">
        <f t="shared" ca="1" si="998"/>
        <v/>
      </c>
      <c r="AU213" s="125" t="str">
        <f t="shared" ca="1" si="998"/>
        <v/>
      </c>
      <c r="AV213" s="125" t="str">
        <f t="shared" ca="1" si="998"/>
        <v/>
      </c>
      <c r="AW213" s="125" t="str">
        <f t="shared" ca="1" si="998"/>
        <v/>
      </c>
      <c r="AX213" s="102"/>
      <c r="AY213" s="102"/>
      <c r="AZ213" s="87"/>
    </row>
    <row r="214" spans="3:52" ht="12.75" hidden="1" customHeight="1" outlineLevel="1" x14ac:dyDescent="0.2">
      <c r="C214" s="126">
        <f>INDEX(g_sc_1_assets_dates,G214)</f>
        <v>0</v>
      </c>
      <c r="G214" s="127">
        <v>12</v>
      </c>
      <c r="N214" s="85"/>
      <c r="O214" s="90"/>
      <c r="P214" s="90"/>
      <c r="Q214" s="115" t="str">
        <f>INDEX(g_lang_val,MATCH("tb_2_4_1",g_lang_key,0))</f>
        <v>Køb af anlægsaktiver</v>
      </c>
      <c r="R214" s="116"/>
      <c r="S214" s="119">
        <f ca="1">SUM(T214:BG214)</f>
        <v>0</v>
      </c>
      <c r="T214" s="114">
        <f ca="1">IF(T213="","",SUMPRODUCT(--(Leverancer!$C$28:$C$88=($G214+2)),Leverancer!D$28:D$88)/1000)</f>
        <v>0</v>
      </c>
      <c r="U214" s="114">
        <f ca="1">IF(U213="","",SUMPRODUCT(--(Leverancer!$C$28:$C$88=($G214+2)),Leverancer!E$28:E$88)/1000)</f>
        <v>0</v>
      </c>
      <c r="V214" s="114">
        <f ca="1">IF(V213="","",SUMPRODUCT(--(Leverancer!$C$28:$C$88=($G214+2)),Leverancer!F$28:F$88)/1000)</f>
        <v>0</v>
      </c>
      <c r="W214" s="114">
        <f ca="1">IF(W213="","",SUMPRODUCT(--(Leverancer!$C$28:$C$88=($G214+2)),Leverancer!G$28:G$88)/1000)</f>
        <v>0</v>
      </c>
      <c r="X214" s="114" t="str">
        <f ca="1">IF(X213="","",SUMPRODUCT(--(Leverancer!$C$28:$C$88=($G214+2)),Leverancer!H$28:H$88)/1000)</f>
        <v/>
      </c>
      <c r="Y214" s="114" t="str">
        <f ca="1">IF(Y213="","",SUMPRODUCT(--(Leverancer!$C$28:$C$88=($G214+2)),Leverancer!I$28:I$88)/1000)</f>
        <v/>
      </c>
      <c r="Z214" s="114" t="str">
        <f ca="1">IF(Z213="","",SUMPRODUCT(--(Leverancer!$C$28:$C$88=($G214+2)),Leverancer!J$28:J$88)/1000)</f>
        <v/>
      </c>
      <c r="AA214" s="114" t="str">
        <f ca="1">IF(AA213="","",SUMPRODUCT(--(Leverancer!$C$28:$C$88=($G214+2)),Leverancer!K$28:K$88)/1000)</f>
        <v/>
      </c>
      <c r="AB214" s="114" t="str">
        <f ca="1">IF(AB213="","",SUMPRODUCT(--(Leverancer!$C$28:$C$88=($G214+2)),Leverancer!L$28:L$88)/1000)</f>
        <v/>
      </c>
      <c r="AC214" s="114" t="str">
        <f ca="1">IF(AC213="","",SUMPRODUCT(--(Leverancer!$C$28:$C$88=($G214+2)),Leverancer!M$28:M$88)/1000)</f>
        <v/>
      </c>
      <c r="AD214" s="114" t="str">
        <f ca="1">IF(AD213="","",SUMPRODUCT(--(Leverancer!$C$28:$C$88=($G214+2)),Leverancer!N$28:N$88)/1000)</f>
        <v/>
      </c>
      <c r="AE214" s="114" t="str">
        <f ca="1">IF(AE213="","",SUMPRODUCT(--(Leverancer!$C$28:$C$88=($G214+2)),Leverancer!O$28:O$88)/1000)</f>
        <v/>
      </c>
      <c r="AF214" s="114" t="str">
        <f ca="1">IF(AF213="","",SUMPRODUCT(--(Leverancer!$C$28:$C$88=($G214+2)),Leverancer!P$28:P$88)/1000)</f>
        <v/>
      </c>
      <c r="AG214" s="114" t="str">
        <f ca="1">IF(AG213="","",SUMPRODUCT(--(Leverancer!$C$28:$C$88=($G214+2)),Leverancer!Q$28:Q$88)/1000)</f>
        <v/>
      </c>
      <c r="AH214" s="114" t="str">
        <f ca="1">IF(AH213="","",SUMPRODUCT(--(Leverancer!$C$28:$C$88=($G214+2)),Leverancer!R$28:R$88)/1000)</f>
        <v/>
      </c>
      <c r="AI214" s="114" t="str">
        <f ca="1">IF(AI213="","",SUMPRODUCT(--(Leverancer!$C$28:$C$88=($G214+2)),Leverancer!S$28:S$88)/1000)</f>
        <v/>
      </c>
      <c r="AJ214" s="114" t="str">
        <f ca="1">IF(AJ213="","",SUMPRODUCT(--(Leverancer!$C$28:$C$88=($G214+2)),Leverancer!T$28:T$88)/1000)</f>
        <v/>
      </c>
      <c r="AK214" s="114" t="str">
        <f ca="1">IF(AK213="","",SUMPRODUCT(--(Leverancer!$C$28:$C$88=($G214+2)),Leverancer!U$28:U$88)/1000)</f>
        <v/>
      </c>
      <c r="AL214" s="114" t="str">
        <f ca="1">IF(AL213="","",SUMPRODUCT(--(Leverancer!$C$28:$C$88=($G214+2)),Leverancer!V$28:V$88)/1000)</f>
        <v/>
      </c>
      <c r="AM214" s="114" t="str">
        <f ca="1">IF(AM213="","",SUMPRODUCT(--(Leverancer!$C$28:$C$88=($G214+2)),Leverancer!W$28:W$88)/1000)</f>
        <v/>
      </c>
      <c r="AN214" s="114" t="str">
        <f ca="1">IF(AN213="","",SUMPRODUCT(--(Leverancer!$C$28:$C$88=($G214+2)),Leverancer!X$28:X$88)/1000)</f>
        <v/>
      </c>
      <c r="AO214" s="114" t="str">
        <f ca="1">IF(AO213="","",SUMPRODUCT(--(Leverancer!$C$28:$C$88=($G214+2)),Leverancer!Y$28:Y$88)/1000)</f>
        <v/>
      </c>
      <c r="AP214" s="114" t="str">
        <f ca="1">IF(AP213="","",SUMPRODUCT(--(Leverancer!$C$28:$C$88=($G214+2)),Leverancer!Z$28:Z$88)/1000)</f>
        <v/>
      </c>
      <c r="AQ214" s="114" t="str">
        <f ca="1">IF(AQ213="","",SUMPRODUCT(--(Leverancer!$C$28:$C$88=($G214+2)),Leverancer!AA$28:AA$88)/1000)</f>
        <v/>
      </c>
      <c r="AR214" s="114" t="str">
        <f ca="1">IF(AR213="","",SUMPRODUCT(--(Leverancer!$C$28:$C$88=($G214+2)),Leverancer!AB$28:AB$88)/1000)</f>
        <v/>
      </c>
      <c r="AS214" s="114" t="str">
        <f ca="1">IF(AS213="","",SUMPRODUCT(--(Leverancer!$C$28:$C$88=($G214+2)),Leverancer!AC$28:AC$88)/1000)</f>
        <v/>
      </c>
      <c r="AT214" s="114" t="str">
        <f ca="1">IF(AT213="","",SUMPRODUCT(--(Leverancer!$C$28:$C$88=($G214+2)),Leverancer!AD$28:AD$88)/1000)</f>
        <v/>
      </c>
      <c r="AU214" s="114" t="str">
        <f ca="1">IF(AU213="","",SUMPRODUCT(--(Leverancer!$C$28:$C$88=($G214+2)),Leverancer!AE$28:AE$88)/1000)</f>
        <v/>
      </c>
      <c r="AV214" s="114" t="str">
        <f ca="1">IF(AV213="","",SUMPRODUCT(--(Leverancer!$C$28:$C$88=($G214+2)),Leverancer!AF$28:AF$88)/1000)</f>
        <v/>
      </c>
      <c r="AW214" s="114" t="str">
        <f ca="1">IF(AW213="","",SUMPRODUCT(--(Leverancer!$C$28:$C$88=($G214+2)),Leverancer!AG$28:AG$88)/1000)</f>
        <v/>
      </c>
      <c r="AX214" s="90"/>
      <c r="AY214" s="90"/>
      <c r="AZ214" s="87"/>
    </row>
    <row r="215" spans="3:52" ht="12.75" hidden="1" customHeight="1" outlineLevel="1" x14ac:dyDescent="0.2">
      <c r="C215" s="128">
        <f>IFERROR(YEAR(C214),"")</f>
        <v>1900</v>
      </c>
      <c r="D215" s="128">
        <f>IFERROR(MONTH(C214),"")</f>
        <v>1</v>
      </c>
      <c r="E215" s="128">
        <f>INDEX(g_sc_1_assets_years,G214)</f>
        <v>0</v>
      </c>
      <c r="N215" s="85"/>
      <c r="O215" s="90"/>
      <c r="P215" s="90"/>
      <c r="Q215" s="115" t="str">
        <f>INDEX(g_lang_val,MATCH("tb_2_4_2",g_lang_key,0))</f>
        <v>Afskrivninger</v>
      </c>
      <c r="R215" s="116"/>
      <c r="S215" s="119">
        <f ca="1">SUM(T215:BG215)</f>
        <v>0</v>
      </c>
      <c r="T215" s="114">
        <f t="shared" ref="T215" ca="1" si="999">IF(T213="","",IF(T213&lt;$C215,0,IF(T213=$C215,T214/$C216*$E216+S216/$C216*$E216,IF(AND(T213&gt;$C215,T213&lt;ROUNDDOWN(($C215+($D215+$C216-1)/12),0)),(T214/2+S216)/($C216-$E216-12*(T213-$C215-1))*12,IF(AND($D216&lt;0,T213=ROUNDDOWN(($C215+($D215+$C216-1)/12),0)),S216+T214,IF(T213=ROUNDDOWN(($C215+($D215+$C216-1)/12),0),(T214+S216)/$C216*($D216+(T213-$C215-1)*12+$E216),IF(T213&gt;ROUNDDOWN(($C215+($D215+$C216)/12),0),0,0)))))))</f>
        <v>0</v>
      </c>
      <c r="U215" s="114">
        <f t="shared" ref="U215" ca="1" si="1000">IF(U213="","",IF(U213&lt;$C215,0,IF(U213=$C215,U214/$C216*$E216+T216/$C216*$E216,IF(AND(U213&gt;$C215,U213&lt;ROUNDDOWN(($C215+($D215+$C216-1)/12),0)),(U214/2+T216)/($C216-$E216-12*(U213-$C215-1))*12,IF(AND($D216&lt;0,U213=ROUNDDOWN(($C215+($D215+$C216-1)/12),0)),T216+U214,IF(U213=ROUNDDOWN(($C215+($D215+$C216-1)/12),0),(U214+T216)/$C216*($D216+(U213-$C215-1)*12+$E216),IF(U213&gt;ROUNDDOWN(($C215+($D215+$C216)/12),0),0,0)))))))</f>
        <v>0</v>
      </c>
      <c r="V215" s="114">
        <f t="shared" ref="V215" ca="1" si="1001">IF(V213="","",IF(V213&lt;$C215,0,IF(V213=$C215,V214/$C216*$E216+U216/$C216*$E216,IF(AND(V213&gt;$C215,V213&lt;ROUNDDOWN(($C215+($D215+$C216-1)/12),0)),(V214/2+U216)/($C216-$E216-12*(V213-$C215-1))*12,IF(AND($D216&lt;0,V213=ROUNDDOWN(($C215+($D215+$C216-1)/12),0)),U216+V214,IF(V213=ROUNDDOWN(($C215+($D215+$C216-1)/12),0),(V214+U216)/$C216*($D216+(V213-$C215-1)*12+$E216),IF(V213&gt;ROUNDDOWN(($C215+($D215+$C216)/12),0),0,0)))))))</f>
        <v>0</v>
      </c>
      <c r="W215" s="114">
        <f t="shared" ref="W215" ca="1" si="1002">IF(W213="","",IF(W213&lt;$C215,0,IF(W213=$C215,W214/$C216*$E216+V216/$C216*$E216,IF(AND(W213&gt;$C215,W213&lt;ROUNDDOWN(($C215+($D215+$C216-1)/12),0)),(W214/2+V216)/($C216-$E216-12*(W213-$C215-1))*12,IF(AND($D216&lt;0,W213=ROUNDDOWN(($C215+($D215+$C216-1)/12),0)),V216+W214,IF(W213=ROUNDDOWN(($C215+($D215+$C216-1)/12),0),(W214+V216)/$C216*($D216+(W213-$C215-1)*12+$E216),IF(W213&gt;ROUNDDOWN(($C215+($D215+$C216)/12),0),0,0)))))))</f>
        <v>0</v>
      </c>
      <c r="X215" s="114" t="str">
        <f t="shared" ref="X215" ca="1" si="1003">IF(X213="","",IF(X213&lt;$C215,0,IF(X213=$C215,X214/$C216*$E216+W216/$C216*$E216,IF(AND(X213&gt;$C215,X213&lt;ROUNDDOWN(($C215+($D215+$C216-1)/12),0)),(X214/2+W216)/($C216-$E216-12*(X213-$C215-1))*12,IF(AND($D216&lt;0,X213=ROUNDDOWN(($C215+($D215+$C216-1)/12),0)),W216+X214,IF(X213=ROUNDDOWN(($C215+($D215+$C216-1)/12),0),(X214+W216)/$C216*($D216+(X213-$C215-1)*12+$E216),IF(X213&gt;ROUNDDOWN(($C215+($D215+$C216)/12),0),0,0)))))))</f>
        <v/>
      </c>
      <c r="Y215" s="114" t="str">
        <f t="shared" ref="Y215" ca="1" si="1004">IF(Y213="","",IF(Y213&lt;$C215,0,IF(Y213=$C215,Y214/$C216*$E216+X216/$C216*$E216,IF(AND(Y213&gt;$C215,Y213&lt;ROUNDDOWN(($C215+($D215+$C216-1)/12),0)),(Y214/2+X216)/($C216-$E216-12*(Y213-$C215-1))*12,IF(AND($D216&lt;0,Y213=ROUNDDOWN(($C215+($D215+$C216-1)/12),0)),X216+Y214,IF(Y213=ROUNDDOWN(($C215+($D215+$C216-1)/12),0),(Y214+X216)/$C216*($D216+(Y213-$C215-1)*12+$E216),IF(Y213&gt;ROUNDDOWN(($C215+($D215+$C216)/12),0),0,0)))))))</f>
        <v/>
      </c>
      <c r="Z215" s="114" t="str">
        <f ca="1">IF(Z213="","",IF(Z213&lt;$C215,0,IF(Z213=$C215,Z214/$C216*$E216+Y216/$C216*$E216,IF(AND(Z213&gt;$C215,Z213&lt;ROUNDDOWN(($C215+($D215+$C216-1)/12),0)),(Z214/2+Y216)/($C216-$E216-12*(Z213-$C215-1))*12,IF(AND($D216&lt;0,Z213=ROUNDDOWN(($C215+($D215+$C216-1)/12),0)),Y216+Z214,IF(Z213=ROUNDDOWN(($C215+($D215+$C216-1)/12),0),(Z214+Y216)/$C216*($D216+(Z213-$C215-1)*12+$E216),IF(Z213&gt;ROUNDDOWN(($C215+($D215+$C216)/12),0),0,0)))))))</f>
        <v/>
      </c>
      <c r="AA215" s="114" t="str">
        <f t="shared" ref="AA215" ca="1" si="1005">IF(AA213="","",IF(AA213&lt;$C215,0,IF(AA213=$C215,AA214/$C216*$E216+Z216/$C216*$E216,IF(AND(AA213&gt;$C215,AA213&lt;ROUNDDOWN(($C215+($D215+$C216-1)/12),0)),(AA214/2+Z216)/($C216-$E216-12*(AA213-$C215-1))*12,IF(AND($D216&lt;0,AA213=ROUNDDOWN(($C215+($D215+$C216-1)/12),0)),Z216+AA214,IF(AA213=ROUNDDOWN(($C215+($D215+$C216-1)/12),0),(AA214+Z216)/$C216*($D216+(AA213-$C215-1)*12+$E216),IF(AA213&gt;ROUNDDOWN(($C215+($D215+$C216)/12),0),0,0)))))))</f>
        <v/>
      </c>
      <c r="AB215" s="114" t="str">
        <f t="shared" ref="AB215" ca="1" si="1006">IF(AB213="","",IF(AB213&lt;$C215,0,IF(AB213=$C215,AB214/$C216*$E216+AA216/$C216*$E216,IF(AND(AB213&gt;$C215,AB213&lt;ROUNDDOWN(($C215+($D215+$C216-1)/12),0)),(AB214/2+AA216)/($C216-$E216-12*(AB213-$C215-1))*12,IF(AND($D216&lt;0,AB213=ROUNDDOWN(($C215+($D215+$C216-1)/12),0)),AA216+AB214,IF(AB213=ROUNDDOWN(($C215+($D215+$C216-1)/12),0),(AB214+AA216)/$C216*($D216+(AB213-$C215-1)*12+$E216),IF(AB213&gt;ROUNDDOWN(($C215+($D215+$C216)/12),0),0,0)))))))</f>
        <v/>
      </c>
      <c r="AC215" s="114" t="str">
        <f t="shared" ref="AC215" ca="1" si="1007">IF(AC213="","",IF(AC213&lt;$C215,0,IF(AC213=$C215,AC214/$C216*$E216+AB216/$C216*$E216,IF(AND(AC213&gt;$C215,AC213&lt;ROUNDDOWN(($C215+($D215+$C216-1)/12),0)),(AC214/2+AB216)/($C216-$E216-12*(AC213-$C215-1))*12,IF(AND($D216&lt;0,AC213=ROUNDDOWN(($C215+($D215+$C216-1)/12),0)),AB216+AC214,IF(AC213=ROUNDDOWN(($C215+($D215+$C216-1)/12),0),(AC214+AB216)/$C216*($D216+(AC213-$C215-1)*12+$E216),IF(AC213&gt;ROUNDDOWN(($C215+($D215+$C216)/12),0),0,0)))))))</f>
        <v/>
      </c>
      <c r="AD215" s="114" t="str">
        <f t="shared" ref="AD215" ca="1" si="1008">IF(AD213="","",IF(AD213&lt;$C215,0,IF(AD213=$C215,AD214/$C216*$E216+AC216/$C216*$E216,IF(AND(AD213&gt;$C215,AD213&lt;ROUNDDOWN(($C215+($D215+$C216-1)/12),0)),(AD214/2+AC216)/($C216-$E216-12*(AD213-$C215-1))*12,IF(AND($D216&lt;0,AD213=ROUNDDOWN(($C215+($D215+$C216-1)/12),0)),AC216+AD214,IF(AD213=ROUNDDOWN(($C215+($D215+$C216-1)/12),0),(AD214+AC216)/$C216*($D216+(AD213-$C215-1)*12+$E216),IF(AD213&gt;ROUNDDOWN(($C215+($D215+$C216)/12),0),0,0)))))))</f>
        <v/>
      </c>
      <c r="AE215" s="114" t="str">
        <f t="shared" ref="AE215" ca="1" si="1009">IF(AE213="","",IF(AE213&lt;$C215,0,IF(AE213=$C215,AE214/$C216*$E216+AD216/$C216*$E216,IF(AND(AE213&gt;$C215,AE213&lt;ROUNDDOWN(($C215+($D215+$C216-1)/12),0)),(AE214/2+AD216)/($C216-$E216-12*(AE213-$C215-1))*12,IF(AND($D216&lt;0,AE213=ROUNDDOWN(($C215+($D215+$C216-1)/12),0)),AD216+AE214,IF(AE213=ROUNDDOWN(($C215+($D215+$C216-1)/12),0),(AE214+AD216)/$C216*($D216+(AE213-$C215-1)*12+$E216),IF(AE213&gt;ROUNDDOWN(($C215+($D215+$C216)/12),0),0,0)))))))</f>
        <v/>
      </c>
      <c r="AF215" s="114" t="str">
        <f t="shared" ref="AF215" ca="1" si="1010">IF(AF213="","",IF(AF213&lt;$C215,0,IF(AF213=$C215,AF214/$C216*$E216+AE216/$C216*$E216,IF(AND(AF213&gt;$C215,AF213&lt;ROUNDDOWN(($C215+($D215+$C216-1)/12),0)),(AF214/2+AE216)/($C216-$E216-12*(AF213-$C215-1))*12,IF(AND($D216&lt;0,AF213=ROUNDDOWN(($C215+($D215+$C216-1)/12),0)),AE216+AF214,IF(AF213=ROUNDDOWN(($C215+($D215+$C216-1)/12),0),(AF214+AE216)/$C216*($D216+(AF213-$C215-1)*12+$E216),IF(AF213&gt;ROUNDDOWN(($C215+($D215+$C216)/12),0),0,0)))))))</f>
        <v/>
      </c>
      <c r="AG215" s="114" t="str">
        <f t="shared" ref="AG215" ca="1" si="1011">IF(AG213="","",IF(AG213&lt;$C215,0,IF(AG213=$C215,AG214/$C216*$E216+AF216/$C216*$E216,IF(AND(AG213&gt;$C215,AG213&lt;ROUNDDOWN(($C215+($D215+$C216-1)/12),0)),(AG214/2+AF216)/($C216-$E216-12*(AG213-$C215-1))*12,IF(AND($D216&lt;0,AG213=ROUNDDOWN(($C215+($D215+$C216-1)/12),0)),AF216+AG214,IF(AG213=ROUNDDOWN(($C215+($D215+$C216-1)/12),0),(AG214+AF216)/$C216*($D216+(AG213-$C215-1)*12+$E216),IF(AG213&gt;ROUNDDOWN(($C215+($D215+$C216)/12),0),0,0)))))))</f>
        <v/>
      </c>
      <c r="AH215" s="114" t="str">
        <f t="shared" ref="AH215" ca="1" si="1012">IF(AH213="","",IF(AH213&lt;$C215,0,IF(AH213=$C215,AH214/$C216*$E216+AG216/$C216*$E216,IF(AND(AH213&gt;$C215,AH213&lt;ROUNDDOWN(($C215+($D215+$C216-1)/12),0)),(AH214/2+AG216)/($C216-$E216-12*(AH213-$C215-1))*12,IF(AND($D216&lt;0,AH213=ROUNDDOWN(($C215+($D215+$C216-1)/12),0)),AG216+AH214,IF(AH213=ROUNDDOWN(($C215+($D215+$C216-1)/12),0),(AH214+AG216)/$C216*($D216+(AH213-$C215-1)*12+$E216),IF(AH213&gt;ROUNDDOWN(($C215+($D215+$C216)/12),0),0,0)))))))</f>
        <v/>
      </c>
      <c r="AI215" s="114" t="str">
        <f t="shared" ref="AI215" ca="1" si="1013">IF(AI213="","",IF(AI213&lt;$C215,0,IF(AI213=$C215,AI214/$C216*$E216+AH216/$C216*$E216,IF(AND(AI213&gt;$C215,AI213&lt;ROUNDDOWN(($C215+($D215+$C216-1)/12),0)),(AI214/2+AH216)/($C216-$E216-12*(AI213-$C215-1))*12,IF(AND($D216&lt;0,AI213=ROUNDDOWN(($C215+($D215+$C216-1)/12),0)),AH216+AI214,IF(AI213=ROUNDDOWN(($C215+($D215+$C216-1)/12),0),(AI214+AH216)/$C216*($D216+(AI213-$C215-1)*12+$E216),IF(AI213&gt;ROUNDDOWN(($C215+($D215+$C216)/12),0),0,0)))))))</f>
        <v/>
      </c>
      <c r="AJ215" s="114" t="str">
        <f t="shared" ref="AJ215" ca="1" si="1014">IF(AJ213="","",IF(AJ213&lt;$C215,0,IF(AJ213=$C215,AJ214/$C216*$E216+AI216/$C216*$E216,IF(AND(AJ213&gt;$C215,AJ213&lt;ROUNDDOWN(($C215+($D215+$C216-1)/12),0)),(AJ214/2+AI216)/($C216-$E216-12*(AJ213-$C215-1))*12,IF(AND($D216&lt;0,AJ213=ROUNDDOWN(($C215+($D215+$C216-1)/12),0)),AI216+AJ214,IF(AJ213=ROUNDDOWN(($C215+($D215+$C216-1)/12),0),(AJ214+AI216)/$C216*($D216+(AJ213-$C215-1)*12+$E216),IF(AJ213&gt;ROUNDDOWN(($C215+($D215+$C216)/12),0),0,0)))))))</f>
        <v/>
      </c>
      <c r="AK215" s="114" t="str">
        <f t="shared" ref="AK215" ca="1" si="1015">IF(AK213="","",IF(AK213&lt;$C215,0,IF(AK213=$C215,AK214/$C216*$E216+AJ216/$C216*$E216,IF(AND(AK213&gt;$C215,AK213&lt;ROUNDDOWN(($C215+($D215+$C216-1)/12),0)),(AK214/2+AJ216)/($C216-$E216-12*(AK213-$C215-1))*12,IF(AND($D216&lt;0,AK213=ROUNDDOWN(($C215+($D215+$C216-1)/12),0)),AJ216+AK214,IF(AK213=ROUNDDOWN(($C215+($D215+$C216-1)/12),0),(AK214+AJ216)/$C216*($D216+(AK213-$C215-1)*12+$E216),IF(AK213&gt;ROUNDDOWN(($C215+($D215+$C216)/12),0),0,0)))))))</f>
        <v/>
      </c>
      <c r="AL215" s="114" t="str">
        <f t="shared" ref="AL215" ca="1" si="1016">IF(AL213="","",IF(AL213&lt;$C215,0,IF(AL213=$C215,AL214/$C216*$E216+AK216/$C216*$E216,IF(AND(AL213&gt;$C215,AL213&lt;ROUNDDOWN(($C215+($D215+$C216-1)/12),0)),(AL214/2+AK216)/($C216-$E216-12*(AL213-$C215-1))*12,IF(AND($D216&lt;0,AL213=ROUNDDOWN(($C215+($D215+$C216-1)/12),0)),AK216+AL214,IF(AL213=ROUNDDOWN(($C215+($D215+$C216-1)/12),0),(AL214+AK216)/$C216*($D216+(AL213-$C215-1)*12+$E216),IF(AL213&gt;ROUNDDOWN(($C215+($D215+$C216)/12),0),0,0)))))))</f>
        <v/>
      </c>
      <c r="AM215" s="114" t="str">
        <f t="shared" ref="AM215" ca="1" si="1017">IF(AM213="","",IF(AM213&lt;$C215,0,IF(AM213=$C215,AM214/$C216*$E216+AL216/$C216*$E216,IF(AND(AM213&gt;$C215,AM213&lt;ROUNDDOWN(($C215+($D215+$C216-1)/12),0)),(AM214/2+AL216)/($C216-$E216-12*(AM213-$C215-1))*12,IF(AND($D216&lt;0,AM213=ROUNDDOWN(($C215+($D215+$C216-1)/12),0)),AL216+AM214,IF(AM213=ROUNDDOWN(($C215+($D215+$C216-1)/12),0),(AM214+AL216)/$C216*($D216+(AM213-$C215-1)*12+$E216),IF(AM213&gt;ROUNDDOWN(($C215+($D215+$C216)/12),0),0,0)))))))</f>
        <v/>
      </c>
      <c r="AN215" s="114" t="str">
        <f t="shared" ref="AN215" ca="1" si="1018">IF(AN213="","",IF(AN213&lt;$C215,0,IF(AN213=$C215,AN214/$C216*$E216+AM216/$C216*$E216,IF(AND(AN213&gt;$C215,AN213&lt;ROUNDDOWN(($C215+($D215+$C216-1)/12),0)),(AN214/2+AM216)/($C216-$E216-12*(AN213-$C215-1))*12,IF(AND($D216&lt;0,AN213=ROUNDDOWN(($C215+($D215+$C216-1)/12),0)),AM216+AN214,IF(AN213=ROUNDDOWN(($C215+($D215+$C216-1)/12),0),(AN214+AM216)/$C216*($D216+(AN213-$C215-1)*12+$E216),IF(AN213&gt;ROUNDDOWN(($C215+($D215+$C216)/12),0),0,0)))))))</f>
        <v/>
      </c>
      <c r="AO215" s="114" t="str">
        <f t="shared" ref="AO215" ca="1" si="1019">IF(AO213="","",IF(AO213&lt;$C215,0,IF(AO213=$C215,AO214/$C216*$E216+AN216/$C216*$E216,IF(AND(AO213&gt;$C215,AO213&lt;ROUNDDOWN(($C215+($D215+$C216-1)/12),0)),(AO214/2+AN216)/($C216-$E216-12*(AO213-$C215-1))*12,IF(AND($D216&lt;0,AO213=ROUNDDOWN(($C215+($D215+$C216-1)/12),0)),AN216+AO214,IF(AO213=ROUNDDOWN(($C215+($D215+$C216-1)/12),0),(AO214+AN216)/$C216*($D216+(AO213-$C215-1)*12+$E216),IF(AO213&gt;ROUNDDOWN(($C215+($D215+$C216)/12),0),0,0)))))))</f>
        <v/>
      </c>
      <c r="AP215" s="114" t="str">
        <f t="shared" ref="AP215" ca="1" si="1020">IF(AP213="","",IF(AP213&lt;$C215,0,IF(AP213=$C215,AP214/$C216*$E216+AO216/$C216*$E216,IF(AND(AP213&gt;$C215,AP213&lt;ROUNDDOWN(($C215+($D215+$C216-1)/12),0)),(AP214/2+AO216)/($C216-$E216-12*(AP213-$C215-1))*12,IF(AND($D216&lt;0,AP213=ROUNDDOWN(($C215+($D215+$C216-1)/12),0)),AO216+AP214,IF(AP213=ROUNDDOWN(($C215+($D215+$C216-1)/12),0),(AP214+AO216)/$C216*($D216+(AP213-$C215-1)*12+$E216),IF(AP213&gt;ROUNDDOWN(($C215+($D215+$C216)/12),0),0,0)))))))</f>
        <v/>
      </c>
      <c r="AQ215" s="114" t="str">
        <f t="shared" ref="AQ215" ca="1" si="1021">IF(AQ213="","",IF(AQ213&lt;$C215,0,IF(AQ213=$C215,AQ214/$C216*$E216+AP216/$C216*$E216,IF(AND(AQ213&gt;$C215,AQ213&lt;ROUNDDOWN(($C215+($D215+$C216-1)/12),0)),(AQ214/2+AP216)/($C216-$E216-12*(AQ213-$C215-1))*12,IF(AND($D216&lt;0,AQ213=ROUNDDOWN(($C215+($D215+$C216-1)/12),0)),AP216+AQ214,IF(AQ213=ROUNDDOWN(($C215+($D215+$C216-1)/12),0),(AQ214+AP216)/$C216*($D216+(AQ213-$C215-1)*12+$E216),IF(AQ213&gt;ROUNDDOWN(($C215+($D215+$C216)/12),0),0,0)))))))</f>
        <v/>
      </c>
      <c r="AR215" s="114" t="str">
        <f t="shared" ref="AR215" ca="1" si="1022">IF(AR213="","",IF(AR213&lt;$C215,0,IF(AR213=$C215,AR214/$C216*$E216+AQ216/$C216*$E216,IF(AND(AR213&gt;$C215,AR213&lt;ROUNDDOWN(($C215+($D215+$C216-1)/12),0)),(AR214/2+AQ216)/($C216-$E216-12*(AR213-$C215-1))*12,IF(AND($D216&lt;0,AR213=ROUNDDOWN(($C215+($D215+$C216-1)/12),0)),AQ216+AR214,IF(AR213=ROUNDDOWN(($C215+($D215+$C216-1)/12),0),(AR214+AQ216)/$C216*($D216+(AR213-$C215-1)*12+$E216),IF(AR213&gt;ROUNDDOWN(($C215+($D215+$C216)/12),0),0,0)))))))</f>
        <v/>
      </c>
      <c r="AS215" s="114" t="str">
        <f t="shared" ref="AS215" ca="1" si="1023">IF(AS213="","",IF(AS213&lt;$C215,0,IF(AS213=$C215,AS214/$C216*$E216+AR216/$C216*$E216,IF(AND(AS213&gt;$C215,AS213&lt;ROUNDDOWN(($C215+($D215+$C216-1)/12),0)),(AS214/2+AR216)/($C216-$E216-12*(AS213-$C215-1))*12,IF(AND($D216&lt;0,AS213=ROUNDDOWN(($C215+($D215+$C216-1)/12),0)),AR216+AS214,IF(AS213=ROUNDDOWN(($C215+($D215+$C216-1)/12),0),(AS214+AR216)/$C216*($D216+(AS213-$C215-1)*12+$E216),IF(AS213&gt;ROUNDDOWN(($C215+($D215+$C216)/12),0),0,0)))))))</f>
        <v/>
      </c>
      <c r="AT215" s="114" t="str">
        <f t="shared" ref="AT215" ca="1" si="1024">IF(AT213="","",IF(AT213&lt;$C215,0,IF(AT213=$C215,AT214/$C216*$E216+AS216/$C216*$E216,IF(AND(AT213&gt;$C215,AT213&lt;ROUNDDOWN(($C215+($D215+$C216-1)/12),0)),(AT214/2+AS216)/($C216-$E216-12*(AT213-$C215-1))*12,IF(AND($D216&lt;0,AT213=ROUNDDOWN(($C215+($D215+$C216-1)/12),0)),AS216+AT214,IF(AT213=ROUNDDOWN(($C215+($D215+$C216-1)/12),0),(AT214+AS216)/$C216*($D216+(AT213-$C215-1)*12+$E216),IF(AT213&gt;ROUNDDOWN(($C215+($D215+$C216)/12),0),0,0)))))))</f>
        <v/>
      </c>
      <c r="AU215" s="114" t="str">
        <f t="shared" ref="AU215" ca="1" si="1025">IF(AU213="","",IF(AU213&lt;$C215,0,IF(AU213=$C215,AU214/$C216*$E216+AT216/$C216*$E216,IF(AND(AU213&gt;$C215,AU213&lt;ROUNDDOWN(($C215+($D215+$C216-1)/12),0)),(AU214/2+AT216)/($C216-$E216-12*(AU213-$C215-1))*12,IF(AND($D216&lt;0,AU213=ROUNDDOWN(($C215+($D215+$C216-1)/12),0)),AT216+AU214,IF(AU213=ROUNDDOWN(($C215+($D215+$C216-1)/12),0),(AU214+AT216)/$C216*($D216+(AU213-$C215-1)*12+$E216),IF(AU213&gt;ROUNDDOWN(($C215+($D215+$C216)/12),0),0,0)))))))</f>
        <v/>
      </c>
      <c r="AV215" s="114" t="str">
        <f t="shared" ref="AV215" ca="1" si="1026">IF(AV213="","",IF(AV213&lt;$C215,0,IF(AV213=$C215,AV214/$C216*$E216+AU216/$C216*$E216,IF(AND(AV213&gt;$C215,AV213&lt;ROUNDDOWN(($C215+($D215+$C216-1)/12),0)),(AV214/2+AU216)/($C216-$E216-12*(AV213-$C215-1))*12,IF(AND($D216&lt;0,AV213=ROUNDDOWN(($C215+($D215+$C216-1)/12),0)),AU216+AV214,IF(AV213=ROUNDDOWN(($C215+($D215+$C216-1)/12),0),(AV214+AU216)/$C216*($D216+(AV213-$C215-1)*12+$E216),IF(AV213&gt;ROUNDDOWN(($C215+($D215+$C216)/12),0),0,0)))))))</f>
        <v/>
      </c>
      <c r="AW215" s="114" t="str">
        <f t="shared" ref="AW215" ca="1" si="1027">IF(AW213="","",IF(AW213&lt;$C215,0,IF(AW213=$C215,AW214/$C216*$E216+AV216/$C216*$E216,IF(AND(AW213&gt;$C215,AW213&lt;ROUNDDOWN(($C215+($D215+$C216-1)/12),0)),(AW214/2+AV216)/($C216-$E216-12*(AW213-$C215-1))*12,IF(AND($D216&lt;0,AW213=ROUNDDOWN(($C215+($D215+$C216-1)/12),0)),AV216+AW214,IF(AW213=ROUNDDOWN(($C215+($D215+$C216-1)/12),0),(AW214+AV216)/$C216*($D216+(AW213-$C215-1)*12+$E216),IF(AW213&gt;ROUNDDOWN(($C215+($D215+$C216)/12),0),0,0)))))))</f>
        <v/>
      </c>
      <c r="AX215" s="90"/>
      <c r="AY215" s="90"/>
      <c r="AZ215" s="87"/>
    </row>
    <row r="216" spans="3:52" ht="12.75" hidden="1" customHeight="1" outlineLevel="1" x14ac:dyDescent="0.2">
      <c r="C216" s="128">
        <f>ROUNDUP((E215-ROUNDDOWN(E215,0))*12,0)+ROUNDDOWN(E215,0)*12</f>
        <v>0</v>
      </c>
      <c r="D216" s="128">
        <f>C216-E216-ROUNDDOWN(E215,0)*12</f>
        <v>-12</v>
      </c>
      <c r="E216" s="128">
        <f>13-MONTH(C214)</f>
        <v>12</v>
      </c>
      <c r="N216" s="85"/>
      <c r="O216" s="90"/>
      <c r="P216" s="90"/>
      <c r="Q216" s="115" t="str">
        <f>INDEX(g_lang_val,MATCH("tb_2_4_3",g_lang_key,0))</f>
        <v>FF4-gæld, ultimo året</v>
      </c>
      <c r="R216" s="116"/>
      <c r="S216" s="119"/>
      <c r="T216" s="114">
        <f t="shared" ref="T216" ca="1" si="1028">IF(T213="","",S216+T214-T215)</f>
        <v>0</v>
      </c>
      <c r="U216" s="114">
        <f t="shared" ref="U216" ca="1" si="1029">IF(U213="","",T216+U214-U215)</f>
        <v>0</v>
      </c>
      <c r="V216" s="114">
        <f t="shared" ref="V216" ca="1" si="1030">IF(V213="","",U216+V214-V215)</f>
        <v>0</v>
      </c>
      <c r="W216" s="114">
        <f t="shared" ref="W216" ca="1" si="1031">IF(W213="","",V216+W214-W215)</f>
        <v>0</v>
      </c>
      <c r="X216" s="114" t="str">
        <f t="shared" ref="X216" ca="1" si="1032">IF(X213="","",W216+X214-X215)</f>
        <v/>
      </c>
      <c r="Y216" s="114" t="str">
        <f t="shared" ref="Y216" ca="1" si="1033">IF(Y213="","",X216+Y214-Y215)</f>
        <v/>
      </c>
      <c r="Z216" s="114" t="str">
        <f t="shared" ref="Z216" ca="1" si="1034">IF(Z213="","",Y216+Z214-Z215)</f>
        <v/>
      </c>
      <c r="AA216" s="114" t="str">
        <f t="shared" ref="AA216" ca="1" si="1035">IF(AA213="","",Z216+AA214-AA215)</f>
        <v/>
      </c>
      <c r="AB216" s="114" t="str">
        <f t="shared" ref="AB216" ca="1" si="1036">IF(AB213="","",AA216+AB214-AB215)</f>
        <v/>
      </c>
      <c r="AC216" s="114" t="str">
        <f t="shared" ref="AC216" ca="1" si="1037">IF(AC213="","",AB216+AC214-AC215)</f>
        <v/>
      </c>
      <c r="AD216" s="114" t="str">
        <f t="shared" ref="AD216" ca="1" si="1038">IF(AD213="","",AC216+AD214-AD215)</f>
        <v/>
      </c>
      <c r="AE216" s="114" t="str">
        <f t="shared" ref="AE216" ca="1" si="1039">IF(AE213="","",AD216+AE214-AE215)</f>
        <v/>
      </c>
      <c r="AF216" s="114" t="str">
        <f t="shared" ref="AF216" ca="1" si="1040">IF(AF213="","",AE216+AF214-AF215)</f>
        <v/>
      </c>
      <c r="AG216" s="114" t="str">
        <f t="shared" ref="AG216" ca="1" si="1041">IF(AG213="","",AF216+AG214-AG215)</f>
        <v/>
      </c>
      <c r="AH216" s="114" t="str">
        <f t="shared" ref="AH216" ca="1" si="1042">IF(AH213="","",AG216+AH214-AH215)</f>
        <v/>
      </c>
      <c r="AI216" s="114" t="str">
        <f t="shared" ref="AI216" ca="1" si="1043">IF(AI213="","",AH216+AI214-AI215)</f>
        <v/>
      </c>
      <c r="AJ216" s="114" t="str">
        <f t="shared" ref="AJ216" ca="1" si="1044">IF(AJ213="","",AI216+AJ214-AJ215)</f>
        <v/>
      </c>
      <c r="AK216" s="114" t="str">
        <f t="shared" ref="AK216" ca="1" si="1045">IF(AK213="","",AJ216+AK214-AK215)</f>
        <v/>
      </c>
      <c r="AL216" s="114" t="str">
        <f t="shared" ref="AL216" ca="1" si="1046">IF(AL213="","",AK216+AL214-AL215)</f>
        <v/>
      </c>
      <c r="AM216" s="114" t="str">
        <f t="shared" ref="AM216" ca="1" si="1047">IF(AM213="","",AL216+AM214-AM215)</f>
        <v/>
      </c>
      <c r="AN216" s="114" t="str">
        <f t="shared" ref="AN216" ca="1" si="1048">IF(AN213="","",AM216+AN214-AN215)</f>
        <v/>
      </c>
      <c r="AO216" s="114" t="str">
        <f t="shared" ref="AO216" ca="1" si="1049">IF(AO213="","",AN216+AO214-AO215)</f>
        <v/>
      </c>
      <c r="AP216" s="114" t="str">
        <f t="shared" ref="AP216" ca="1" si="1050">IF(AP213="","",AO216+AP214-AP215)</f>
        <v/>
      </c>
      <c r="AQ216" s="114" t="str">
        <f t="shared" ref="AQ216" ca="1" si="1051">IF(AQ213="","",AP216+AQ214-AQ215)</f>
        <v/>
      </c>
      <c r="AR216" s="114" t="str">
        <f t="shared" ref="AR216" ca="1" si="1052">IF(AR213="","",AQ216+AR214-AR215)</f>
        <v/>
      </c>
      <c r="AS216" s="114" t="str">
        <f t="shared" ref="AS216" ca="1" si="1053">IF(AS213="","",AR216+AS214-AS215)</f>
        <v/>
      </c>
      <c r="AT216" s="114" t="str">
        <f t="shared" ref="AT216" ca="1" si="1054">IF(AT213="","",AS216+AT214-AT215)</f>
        <v/>
      </c>
      <c r="AU216" s="114" t="str">
        <f t="shared" ref="AU216" ca="1" si="1055">IF(AU213="","",AT216+AU214-AU215)</f>
        <v/>
      </c>
      <c r="AV216" s="114" t="str">
        <f t="shared" ref="AV216" ca="1" si="1056">IF(AV213="","",AU216+AV214-AV215)</f>
        <v/>
      </c>
      <c r="AW216" s="114" t="str">
        <f t="shared" ref="AW216" ca="1" si="1057">IF(AW213="","",AV216+AW214-AW215)</f>
        <v/>
      </c>
      <c r="AX216" s="90"/>
      <c r="AY216" s="90"/>
      <c r="AZ216" s="87"/>
    </row>
    <row r="217" spans="3:52" ht="12.75" hidden="1" customHeight="1" outlineLevel="1" x14ac:dyDescent="0.2">
      <c r="N217" s="85"/>
      <c r="O217" s="90"/>
      <c r="P217" s="90"/>
      <c r="Q217" s="115" t="str">
        <f>INDEX(g_lang_val,MATCH("tb_2_4_4",g_lang_key,0))</f>
        <v>Renter (FF4)</v>
      </c>
      <c r="R217" s="116"/>
      <c r="S217" s="119">
        <f ca="1">SUM(T217:BG217)</f>
        <v>0</v>
      </c>
      <c r="T217" s="114">
        <f t="shared" ref="T217" ca="1" si="1058">IF(T213="","",g_interest_FF4*(S216+(T214/2)-(T215/2)))</f>
        <v>0</v>
      </c>
      <c r="U217" s="114">
        <f t="shared" ref="U217" ca="1" si="1059">IF(U213="","",g_interest_FF4*(T216+(U214/2)-(U215/2)))</f>
        <v>0</v>
      </c>
      <c r="V217" s="114">
        <f t="shared" ref="V217" ca="1" si="1060">IF(V213="","",g_interest_FF4*(U216+(V214/2)-(V215/2)))</f>
        <v>0</v>
      </c>
      <c r="W217" s="114">
        <f t="shared" ref="W217" ca="1" si="1061">IF(W213="","",g_interest_FF4*(V216+(W214/2)-(W215/2)))</f>
        <v>0</v>
      </c>
      <c r="X217" s="114" t="str">
        <f t="shared" ref="X217" ca="1" si="1062">IF(X213="","",g_interest_FF4*(W216+(X214/2)-(X215/2)))</f>
        <v/>
      </c>
      <c r="Y217" s="114" t="str">
        <f t="shared" ref="Y217" ca="1" si="1063">IF(Y213="","",g_interest_FF4*(X216+(Y214/2)-(Y215/2)))</f>
        <v/>
      </c>
      <c r="Z217" s="114" t="str">
        <f t="shared" ref="Z217" ca="1" si="1064">IF(Z213="","",g_interest_FF4*(Y216+(Z214/2)-(Z215/2)))</f>
        <v/>
      </c>
      <c r="AA217" s="114" t="str">
        <f t="shared" ref="AA217" ca="1" si="1065">IF(AA213="","",g_interest_FF4*(Z216+(AA214/2)-(AA215/2)))</f>
        <v/>
      </c>
      <c r="AB217" s="114" t="str">
        <f t="shared" ref="AB217" ca="1" si="1066">IF(AB213="","",g_interest_FF4*(AA216+(AB214/2)-(AB215/2)))</f>
        <v/>
      </c>
      <c r="AC217" s="114" t="str">
        <f t="shared" ref="AC217" ca="1" si="1067">IF(AC213="","",g_interest_FF4*(AB216+(AC214/2)-(AC215/2)))</f>
        <v/>
      </c>
      <c r="AD217" s="114" t="str">
        <f t="shared" ref="AD217" ca="1" si="1068">IF(AD213="","",g_interest_FF4*(AC216+(AD214/2)-(AD215/2)))</f>
        <v/>
      </c>
      <c r="AE217" s="114" t="str">
        <f t="shared" ref="AE217" ca="1" si="1069">IF(AE213="","",g_interest_FF4*(AD216+(AE214/2)-(AE215/2)))</f>
        <v/>
      </c>
      <c r="AF217" s="114" t="str">
        <f t="shared" ref="AF217" ca="1" si="1070">IF(AF213="","",g_interest_FF4*(AE216+(AF214/2)-(AF215/2)))</f>
        <v/>
      </c>
      <c r="AG217" s="114" t="str">
        <f t="shared" ref="AG217" ca="1" si="1071">IF(AG213="","",g_interest_FF4*(AF216+(AG214/2)-(AG215/2)))</f>
        <v/>
      </c>
      <c r="AH217" s="114" t="str">
        <f t="shared" ref="AH217" ca="1" si="1072">IF(AH213="","",g_interest_FF4*(AG216+(AH214/2)-(AH215/2)))</f>
        <v/>
      </c>
      <c r="AI217" s="114" t="str">
        <f t="shared" ref="AI217" ca="1" si="1073">IF(AI213="","",g_interest_FF4*(AH216+(AI214/2)-(AI215/2)))</f>
        <v/>
      </c>
      <c r="AJ217" s="114" t="str">
        <f t="shared" ref="AJ217" ca="1" si="1074">IF(AJ213="","",g_interest_FF4*(AI216+(AJ214/2)-(AJ215/2)))</f>
        <v/>
      </c>
      <c r="AK217" s="114" t="str">
        <f t="shared" ref="AK217" ca="1" si="1075">IF(AK213="","",g_interest_FF4*(AJ216+(AK214/2)-(AK215/2)))</f>
        <v/>
      </c>
      <c r="AL217" s="114" t="str">
        <f t="shared" ref="AL217" ca="1" si="1076">IF(AL213="","",g_interest_FF4*(AK216+(AL214/2)-(AL215/2)))</f>
        <v/>
      </c>
      <c r="AM217" s="114" t="str">
        <f t="shared" ref="AM217" ca="1" si="1077">IF(AM213="","",g_interest_FF4*(AL216+(AM214/2)-(AM215/2)))</f>
        <v/>
      </c>
      <c r="AN217" s="114" t="str">
        <f t="shared" ref="AN217" ca="1" si="1078">IF(AN213="","",g_interest_FF4*(AM216+(AN214/2)-(AN215/2)))</f>
        <v/>
      </c>
      <c r="AO217" s="114" t="str">
        <f t="shared" ref="AO217" ca="1" si="1079">IF(AO213="","",g_interest_FF4*(AN216+(AO214/2)-(AO215/2)))</f>
        <v/>
      </c>
      <c r="AP217" s="114" t="str">
        <f t="shared" ref="AP217" ca="1" si="1080">IF(AP213="","",g_interest_FF4*(AO216+(AP214/2)-(AP215/2)))</f>
        <v/>
      </c>
      <c r="AQ217" s="114" t="str">
        <f t="shared" ref="AQ217" ca="1" si="1081">IF(AQ213="","",g_interest_FF4*(AP216+(AQ214/2)-(AQ215/2)))</f>
        <v/>
      </c>
      <c r="AR217" s="114" t="str">
        <f t="shared" ref="AR217" ca="1" si="1082">IF(AR213="","",g_interest_FF4*(AQ216+(AR214/2)-(AR215/2)))</f>
        <v/>
      </c>
      <c r="AS217" s="114" t="str">
        <f t="shared" ref="AS217" ca="1" si="1083">IF(AS213="","",g_interest_FF4*(AR216+(AS214/2)-(AS215/2)))</f>
        <v/>
      </c>
      <c r="AT217" s="114" t="str">
        <f t="shared" ref="AT217" ca="1" si="1084">IF(AT213="","",g_interest_FF4*(AS216+(AT214/2)-(AT215/2)))</f>
        <v/>
      </c>
      <c r="AU217" s="114" t="str">
        <f t="shared" ref="AU217" ca="1" si="1085">IF(AU213="","",g_interest_FF4*(AT216+(AU214/2)-(AU215/2)))</f>
        <v/>
      </c>
      <c r="AV217" s="114" t="str">
        <f t="shared" ref="AV217" ca="1" si="1086">IF(AV213="","",g_interest_FF4*(AU216+(AV214/2)-(AV215/2)))</f>
        <v/>
      </c>
      <c r="AW217" s="114" t="str">
        <f t="shared" ref="AW217" ca="1" si="1087">IF(AW213="","",g_interest_FF4*(AV216+(AW214/2)-(AW215/2)))</f>
        <v/>
      </c>
      <c r="AX217" s="90"/>
      <c r="AY217" s="90"/>
      <c r="AZ217" s="87"/>
    </row>
    <row r="218" spans="3:52" ht="12.75" hidden="1" customHeight="1" outlineLevel="1" x14ac:dyDescent="0.2">
      <c r="N218" s="85"/>
      <c r="O218" s="90"/>
      <c r="P218" s="90"/>
      <c r="Q218" s="118" t="str">
        <f>INDEX(g_assets_sc_1,15)</f>
        <v/>
      </c>
      <c r="R218" s="118"/>
      <c r="S218" s="113"/>
      <c r="T218" s="125">
        <f ca="1">T$157</f>
        <v>2026</v>
      </c>
      <c r="U218" s="125">
        <f t="shared" ref="U218:AW218" ca="1" si="1088">U$157</f>
        <v>2027</v>
      </c>
      <c r="V218" s="125">
        <f t="shared" ca="1" si="1088"/>
        <v>2028</v>
      </c>
      <c r="W218" s="125">
        <f t="shared" ca="1" si="1088"/>
        <v>2029</v>
      </c>
      <c r="X218" s="125" t="str">
        <f t="shared" ca="1" si="1088"/>
        <v/>
      </c>
      <c r="Y218" s="125" t="str">
        <f t="shared" ca="1" si="1088"/>
        <v/>
      </c>
      <c r="Z218" s="125" t="str">
        <f t="shared" ca="1" si="1088"/>
        <v/>
      </c>
      <c r="AA218" s="125" t="str">
        <f t="shared" ca="1" si="1088"/>
        <v/>
      </c>
      <c r="AB218" s="125" t="str">
        <f t="shared" ca="1" si="1088"/>
        <v/>
      </c>
      <c r="AC218" s="125" t="str">
        <f t="shared" ca="1" si="1088"/>
        <v/>
      </c>
      <c r="AD218" s="125" t="str">
        <f t="shared" ca="1" si="1088"/>
        <v/>
      </c>
      <c r="AE218" s="125" t="str">
        <f t="shared" ca="1" si="1088"/>
        <v/>
      </c>
      <c r="AF218" s="125" t="str">
        <f t="shared" ca="1" si="1088"/>
        <v/>
      </c>
      <c r="AG218" s="125" t="str">
        <f t="shared" ca="1" si="1088"/>
        <v/>
      </c>
      <c r="AH218" s="125" t="str">
        <f t="shared" ca="1" si="1088"/>
        <v/>
      </c>
      <c r="AI218" s="125" t="str">
        <f t="shared" ca="1" si="1088"/>
        <v/>
      </c>
      <c r="AJ218" s="125" t="str">
        <f t="shared" ca="1" si="1088"/>
        <v/>
      </c>
      <c r="AK218" s="125" t="str">
        <f t="shared" ca="1" si="1088"/>
        <v/>
      </c>
      <c r="AL218" s="125" t="str">
        <f t="shared" ca="1" si="1088"/>
        <v/>
      </c>
      <c r="AM218" s="125" t="str">
        <f t="shared" ca="1" si="1088"/>
        <v/>
      </c>
      <c r="AN218" s="125" t="str">
        <f t="shared" ca="1" si="1088"/>
        <v/>
      </c>
      <c r="AO218" s="125" t="str">
        <f t="shared" ca="1" si="1088"/>
        <v/>
      </c>
      <c r="AP218" s="125" t="str">
        <f t="shared" ca="1" si="1088"/>
        <v/>
      </c>
      <c r="AQ218" s="125" t="str">
        <f t="shared" ca="1" si="1088"/>
        <v/>
      </c>
      <c r="AR218" s="125" t="str">
        <f t="shared" ca="1" si="1088"/>
        <v/>
      </c>
      <c r="AS218" s="125" t="str">
        <f t="shared" ca="1" si="1088"/>
        <v/>
      </c>
      <c r="AT218" s="125" t="str">
        <f t="shared" ca="1" si="1088"/>
        <v/>
      </c>
      <c r="AU218" s="125" t="str">
        <f t="shared" ca="1" si="1088"/>
        <v/>
      </c>
      <c r="AV218" s="125" t="str">
        <f t="shared" ca="1" si="1088"/>
        <v/>
      </c>
      <c r="AW218" s="125" t="str">
        <f t="shared" ca="1" si="1088"/>
        <v/>
      </c>
      <c r="AX218" s="90"/>
      <c r="AY218" s="90"/>
      <c r="AZ218" s="87"/>
    </row>
    <row r="219" spans="3:52" ht="12.75" hidden="1" customHeight="1" outlineLevel="1" x14ac:dyDescent="0.2">
      <c r="C219" s="126">
        <f>INDEX(g_sc_1_assets_dates,G219)</f>
        <v>0</v>
      </c>
      <c r="G219" s="127">
        <v>13</v>
      </c>
      <c r="N219" s="85"/>
      <c r="O219" s="90"/>
      <c r="P219" s="90"/>
      <c r="Q219" s="115" t="str">
        <f>INDEX(g_lang_val,MATCH("tb_2_4_1",g_lang_key,0))</f>
        <v>Køb af anlægsaktiver</v>
      </c>
      <c r="R219" s="116"/>
      <c r="S219" s="119">
        <f ca="1">SUM(T219:BG219)</f>
        <v>0</v>
      </c>
      <c r="T219" s="114">
        <f ca="1">IF(T218="","",SUMPRODUCT(--(Leverancer!$C$28:$C$88=($G219+2)),Leverancer!D$28:D$88)/1000)</f>
        <v>0</v>
      </c>
      <c r="U219" s="114">
        <f ca="1">IF(U218="","",SUMPRODUCT(--(Leverancer!$C$28:$C$88=($G219+2)),Leverancer!E$28:E$88)/1000)</f>
        <v>0</v>
      </c>
      <c r="V219" s="114">
        <f ca="1">IF(V218="","",SUMPRODUCT(--(Leverancer!$C$28:$C$88=($G219+2)),Leverancer!F$28:F$88)/1000)</f>
        <v>0</v>
      </c>
      <c r="W219" s="114">
        <f ca="1">IF(W218="","",SUMPRODUCT(--(Leverancer!$C$28:$C$88=($G219+2)),Leverancer!G$28:G$88)/1000)</f>
        <v>0</v>
      </c>
      <c r="X219" s="114" t="str">
        <f ca="1">IF(X218="","",SUMPRODUCT(--(Leverancer!$C$28:$C$88=($G219+2)),Leverancer!H$28:H$88)/1000)</f>
        <v/>
      </c>
      <c r="Y219" s="114" t="str">
        <f ca="1">IF(Y218="","",SUMPRODUCT(--(Leverancer!$C$28:$C$88=($G219+2)),Leverancer!I$28:I$88)/1000)</f>
        <v/>
      </c>
      <c r="Z219" s="114" t="str">
        <f ca="1">IF(Z218="","",SUMPRODUCT(--(Leverancer!$C$28:$C$88=($G219+2)),Leverancer!J$28:J$88)/1000)</f>
        <v/>
      </c>
      <c r="AA219" s="114" t="str">
        <f ca="1">IF(AA218="","",SUMPRODUCT(--(Leverancer!$C$28:$C$88=($G219+2)),Leverancer!K$28:K$88)/1000)</f>
        <v/>
      </c>
      <c r="AB219" s="114" t="str">
        <f ca="1">IF(AB218="","",SUMPRODUCT(--(Leverancer!$C$28:$C$88=($G219+2)),Leverancer!L$28:L$88)/1000)</f>
        <v/>
      </c>
      <c r="AC219" s="114" t="str">
        <f ca="1">IF(AC218="","",SUMPRODUCT(--(Leverancer!$C$28:$C$88=($G219+2)),Leverancer!M$28:M$88)/1000)</f>
        <v/>
      </c>
      <c r="AD219" s="114" t="str">
        <f ca="1">IF(AD218="","",SUMPRODUCT(--(Leverancer!$C$28:$C$88=($G219+2)),Leverancer!N$28:N$88)/1000)</f>
        <v/>
      </c>
      <c r="AE219" s="114" t="str">
        <f ca="1">IF(AE218="","",SUMPRODUCT(--(Leverancer!$C$28:$C$88=($G219+2)),Leverancer!O$28:O$88)/1000)</f>
        <v/>
      </c>
      <c r="AF219" s="114" t="str">
        <f ca="1">IF(AF218="","",SUMPRODUCT(--(Leverancer!$C$28:$C$88=($G219+2)),Leverancer!P$28:P$88)/1000)</f>
        <v/>
      </c>
      <c r="AG219" s="114" t="str">
        <f ca="1">IF(AG218="","",SUMPRODUCT(--(Leverancer!$C$28:$C$88=($G219+2)),Leverancer!Q$28:Q$88)/1000)</f>
        <v/>
      </c>
      <c r="AH219" s="114" t="str">
        <f ca="1">IF(AH218="","",SUMPRODUCT(--(Leverancer!$C$28:$C$88=($G219+2)),Leverancer!R$28:R$88)/1000)</f>
        <v/>
      </c>
      <c r="AI219" s="114" t="str">
        <f ca="1">IF(AI218="","",SUMPRODUCT(--(Leverancer!$C$28:$C$88=($G219+2)),Leverancer!S$28:S$88)/1000)</f>
        <v/>
      </c>
      <c r="AJ219" s="114" t="str">
        <f ca="1">IF(AJ218="","",SUMPRODUCT(--(Leverancer!$C$28:$C$88=($G219+2)),Leverancer!T$28:T$88)/1000)</f>
        <v/>
      </c>
      <c r="AK219" s="114" t="str">
        <f ca="1">IF(AK218="","",SUMPRODUCT(--(Leverancer!$C$28:$C$88=($G219+2)),Leverancer!U$28:U$88)/1000)</f>
        <v/>
      </c>
      <c r="AL219" s="114" t="str">
        <f ca="1">IF(AL218="","",SUMPRODUCT(--(Leverancer!$C$28:$C$88=($G219+2)),Leverancer!V$28:V$88)/1000)</f>
        <v/>
      </c>
      <c r="AM219" s="114" t="str">
        <f ca="1">IF(AM218="","",SUMPRODUCT(--(Leverancer!$C$28:$C$88=($G219+2)),Leverancer!W$28:W$88)/1000)</f>
        <v/>
      </c>
      <c r="AN219" s="114" t="str">
        <f ca="1">IF(AN218="","",SUMPRODUCT(--(Leverancer!$C$28:$C$88=($G219+2)),Leverancer!X$28:X$88)/1000)</f>
        <v/>
      </c>
      <c r="AO219" s="114" t="str">
        <f ca="1">IF(AO218="","",SUMPRODUCT(--(Leverancer!$C$28:$C$88=($G219+2)),Leverancer!Y$28:Y$88)/1000)</f>
        <v/>
      </c>
      <c r="AP219" s="114" t="str">
        <f ca="1">IF(AP218="","",SUMPRODUCT(--(Leverancer!$C$28:$C$88=($G219+2)),Leverancer!Z$28:Z$88)/1000)</f>
        <v/>
      </c>
      <c r="AQ219" s="114" t="str">
        <f ca="1">IF(AQ218="","",SUMPRODUCT(--(Leverancer!$C$28:$C$88=($G219+2)),Leverancer!AA$28:AA$88)/1000)</f>
        <v/>
      </c>
      <c r="AR219" s="114" t="str">
        <f ca="1">IF(AR218="","",SUMPRODUCT(--(Leverancer!$C$28:$C$88=($G219+2)),Leverancer!AB$28:AB$88)/1000)</f>
        <v/>
      </c>
      <c r="AS219" s="114" t="str">
        <f ca="1">IF(AS218="","",SUMPRODUCT(--(Leverancer!$C$28:$C$88=($G219+2)),Leverancer!AC$28:AC$88)/1000)</f>
        <v/>
      </c>
      <c r="AT219" s="114" t="str">
        <f ca="1">IF(AT218="","",SUMPRODUCT(--(Leverancer!$C$28:$C$88=($G219+2)),Leverancer!AD$28:AD$88)/1000)</f>
        <v/>
      </c>
      <c r="AU219" s="114" t="str">
        <f ca="1">IF(AU218="","",SUMPRODUCT(--(Leverancer!$C$28:$C$88=($G219+2)),Leverancer!AE$28:AE$88)/1000)</f>
        <v/>
      </c>
      <c r="AV219" s="114" t="str">
        <f ca="1">IF(AV218="","",SUMPRODUCT(--(Leverancer!$C$28:$C$88=($G219+2)),Leverancer!AF$28:AF$88)/1000)</f>
        <v/>
      </c>
      <c r="AW219" s="114" t="str">
        <f ca="1">IF(AW218="","",SUMPRODUCT(--(Leverancer!$C$28:$C$88=($G219+2)),Leverancer!AG$28:AG$88)/1000)</f>
        <v/>
      </c>
      <c r="AX219" s="90"/>
      <c r="AY219" s="90"/>
      <c r="AZ219" s="87"/>
    </row>
    <row r="220" spans="3:52" ht="12.75" hidden="1" customHeight="1" outlineLevel="1" x14ac:dyDescent="0.2">
      <c r="C220" s="128">
        <f>IFERROR(YEAR(C219),"")</f>
        <v>1900</v>
      </c>
      <c r="D220" s="128">
        <f>IFERROR(MONTH(C219),"")</f>
        <v>1</v>
      </c>
      <c r="E220" s="128">
        <f>INDEX(g_sc_1_assets_years,G219)</f>
        <v>0</v>
      </c>
      <c r="N220" s="85"/>
      <c r="O220" s="90"/>
      <c r="P220" s="90"/>
      <c r="Q220" s="115" t="str">
        <f>INDEX(g_lang_val,MATCH("tb_2_4_2",g_lang_key,0))</f>
        <v>Afskrivninger</v>
      </c>
      <c r="R220" s="116"/>
      <c r="S220" s="119">
        <f ca="1">SUM(T220:BG220)</f>
        <v>0</v>
      </c>
      <c r="T220" s="114">
        <f t="shared" ref="T220" ca="1" si="1089">IF(T218="","",IF(T218&lt;$C220,0,IF(T218=$C220,T219/$C221*$E221+S221/$C221*$E221,IF(AND(T218&gt;$C220,T218&lt;ROUNDDOWN(($C220+($D220+$C221-1)/12),0)),(T219/2+S221)/($C221-$E221-12*(T218-$C220-1))*12,IF(AND($D221&lt;0,T218=ROUNDDOWN(($C220+($D220+$C221-1)/12),0)),S221+T219,IF(T218=ROUNDDOWN(($C220+($D220+$C221-1)/12),0),(T219+S221)/$C221*($D221+(T218-$C220-1)*12+$E221),IF(T218&gt;ROUNDDOWN(($C220+($D220+$C221)/12),0),0,0)))))))</f>
        <v>0</v>
      </c>
      <c r="U220" s="114">
        <f t="shared" ref="U220" ca="1" si="1090">IF(U218="","",IF(U218&lt;$C220,0,IF(U218=$C220,U219/$C221*$E221+T221/$C221*$E221,IF(AND(U218&gt;$C220,U218&lt;ROUNDDOWN(($C220+($D220+$C221-1)/12),0)),(U219/2+T221)/($C221-$E221-12*(U218-$C220-1))*12,IF(AND($D221&lt;0,U218=ROUNDDOWN(($C220+($D220+$C221-1)/12),0)),T221+U219,IF(U218=ROUNDDOWN(($C220+($D220+$C221-1)/12),0),(U219+T221)/$C221*($D221+(U218-$C220-1)*12+$E221),IF(U218&gt;ROUNDDOWN(($C220+($D220+$C221)/12),0),0,0)))))))</f>
        <v>0</v>
      </c>
      <c r="V220" s="114">
        <f t="shared" ref="V220" ca="1" si="1091">IF(V218="","",IF(V218&lt;$C220,0,IF(V218=$C220,V219/$C221*$E221+U221/$C221*$E221,IF(AND(V218&gt;$C220,V218&lt;ROUNDDOWN(($C220+($D220+$C221-1)/12),0)),(V219/2+U221)/($C221-$E221-12*(V218-$C220-1))*12,IF(AND($D221&lt;0,V218=ROUNDDOWN(($C220+($D220+$C221-1)/12),0)),U221+V219,IF(V218=ROUNDDOWN(($C220+($D220+$C221-1)/12),0),(V219+U221)/$C221*($D221+(V218-$C220-1)*12+$E221),IF(V218&gt;ROUNDDOWN(($C220+($D220+$C221)/12),0),0,0)))))))</f>
        <v>0</v>
      </c>
      <c r="W220" s="114">
        <f t="shared" ref="W220" ca="1" si="1092">IF(W218="","",IF(W218&lt;$C220,0,IF(W218=$C220,W219/$C221*$E221+V221/$C221*$E221,IF(AND(W218&gt;$C220,W218&lt;ROUNDDOWN(($C220+($D220+$C221-1)/12),0)),(W219/2+V221)/($C221-$E221-12*(W218-$C220-1))*12,IF(AND($D221&lt;0,W218=ROUNDDOWN(($C220+($D220+$C221-1)/12),0)),V221+W219,IF(W218=ROUNDDOWN(($C220+($D220+$C221-1)/12),0),(W219+V221)/$C221*($D221+(W218-$C220-1)*12+$E221),IF(W218&gt;ROUNDDOWN(($C220+($D220+$C221)/12),0),0,0)))))))</f>
        <v>0</v>
      </c>
      <c r="X220" s="114" t="str">
        <f t="shared" ref="X220" ca="1" si="1093">IF(X218="","",IF(X218&lt;$C220,0,IF(X218=$C220,X219/$C221*$E221+W221/$C221*$E221,IF(AND(X218&gt;$C220,X218&lt;ROUNDDOWN(($C220+($D220+$C221-1)/12),0)),(X219/2+W221)/($C221-$E221-12*(X218-$C220-1))*12,IF(AND($D221&lt;0,X218=ROUNDDOWN(($C220+($D220+$C221-1)/12),0)),W221+X219,IF(X218=ROUNDDOWN(($C220+($D220+$C221-1)/12),0),(X219+W221)/$C221*($D221+(X218-$C220-1)*12+$E221),IF(X218&gt;ROUNDDOWN(($C220+($D220+$C221)/12),0),0,0)))))))</f>
        <v/>
      </c>
      <c r="Y220" s="114" t="str">
        <f t="shared" ref="Y220" ca="1" si="1094">IF(Y218="","",IF(Y218&lt;$C220,0,IF(Y218=$C220,Y219/$C221*$E221+X221/$C221*$E221,IF(AND(Y218&gt;$C220,Y218&lt;ROUNDDOWN(($C220+($D220+$C221-1)/12),0)),(Y219/2+X221)/($C221-$E221-12*(Y218-$C220-1))*12,IF(AND($D221&lt;0,Y218=ROUNDDOWN(($C220+($D220+$C221-1)/12),0)),X221+Y219,IF(Y218=ROUNDDOWN(($C220+($D220+$C221-1)/12),0),(Y219+X221)/$C221*($D221+(Y218-$C220-1)*12+$E221),IF(Y218&gt;ROUNDDOWN(($C220+($D220+$C221)/12),0),0,0)))))))</f>
        <v/>
      </c>
      <c r="Z220" s="114" t="str">
        <f ca="1">IF(Z218="","",IF(Z218&lt;$C220,0,IF(Z218=$C220,Z219/$C221*$E221+Y221/$C221*$E221,IF(AND(Z218&gt;$C220,Z218&lt;ROUNDDOWN(($C220+($D220+$C221-1)/12),0)),(Z219/2+Y221)/($C221-$E221-12*(Z218-$C220-1))*12,IF(AND($D221&lt;0,Z218=ROUNDDOWN(($C220+($D220+$C221-1)/12),0)),Y221+Z219,IF(Z218=ROUNDDOWN(($C220+($D220+$C221-1)/12),0),(Z219+Y221)/$C221*($D221+(Z218-$C220-1)*12+$E221),IF(Z218&gt;ROUNDDOWN(($C220+($D220+$C221)/12),0),0,0)))))))</f>
        <v/>
      </c>
      <c r="AA220" s="114" t="str">
        <f t="shared" ref="AA220" ca="1" si="1095">IF(AA218="","",IF(AA218&lt;$C220,0,IF(AA218=$C220,AA219/$C221*$E221+Z221/$C221*$E221,IF(AND(AA218&gt;$C220,AA218&lt;ROUNDDOWN(($C220+($D220+$C221-1)/12),0)),(AA219/2+Z221)/($C221-$E221-12*(AA218-$C220-1))*12,IF(AND($D221&lt;0,AA218=ROUNDDOWN(($C220+($D220+$C221-1)/12),0)),Z221+AA219,IF(AA218=ROUNDDOWN(($C220+($D220+$C221-1)/12),0),(AA219+Z221)/$C221*($D221+(AA218-$C220-1)*12+$E221),IF(AA218&gt;ROUNDDOWN(($C220+($D220+$C221)/12),0),0,0)))))))</f>
        <v/>
      </c>
      <c r="AB220" s="114" t="str">
        <f t="shared" ref="AB220" ca="1" si="1096">IF(AB218="","",IF(AB218&lt;$C220,0,IF(AB218=$C220,AB219/$C221*$E221+AA221/$C221*$E221,IF(AND(AB218&gt;$C220,AB218&lt;ROUNDDOWN(($C220+($D220+$C221-1)/12),0)),(AB219/2+AA221)/($C221-$E221-12*(AB218-$C220-1))*12,IF(AND($D221&lt;0,AB218=ROUNDDOWN(($C220+($D220+$C221-1)/12),0)),AA221+AB219,IF(AB218=ROUNDDOWN(($C220+($D220+$C221-1)/12),0),(AB219+AA221)/$C221*($D221+(AB218-$C220-1)*12+$E221),IF(AB218&gt;ROUNDDOWN(($C220+($D220+$C221)/12),0),0,0)))))))</f>
        <v/>
      </c>
      <c r="AC220" s="114" t="str">
        <f t="shared" ref="AC220" ca="1" si="1097">IF(AC218="","",IF(AC218&lt;$C220,0,IF(AC218=$C220,AC219/$C221*$E221+AB221/$C221*$E221,IF(AND(AC218&gt;$C220,AC218&lt;ROUNDDOWN(($C220+($D220+$C221-1)/12),0)),(AC219/2+AB221)/($C221-$E221-12*(AC218-$C220-1))*12,IF(AND($D221&lt;0,AC218=ROUNDDOWN(($C220+($D220+$C221-1)/12),0)),AB221+AC219,IF(AC218=ROUNDDOWN(($C220+($D220+$C221-1)/12),0),(AC219+AB221)/$C221*($D221+(AC218-$C220-1)*12+$E221),IF(AC218&gt;ROUNDDOWN(($C220+($D220+$C221)/12),0),0,0)))))))</f>
        <v/>
      </c>
      <c r="AD220" s="114" t="str">
        <f t="shared" ref="AD220" ca="1" si="1098">IF(AD218="","",IF(AD218&lt;$C220,0,IF(AD218=$C220,AD219/$C221*$E221+AC221/$C221*$E221,IF(AND(AD218&gt;$C220,AD218&lt;ROUNDDOWN(($C220+($D220+$C221-1)/12),0)),(AD219/2+AC221)/($C221-$E221-12*(AD218-$C220-1))*12,IF(AND($D221&lt;0,AD218=ROUNDDOWN(($C220+($D220+$C221-1)/12),0)),AC221+AD219,IF(AD218=ROUNDDOWN(($C220+($D220+$C221-1)/12),0),(AD219+AC221)/$C221*($D221+(AD218-$C220-1)*12+$E221),IF(AD218&gt;ROUNDDOWN(($C220+($D220+$C221)/12),0),0,0)))))))</f>
        <v/>
      </c>
      <c r="AE220" s="114" t="str">
        <f t="shared" ref="AE220" ca="1" si="1099">IF(AE218="","",IF(AE218&lt;$C220,0,IF(AE218=$C220,AE219/$C221*$E221+AD221/$C221*$E221,IF(AND(AE218&gt;$C220,AE218&lt;ROUNDDOWN(($C220+($D220+$C221-1)/12),0)),(AE219/2+AD221)/($C221-$E221-12*(AE218-$C220-1))*12,IF(AND($D221&lt;0,AE218=ROUNDDOWN(($C220+($D220+$C221-1)/12),0)),AD221+AE219,IF(AE218=ROUNDDOWN(($C220+($D220+$C221-1)/12),0),(AE219+AD221)/$C221*($D221+(AE218-$C220-1)*12+$E221),IF(AE218&gt;ROUNDDOWN(($C220+($D220+$C221)/12),0),0,0)))))))</f>
        <v/>
      </c>
      <c r="AF220" s="114" t="str">
        <f t="shared" ref="AF220" ca="1" si="1100">IF(AF218="","",IF(AF218&lt;$C220,0,IF(AF218=$C220,AF219/$C221*$E221+AE221/$C221*$E221,IF(AND(AF218&gt;$C220,AF218&lt;ROUNDDOWN(($C220+($D220+$C221-1)/12),0)),(AF219/2+AE221)/($C221-$E221-12*(AF218-$C220-1))*12,IF(AND($D221&lt;0,AF218=ROUNDDOWN(($C220+($D220+$C221-1)/12),0)),AE221+AF219,IF(AF218=ROUNDDOWN(($C220+($D220+$C221-1)/12),0),(AF219+AE221)/$C221*($D221+(AF218-$C220-1)*12+$E221),IF(AF218&gt;ROUNDDOWN(($C220+($D220+$C221)/12),0),0,0)))))))</f>
        <v/>
      </c>
      <c r="AG220" s="114" t="str">
        <f t="shared" ref="AG220" ca="1" si="1101">IF(AG218="","",IF(AG218&lt;$C220,0,IF(AG218=$C220,AG219/$C221*$E221+AF221/$C221*$E221,IF(AND(AG218&gt;$C220,AG218&lt;ROUNDDOWN(($C220+($D220+$C221-1)/12),0)),(AG219/2+AF221)/($C221-$E221-12*(AG218-$C220-1))*12,IF(AND($D221&lt;0,AG218=ROUNDDOWN(($C220+($D220+$C221-1)/12),0)),AF221+AG219,IF(AG218=ROUNDDOWN(($C220+($D220+$C221-1)/12),0),(AG219+AF221)/$C221*($D221+(AG218-$C220-1)*12+$E221),IF(AG218&gt;ROUNDDOWN(($C220+($D220+$C221)/12),0),0,0)))))))</f>
        <v/>
      </c>
      <c r="AH220" s="114" t="str">
        <f t="shared" ref="AH220" ca="1" si="1102">IF(AH218="","",IF(AH218&lt;$C220,0,IF(AH218=$C220,AH219/$C221*$E221+AG221/$C221*$E221,IF(AND(AH218&gt;$C220,AH218&lt;ROUNDDOWN(($C220+($D220+$C221-1)/12),0)),(AH219/2+AG221)/($C221-$E221-12*(AH218-$C220-1))*12,IF(AND($D221&lt;0,AH218=ROUNDDOWN(($C220+($D220+$C221-1)/12),0)),AG221+AH219,IF(AH218=ROUNDDOWN(($C220+($D220+$C221-1)/12),0),(AH219+AG221)/$C221*($D221+(AH218-$C220-1)*12+$E221),IF(AH218&gt;ROUNDDOWN(($C220+($D220+$C221)/12),0),0,0)))))))</f>
        <v/>
      </c>
      <c r="AI220" s="114" t="str">
        <f t="shared" ref="AI220" ca="1" si="1103">IF(AI218="","",IF(AI218&lt;$C220,0,IF(AI218=$C220,AI219/$C221*$E221+AH221/$C221*$E221,IF(AND(AI218&gt;$C220,AI218&lt;ROUNDDOWN(($C220+($D220+$C221-1)/12),0)),(AI219/2+AH221)/($C221-$E221-12*(AI218-$C220-1))*12,IF(AND($D221&lt;0,AI218=ROUNDDOWN(($C220+($D220+$C221-1)/12),0)),AH221+AI219,IF(AI218=ROUNDDOWN(($C220+($D220+$C221-1)/12),0),(AI219+AH221)/$C221*($D221+(AI218-$C220-1)*12+$E221),IF(AI218&gt;ROUNDDOWN(($C220+($D220+$C221)/12),0),0,0)))))))</f>
        <v/>
      </c>
      <c r="AJ220" s="114" t="str">
        <f t="shared" ref="AJ220" ca="1" si="1104">IF(AJ218="","",IF(AJ218&lt;$C220,0,IF(AJ218=$C220,AJ219/$C221*$E221+AI221/$C221*$E221,IF(AND(AJ218&gt;$C220,AJ218&lt;ROUNDDOWN(($C220+($D220+$C221-1)/12),0)),(AJ219/2+AI221)/($C221-$E221-12*(AJ218-$C220-1))*12,IF(AND($D221&lt;0,AJ218=ROUNDDOWN(($C220+($D220+$C221-1)/12),0)),AI221+AJ219,IF(AJ218=ROUNDDOWN(($C220+($D220+$C221-1)/12),0),(AJ219+AI221)/$C221*($D221+(AJ218-$C220-1)*12+$E221),IF(AJ218&gt;ROUNDDOWN(($C220+($D220+$C221)/12),0),0,0)))))))</f>
        <v/>
      </c>
      <c r="AK220" s="114" t="str">
        <f t="shared" ref="AK220" ca="1" si="1105">IF(AK218="","",IF(AK218&lt;$C220,0,IF(AK218=$C220,AK219/$C221*$E221+AJ221/$C221*$E221,IF(AND(AK218&gt;$C220,AK218&lt;ROUNDDOWN(($C220+($D220+$C221-1)/12),0)),(AK219/2+AJ221)/($C221-$E221-12*(AK218-$C220-1))*12,IF(AND($D221&lt;0,AK218=ROUNDDOWN(($C220+($D220+$C221-1)/12),0)),AJ221+AK219,IF(AK218=ROUNDDOWN(($C220+($D220+$C221-1)/12),0),(AK219+AJ221)/$C221*($D221+(AK218-$C220-1)*12+$E221),IF(AK218&gt;ROUNDDOWN(($C220+($D220+$C221)/12),0),0,0)))))))</f>
        <v/>
      </c>
      <c r="AL220" s="114" t="str">
        <f t="shared" ref="AL220" ca="1" si="1106">IF(AL218="","",IF(AL218&lt;$C220,0,IF(AL218=$C220,AL219/$C221*$E221+AK221/$C221*$E221,IF(AND(AL218&gt;$C220,AL218&lt;ROUNDDOWN(($C220+($D220+$C221-1)/12),0)),(AL219/2+AK221)/($C221-$E221-12*(AL218-$C220-1))*12,IF(AND($D221&lt;0,AL218=ROUNDDOWN(($C220+($D220+$C221-1)/12),0)),AK221+AL219,IF(AL218=ROUNDDOWN(($C220+($D220+$C221-1)/12),0),(AL219+AK221)/$C221*($D221+(AL218-$C220-1)*12+$E221),IF(AL218&gt;ROUNDDOWN(($C220+($D220+$C221)/12),0),0,0)))))))</f>
        <v/>
      </c>
      <c r="AM220" s="114" t="str">
        <f t="shared" ref="AM220" ca="1" si="1107">IF(AM218="","",IF(AM218&lt;$C220,0,IF(AM218=$C220,AM219/$C221*$E221+AL221/$C221*$E221,IF(AND(AM218&gt;$C220,AM218&lt;ROUNDDOWN(($C220+($D220+$C221-1)/12),0)),(AM219/2+AL221)/($C221-$E221-12*(AM218-$C220-1))*12,IF(AND($D221&lt;0,AM218=ROUNDDOWN(($C220+($D220+$C221-1)/12),0)),AL221+AM219,IF(AM218=ROUNDDOWN(($C220+($D220+$C221-1)/12),0),(AM219+AL221)/$C221*($D221+(AM218-$C220-1)*12+$E221),IF(AM218&gt;ROUNDDOWN(($C220+($D220+$C221)/12),0),0,0)))))))</f>
        <v/>
      </c>
      <c r="AN220" s="114" t="str">
        <f t="shared" ref="AN220" ca="1" si="1108">IF(AN218="","",IF(AN218&lt;$C220,0,IF(AN218=$C220,AN219/$C221*$E221+AM221/$C221*$E221,IF(AND(AN218&gt;$C220,AN218&lt;ROUNDDOWN(($C220+($D220+$C221-1)/12),0)),(AN219/2+AM221)/($C221-$E221-12*(AN218-$C220-1))*12,IF(AND($D221&lt;0,AN218=ROUNDDOWN(($C220+($D220+$C221-1)/12),0)),AM221+AN219,IF(AN218=ROUNDDOWN(($C220+($D220+$C221-1)/12),0),(AN219+AM221)/$C221*($D221+(AN218-$C220-1)*12+$E221),IF(AN218&gt;ROUNDDOWN(($C220+($D220+$C221)/12),0),0,0)))))))</f>
        <v/>
      </c>
      <c r="AO220" s="114" t="str">
        <f t="shared" ref="AO220" ca="1" si="1109">IF(AO218="","",IF(AO218&lt;$C220,0,IF(AO218=$C220,AO219/$C221*$E221+AN221/$C221*$E221,IF(AND(AO218&gt;$C220,AO218&lt;ROUNDDOWN(($C220+($D220+$C221-1)/12),0)),(AO219/2+AN221)/($C221-$E221-12*(AO218-$C220-1))*12,IF(AND($D221&lt;0,AO218=ROUNDDOWN(($C220+($D220+$C221-1)/12),0)),AN221+AO219,IF(AO218=ROUNDDOWN(($C220+($D220+$C221-1)/12),0),(AO219+AN221)/$C221*($D221+(AO218-$C220-1)*12+$E221),IF(AO218&gt;ROUNDDOWN(($C220+($D220+$C221)/12),0),0,0)))))))</f>
        <v/>
      </c>
      <c r="AP220" s="114" t="str">
        <f t="shared" ref="AP220" ca="1" si="1110">IF(AP218="","",IF(AP218&lt;$C220,0,IF(AP218=$C220,AP219/$C221*$E221+AO221/$C221*$E221,IF(AND(AP218&gt;$C220,AP218&lt;ROUNDDOWN(($C220+($D220+$C221-1)/12),0)),(AP219/2+AO221)/($C221-$E221-12*(AP218-$C220-1))*12,IF(AND($D221&lt;0,AP218=ROUNDDOWN(($C220+($D220+$C221-1)/12),0)),AO221+AP219,IF(AP218=ROUNDDOWN(($C220+($D220+$C221-1)/12),0),(AP219+AO221)/$C221*($D221+(AP218-$C220-1)*12+$E221),IF(AP218&gt;ROUNDDOWN(($C220+($D220+$C221)/12),0),0,0)))))))</f>
        <v/>
      </c>
      <c r="AQ220" s="114" t="str">
        <f t="shared" ref="AQ220" ca="1" si="1111">IF(AQ218="","",IF(AQ218&lt;$C220,0,IF(AQ218=$C220,AQ219/$C221*$E221+AP221/$C221*$E221,IF(AND(AQ218&gt;$C220,AQ218&lt;ROUNDDOWN(($C220+($D220+$C221-1)/12),0)),(AQ219/2+AP221)/($C221-$E221-12*(AQ218-$C220-1))*12,IF(AND($D221&lt;0,AQ218=ROUNDDOWN(($C220+($D220+$C221-1)/12),0)),AP221+AQ219,IF(AQ218=ROUNDDOWN(($C220+($D220+$C221-1)/12),0),(AQ219+AP221)/$C221*($D221+(AQ218-$C220-1)*12+$E221),IF(AQ218&gt;ROUNDDOWN(($C220+($D220+$C221)/12),0),0,0)))))))</f>
        <v/>
      </c>
      <c r="AR220" s="114" t="str">
        <f t="shared" ref="AR220" ca="1" si="1112">IF(AR218="","",IF(AR218&lt;$C220,0,IF(AR218=$C220,AR219/$C221*$E221+AQ221/$C221*$E221,IF(AND(AR218&gt;$C220,AR218&lt;ROUNDDOWN(($C220+($D220+$C221-1)/12),0)),(AR219/2+AQ221)/($C221-$E221-12*(AR218-$C220-1))*12,IF(AND($D221&lt;0,AR218=ROUNDDOWN(($C220+($D220+$C221-1)/12),0)),AQ221+AR219,IF(AR218=ROUNDDOWN(($C220+($D220+$C221-1)/12),0),(AR219+AQ221)/$C221*($D221+(AR218-$C220-1)*12+$E221),IF(AR218&gt;ROUNDDOWN(($C220+($D220+$C221)/12),0),0,0)))))))</f>
        <v/>
      </c>
      <c r="AS220" s="114" t="str">
        <f t="shared" ref="AS220" ca="1" si="1113">IF(AS218="","",IF(AS218&lt;$C220,0,IF(AS218=$C220,AS219/$C221*$E221+AR221/$C221*$E221,IF(AND(AS218&gt;$C220,AS218&lt;ROUNDDOWN(($C220+($D220+$C221-1)/12),0)),(AS219/2+AR221)/($C221-$E221-12*(AS218-$C220-1))*12,IF(AND($D221&lt;0,AS218=ROUNDDOWN(($C220+($D220+$C221-1)/12),0)),AR221+AS219,IF(AS218=ROUNDDOWN(($C220+($D220+$C221-1)/12),0),(AS219+AR221)/$C221*($D221+(AS218-$C220-1)*12+$E221),IF(AS218&gt;ROUNDDOWN(($C220+($D220+$C221)/12),0),0,0)))))))</f>
        <v/>
      </c>
      <c r="AT220" s="114" t="str">
        <f t="shared" ref="AT220" ca="1" si="1114">IF(AT218="","",IF(AT218&lt;$C220,0,IF(AT218=$C220,AT219/$C221*$E221+AS221/$C221*$E221,IF(AND(AT218&gt;$C220,AT218&lt;ROUNDDOWN(($C220+($D220+$C221-1)/12),0)),(AT219/2+AS221)/($C221-$E221-12*(AT218-$C220-1))*12,IF(AND($D221&lt;0,AT218=ROUNDDOWN(($C220+($D220+$C221-1)/12),0)),AS221+AT219,IF(AT218=ROUNDDOWN(($C220+($D220+$C221-1)/12),0),(AT219+AS221)/$C221*($D221+(AT218-$C220-1)*12+$E221),IF(AT218&gt;ROUNDDOWN(($C220+($D220+$C221)/12),0),0,0)))))))</f>
        <v/>
      </c>
      <c r="AU220" s="114" t="str">
        <f t="shared" ref="AU220" ca="1" si="1115">IF(AU218="","",IF(AU218&lt;$C220,0,IF(AU218=$C220,AU219/$C221*$E221+AT221/$C221*$E221,IF(AND(AU218&gt;$C220,AU218&lt;ROUNDDOWN(($C220+($D220+$C221-1)/12),0)),(AU219/2+AT221)/($C221-$E221-12*(AU218-$C220-1))*12,IF(AND($D221&lt;0,AU218=ROUNDDOWN(($C220+($D220+$C221-1)/12),0)),AT221+AU219,IF(AU218=ROUNDDOWN(($C220+($D220+$C221-1)/12),0),(AU219+AT221)/$C221*($D221+(AU218-$C220-1)*12+$E221),IF(AU218&gt;ROUNDDOWN(($C220+($D220+$C221)/12),0),0,0)))))))</f>
        <v/>
      </c>
      <c r="AV220" s="114" t="str">
        <f t="shared" ref="AV220" ca="1" si="1116">IF(AV218="","",IF(AV218&lt;$C220,0,IF(AV218=$C220,AV219/$C221*$E221+AU221/$C221*$E221,IF(AND(AV218&gt;$C220,AV218&lt;ROUNDDOWN(($C220+($D220+$C221-1)/12),0)),(AV219/2+AU221)/($C221-$E221-12*(AV218-$C220-1))*12,IF(AND($D221&lt;0,AV218=ROUNDDOWN(($C220+($D220+$C221-1)/12),0)),AU221+AV219,IF(AV218=ROUNDDOWN(($C220+($D220+$C221-1)/12),0),(AV219+AU221)/$C221*($D221+(AV218-$C220-1)*12+$E221),IF(AV218&gt;ROUNDDOWN(($C220+($D220+$C221)/12),0),0,0)))))))</f>
        <v/>
      </c>
      <c r="AW220" s="114" t="str">
        <f t="shared" ref="AW220" ca="1" si="1117">IF(AW218="","",IF(AW218&lt;$C220,0,IF(AW218=$C220,AW219/$C221*$E221+AV221/$C221*$E221,IF(AND(AW218&gt;$C220,AW218&lt;ROUNDDOWN(($C220+($D220+$C221-1)/12),0)),(AW219/2+AV221)/($C221-$E221-12*(AW218-$C220-1))*12,IF(AND($D221&lt;0,AW218=ROUNDDOWN(($C220+($D220+$C221-1)/12),0)),AV221+AW219,IF(AW218=ROUNDDOWN(($C220+($D220+$C221-1)/12),0),(AW219+AV221)/$C221*($D221+(AW218-$C220-1)*12+$E221),IF(AW218&gt;ROUNDDOWN(($C220+($D220+$C221)/12),0),0,0)))))))</f>
        <v/>
      </c>
      <c r="AX220" s="90"/>
      <c r="AY220" s="90"/>
      <c r="AZ220" s="87"/>
    </row>
    <row r="221" spans="3:52" ht="12.75" hidden="1" customHeight="1" outlineLevel="1" x14ac:dyDescent="0.2">
      <c r="C221" s="128">
        <f>ROUNDUP((E220-ROUNDDOWN(E220,0))*12,0)+ROUNDDOWN(E220,0)*12</f>
        <v>0</v>
      </c>
      <c r="D221" s="128">
        <f>C221-E221-ROUNDDOWN(E220,0)*12</f>
        <v>-12</v>
      </c>
      <c r="E221" s="128">
        <f>13-MONTH(C219)</f>
        <v>12</v>
      </c>
      <c r="N221" s="85"/>
      <c r="O221" s="90"/>
      <c r="P221" s="90"/>
      <c r="Q221" s="115" t="str">
        <f>INDEX(g_lang_val,MATCH("tb_2_4_3",g_lang_key,0))</f>
        <v>FF4-gæld, ultimo året</v>
      </c>
      <c r="R221" s="116"/>
      <c r="S221" s="119"/>
      <c r="T221" s="114">
        <f t="shared" ref="T221" ca="1" si="1118">IF(T218="","",S221+T219-T220)</f>
        <v>0</v>
      </c>
      <c r="U221" s="114">
        <f t="shared" ref="U221" ca="1" si="1119">IF(U218="","",T221+U219-U220)</f>
        <v>0</v>
      </c>
      <c r="V221" s="114">
        <f t="shared" ref="V221" ca="1" si="1120">IF(V218="","",U221+V219-V220)</f>
        <v>0</v>
      </c>
      <c r="W221" s="114">
        <f t="shared" ref="W221" ca="1" si="1121">IF(W218="","",V221+W219-W220)</f>
        <v>0</v>
      </c>
      <c r="X221" s="114" t="str">
        <f t="shared" ref="X221" ca="1" si="1122">IF(X218="","",W221+X219-X220)</f>
        <v/>
      </c>
      <c r="Y221" s="114" t="str">
        <f t="shared" ref="Y221" ca="1" si="1123">IF(Y218="","",X221+Y219-Y220)</f>
        <v/>
      </c>
      <c r="Z221" s="114" t="str">
        <f t="shared" ref="Z221" ca="1" si="1124">IF(Z218="","",Y221+Z219-Z220)</f>
        <v/>
      </c>
      <c r="AA221" s="114" t="str">
        <f t="shared" ref="AA221" ca="1" si="1125">IF(AA218="","",Z221+AA219-AA220)</f>
        <v/>
      </c>
      <c r="AB221" s="114" t="str">
        <f t="shared" ref="AB221" ca="1" si="1126">IF(AB218="","",AA221+AB219-AB220)</f>
        <v/>
      </c>
      <c r="AC221" s="114" t="str">
        <f t="shared" ref="AC221" ca="1" si="1127">IF(AC218="","",AB221+AC219-AC220)</f>
        <v/>
      </c>
      <c r="AD221" s="114" t="str">
        <f t="shared" ref="AD221" ca="1" si="1128">IF(AD218="","",AC221+AD219-AD220)</f>
        <v/>
      </c>
      <c r="AE221" s="114" t="str">
        <f t="shared" ref="AE221" ca="1" si="1129">IF(AE218="","",AD221+AE219-AE220)</f>
        <v/>
      </c>
      <c r="AF221" s="114" t="str">
        <f t="shared" ref="AF221" ca="1" si="1130">IF(AF218="","",AE221+AF219-AF220)</f>
        <v/>
      </c>
      <c r="AG221" s="114" t="str">
        <f t="shared" ref="AG221" ca="1" si="1131">IF(AG218="","",AF221+AG219-AG220)</f>
        <v/>
      </c>
      <c r="AH221" s="114" t="str">
        <f t="shared" ref="AH221" ca="1" si="1132">IF(AH218="","",AG221+AH219-AH220)</f>
        <v/>
      </c>
      <c r="AI221" s="114" t="str">
        <f t="shared" ref="AI221" ca="1" si="1133">IF(AI218="","",AH221+AI219-AI220)</f>
        <v/>
      </c>
      <c r="AJ221" s="114" t="str">
        <f t="shared" ref="AJ221" ca="1" si="1134">IF(AJ218="","",AI221+AJ219-AJ220)</f>
        <v/>
      </c>
      <c r="AK221" s="114" t="str">
        <f t="shared" ref="AK221" ca="1" si="1135">IF(AK218="","",AJ221+AK219-AK220)</f>
        <v/>
      </c>
      <c r="AL221" s="114" t="str">
        <f t="shared" ref="AL221" ca="1" si="1136">IF(AL218="","",AK221+AL219-AL220)</f>
        <v/>
      </c>
      <c r="AM221" s="114" t="str">
        <f t="shared" ref="AM221" ca="1" si="1137">IF(AM218="","",AL221+AM219-AM220)</f>
        <v/>
      </c>
      <c r="AN221" s="114" t="str">
        <f t="shared" ref="AN221" ca="1" si="1138">IF(AN218="","",AM221+AN219-AN220)</f>
        <v/>
      </c>
      <c r="AO221" s="114" t="str">
        <f t="shared" ref="AO221" ca="1" si="1139">IF(AO218="","",AN221+AO219-AO220)</f>
        <v/>
      </c>
      <c r="AP221" s="114" t="str">
        <f t="shared" ref="AP221" ca="1" si="1140">IF(AP218="","",AO221+AP219-AP220)</f>
        <v/>
      </c>
      <c r="AQ221" s="114" t="str">
        <f t="shared" ref="AQ221" ca="1" si="1141">IF(AQ218="","",AP221+AQ219-AQ220)</f>
        <v/>
      </c>
      <c r="AR221" s="114" t="str">
        <f t="shared" ref="AR221" ca="1" si="1142">IF(AR218="","",AQ221+AR219-AR220)</f>
        <v/>
      </c>
      <c r="AS221" s="114" t="str">
        <f t="shared" ref="AS221" ca="1" si="1143">IF(AS218="","",AR221+AS219-AS220)</f>
        <v/>
      </c>
      <c r="AT221" s="114" t="str">
        <f t="shared" ref="AT221" ca="1" si="1144">IF(AT218="","",AS221+AT219-AT220)</f>
        <v/>
      </c>
      <c r="AU221" s="114" t="str">
        <f t="shared" ref="AU221" ca="1" si="1145">IF(AU218="","",AT221+AU219-AU220)</f>
        <v/>
      </c>
      <c r="AV221" s="114" t="str">
        <f t="shared" ref="AV221" ca="1" si="1146">IF(AV218="","",AU221+AV219-AV220)</f>
        <v/>
      </c>
      <c r="AW221" s="114" t="str">
        <f t="shared" ref="AW221" ca="1" si="1147">IF(AW218="","",AV221+AW219-AW220)</f>
        <v/>
      </c>
      <c r="AX221" s="90"/>
      <c r="AY221" s="90"/>
      <c r="AZ221" s="87"/>
    </row>
    <row r="222" spans="3:52" ht="12.75" hidden="1" customHeight="1" outlineLevel="1" x14ac:dyDescent="0.2">
      <c r="N222" s="85"/>
      <c r="O222" s="90"/>
      <c r="P222" s="90"/>
      <c r="Q222" s="115" t="str">
        <f>INDEX(g_lang_val,MATCH("tb_2_4_4",g_lang_key,0))</f>
        <v>Renter (FF4)</v>
      </c>
      <c r="R222" s="116"/>
      <c r="S222" s="119">
        <f ca="1">SUM(T222:BG222)</f>
        <v>0</v>
      </c>
      <c r="T222" s="114">
        <f t="shared" ref="T222" ca="1" si="1148">IF(T218="","",g_interest_FF4*(S221+(T219/2)-(T220/2)))</f>
        <v>0</v>
      </c>
      <c r="U222" s="114">
        <f t="shared" ref="U222" ca="1" si="1149">IF(U218="","",g_interest_FF4*(T221+(U219/2)-(U220/2)))</f>
        <v>0</v>
      </c>
      <c r="V222" s="114">
        <f t="shared" ref="V222" ca="1" si="1150">IF(V218="","",g_interest_FF4*(U221+(V219/2)-(V220/2)))</f>
        <v>0</v>
      </c>
      <c r="W222" s="114">
        <f t="shared" ref="W222" ca="1" si="1151">IF(W218="","",g_interest_FF4*(V221+(W219/2)-(W220/2)))</f>
        <v>0</v>
      </c>
      <c r="X222" s="114" t="str">
        <f t="shared" ref="X222" ca="1" si="1152">IF(X218="","",g_interest_FF4*(W221+(X219/2)-(X220/2)))</f>
        <v/>
      </c>
      <c r="Y222" s="114" t="str">
        <f t="shared" ref="Y222" ca="1" si="1153">IF(Y218="","",g_interest_FF4*(X221+(Y219/2)-(Y220/2)))</f>
        <v/>
      </c>
      <c r="Z222" s="114" t="str">
        <f t="shared" ref="Z222" ca="1" si="1154">IF(Z218="","",g_interest_FF4*(Y221+(Z219/2)-(Z220/2)))</f>
        <v/>
      </c>
      <c r="AA222" s="114" t="str">
        <f t="shared" ref="AA222" ca="1" si="1155">IF(AA218="","",g_interest_FF4*(Z221+(AA219/2)-(AA220/2)))</f>
        <v/>
      </c>
      <c r="AB222" s="114" t="str">
        <f t="shared" ref="AB222" ca="1" si="1156">IF(AB218="","",g_interest_FF4*(AA221+(AB219/2)-(AB220/2)))</f>
        <v/>
      </c>
      <c r="AC222" s="114" t="str">
        <f t="shared" ref="AC222" ca="1" si="1157">IF(AC218="","",g_interest_FF4*(AB221+(AC219/2)-(AC220/2)))</f>
        <v/>
      </c>
      <c r="AD222" s="114" t="str">
        <f t="shared" ref="AD222" ca="1" si="1158">IF(AD218="","",g_interest_FF4*(AC221+(AD219/2)-(AD220/2)))</f>
        <v/>
      </c>
      <c r="AE222" s="114" t="str">
        <f t="shared" ref="AE222" ca="1" si="1159">IF(AE218="","",g_interest_FF4*(AD221+(AE219/2)-(AE220/2)))</f>
        <v/>
      </c>
      <c r="AF222" s="114" t="str">
        <f t="shared" ref="AF222" ca="1" si="1160">IF(AF218="","",g_interest_FF4*(AE221+(AF219/2)-(AF220/2)))</f>
        <v/>
      </c>
      <c r="AG222" s="114" t="str">
        <f t="shared" ref="AG222" ca="1" si="1161">IF(AG218="","",g_interest_FF4*(AF221+(AG219/2)-(AG220/2)))</f>
        <v/>
      </c>
      <c r="AH222" s="114" t="str">
        <f t="shared" ref="AH222" ca="1" si="1162">IF(AH218="","",g_interest_FF4*(AG221+(AH219/2)-(AH220/2)))</f>
        <v/>
      </c>
      <c r="AI222" s="114" t="str">
        <f t="shared" ref="AI222" ca="1" si="1163">IF(AI218="","",g_interest_FF4*(AH221+(AI219/2)-(AI220/2)))</f>
        <v/>
      </c>
      <c r="AJ222" s="114" t="str">
        <f t="shared" ref="AJ222" ca="1" si="1164">IF(AJ218="","",g_interest_FF4*(AI221+(AJ219/2)-(AJ220/2)))</f>
        <v/>
      </c>
      <c r="AK222" s="114" t="str">
        <f t="shared" ref="AK222" ca="1" si="1165">IF(AK218="","",g_interest_FF4*(AJ221+(AK219/2)-(AK220/2)))</f>
        <v/>
      </c>
      <c r="AL222" s="114" t="str">
        <f t="shared" ref="AL222" ca="1" si="1166">IF(AL218="","",g_interest_FF4*(AK221+(AL219/2)-(AL220/2)))</f>
        <v/>
      </c>
      <c r="AM222" s="114" t="str">
        <f t="shared" ref="AM222" ca="1" si="1167">IF(AM218="","",g_interest_FF4*(AL221+(AM219/2)-(AM220/2)))</f>
        <v/>
      </c>
      <c r="AN222" s="114" t="str">
        <f t="shared" ref="AN222" ca="1" si="1168">IF(AN218="","",g_interest_FF4*(AM221+(AN219/2)-(AN220/2)))</f>
        <v/>
      </c>
      <c r="AO222" s="114" t="str">
        <f t="shared" ref="AO222" ca="1" si="1169">IF(AO218="","",g_interest_FF4*(AN221+(AO219/2)-(AO220/2)))</f>
        <v/>
      </c>
      <c r="AP222" s="114" t="str">
        <f t="shared" ref="AP222" ca="1" si="1170">IF(AP218="","",g_interest_FF4*(AO221+(AP219/2)-(AP220/2)))</f>
        <v/>
      </c>
      <c r="AQ222" s="114" t="str">
        <f t="shared" ref="AQ222" ca="1" si="1171">IF(AQ218="","",g_interest_FF4*(AP221+(AQ219/2)-(AQ220/2)))</f>
        <v/>
      </c>
      <c r="AR222" s="114" t="str">
        <f t="shared" ref="AR222" ca="1" si="1172">IF(AR218="","",g_interest_FF4*(AQ221+(AR219/2)-(AR220/2)))</f>
        <v/>
      </c>
      <c r="AS222" s="114" t="str">
        <f t="shared" ref="AS222" ca="1" si="1173">IF(AS218="","",g_interest_FF4*(AR221+(AS219/2)-(AS220/2)))</f>
        <v/>
      </c>
      <c r="AT222" s="114" t="str">
        <f t="shared" ref="AT222" ca="1" si="1174">IF(AT218="","",g_interest_FF4*(AS221+(AT219/2)-(AT220/2)))</f>
        <v/>
      </c>
      <c r="AU222" s="114" t="str">
        <f t="shared" ref="AU222" ca="1" si="1175">IF(AU218="","",g_interest_FF4*(AT221+(AU219/2)-(AU220/2)))</f>
        <v/>
      </c>
      <c r="AV222" s="114" t="str">
        <f t="shared" ref="AV222" ca="1" si="1176">IF(AV218="","",g_interest_FF4*(AU221+(AV219/2)-(AV220/2)))</f>
        <v/>
      </c>
      <c r="AW222" s="114" t="str">
        <f t="shared" ref="AW222" ca="1" si="1177">IF(AW218="","",g_interest_FF4*(AV221+(AW219/2)-(AW220/2)))</f>
        <v/>
      </c>
      <c r="AX222" s="90"/>
      <c r="AY222" s="90"/>
      <c r="AZ222" s="87"/>
    </row>
    <row r="223" spans="3:52" ht="12.75" hidden="1" customHeight="1" outlineLevel="1" x14ac:dyDescent="0.2">
      <c r="N223" s="85"/>
      <c r="O223" s="90"/>
      <c r="P223" s="90"/>
      <c r="Q223" s="118" t="str">
        <f>INDEX(g_assets_sc_1,16)</f>
        <v/>
      </c>
      <c r="R223" s="118"/>
      <c r="S223" s="113"/>
      <c r="T223" s="125">
        <f ca="1">T$157</f>
        <v>2026</v>
      </c>
      <c r="U223" s="125">
        <f t="shared" ref="U223:AW223" ca="1" si="1178">U$157</f>
        <v>2027</v>
      </c>
      <c r="V223" s="125">
        <f t="shared" ca="1" si="1178"/>
        <v>2028</v>
      </c>
      <c r="W223" s="125">
        <f t="shared" ca="1" si="1178"/>
        <v>2029</v>
      </c>
      <c r="X223" s="125" t="str">
        <f t="shared" ca="1" si="1178"/>
        <v/>
      </c>
      <c r="Y223" s="125" t="str">
        <f t="shared" ca="1" si="1178"/>
        <v/>
      </c>
      <c r="Z223" s="125" t="str">
        <f t="shared" ca="1" si="1178"/>
        <v/>
      </c>
      <c r="AA223" s="125" t="str">
        <f t="shared" ca="1" si="1178"/>
        <v/>
      </c>
      <c r="AB223" s="125" t="str">
        <f t="shared" ca="1" si="1178"/>
        <v/>
      </c>
      <c r="AC223" s="125" t="str">
        <f t="shared" ca="1" si="1178"/>
        <v/>
      </c>
      <c r="AD223" s="125" t="str">
        <f t="shared" ca="1" si="1178"/>
        <v/>
      </c>
      <c r="AE223" s="125" t="str">
        <f t="shared" ca="1" si="1178"/>
        <v/>
      </c>
      <c r="AF223" s="125" t="str">
        <f t="shared" ca="1" si="1178"/>
        <v/>
      </c>
      <c r="AG223" s="125" t="str">
        <f t="shared" ca="1" si="1178"/>
        <v/>
      </c>
      <c r="AH223" s="125" t="str">
        <f t="shared" ca="1" si="1178"/>
        <v/>
      </c>
      <c r="AI223" s="125" t="str">
        <f t="shared" ca="1" si="1178"/>
        <v/>
      </c>
      <c r="AJ223" s="125" t="str">
        <f t="shared" ca="1" si="1178"/>
        <v/>
      </c>
      <c r="AK223" s="125" t="str">
        <f t="shared" ca="1" si="1178"/>
        <v/>
      </c>
      <c r="AL223" s="125" t="str">
        <f t="shared" ca="1" si="1178"/>
        <v/>
      </c>
      <c r="AM223" s="125" t="str">
        <f t="shared" ca="1" si="1178"/>
        <v/>
      </c>
      <c r="AN223" s="125" t="str">
        <f t="shared" ca="1" si="1178"/>
        <v/>
      </c>
      <c r="AO223" s="125" t="str">
        <f t="shared" ca="1" si="1178"/>
        <v/>
      </c>
      <c r="AP223" s="125" t="str">
        <f t="shared" ca="1" si="1178"/>
        <v/>
      </c>
      <c r="AQ223" s="125" t="str">
        <f t="shared" ca="1" si="1178"/>
        <v/>
      </c>
      <c r="AR223" s="125" t="str">
        <f t="shared" ca="1" si="1178"/>
        <v/>
      </c>
      <c r="AS223" s="125" t="str">
        <f t="shared" ca="1" si="1178"/>
        <v/>
      </c>
      <c r="AT223" s="125" t="str">
        <f t="shared" ca="1" si="1178"/>
        <v/>
      </c>
      <c r="AU223" s="125" t="str">
        <f t="shared" ca="1" si="1178"/>
        <v/>
      </c>
      <c r="AV223" s="125" t="str">
        <f t="shared" ca="1" si="1178"/>
        <v/>
      </c>
      <c r="AW223" s="125" t="str">
        <f t="shared" ca="1" si="1178"/>
        <v/>
      </c>
      <c r="AX223" s="90"/>
      <c r="AY223" s="90"/>
      <c r="AZ223" s="87"/>
    </row>
    <row r="224" spans="3:52" ht="12.75" hidden="1" customHeight="1" outlineLevel="1" x14ac:dyDescent="0.2">
      <c r="C224" s="126">
        <f>INDEX(g_sc_1_assets_dates,G224)</f>
        <v>0</v>
      </c>
      <c r="G224" s="127">
        <v>14</v>
      </c>
      <c r="N224" s="85"/>
      <c r="O224" s="90"/>
      <c r="P224" s="90"/>
      <c r="Q224" s="115" t="str">
        <f>INDEX(g_lang_val,MATCH("tb_2_4_1",g_lang_key,0))</f>
        <v>Køb af anlægsaktiver</v>
      </c>
      <c r="R224" s="116"/>
      <c r="S224" s="119">
        <f ca="1">SUM(T224:BG224)</f>
        <v>0</v>
      </c>
      <c r="T224" s="114">
        <f ca="1">IF(T223="","",SUMPRODUCT(--(Leverancer!$C$28:$C$88=($G224+2)),Leverancer!D$28:D$88)/1000)</f>
        <v>0</v>
      </c>
      <c r="U224" s="114">
        <f ca="1">IF(U223="","",SUMPRODUCT(--(Leverancer!$C$28:$C$88=($G224+2)),Leverancer!E$28:E$88)/1000)</f>
        <v>0</v>
      </c>
      <c r="V224" s="114">
        <f ca="1">IF(V223="","",SUMPRODUCT(--(Leverancer!$C$28:$C$88=($G224+2)),Leverancer!F$28:F$88)/1000)</f>
        <v>0</v>
      </c>
      <c r="W224" s="114">
        <f ca="1">IF(W223="","",SUMPRODUCT(--(Leverancer!$C$28:$C$88=($G224+2)),Leverancer!G$28:G$88)/1000)</f>
        <v>0</v>
      </c>
      <c r="X224" s="114" t="str">
        <f ca="1">IF(X223="","",SUMPRODUCT(--(Leverancer!$C$28:$C$88=($G224+2)),Leverancer!H$28:H$88)/1000)</f>
        <v/>
      </c>
      <c r="Y224" s="114" t="str">
        <f ca="1">IF(Y223="","",SUMPRODUCT(--(Leverancer!$C$28:$C$88=($G224+2)),Leverancer!I$28:I$88)/1000)</f>
        <v/>
      </c>
      <c r="Z224" s="114" t="str">
        <f ca="1">IF(Z223="","",SUMPRODUCT(--(Leverancer!$C$28:$C$88=($G224+2)),Leverancer!J$28:J$88)/1000)</f>
        <v/>
      </c>
      <c r="AA224" s="114" t="str">
        <f ca="1">IF(AA223="","",SUMPRODUCT(--(Leverancer!$C$28:$C$88=($G224+2)),Leverancer!K$28:K$88)/1000)</f>
        <v/>
      </c>
      <c r="AB224" s="114" t="str">
        <f ca="1">IF(AB223="","",SUMPRODUCT(--(Leverancer!$C$28:$C$88=($G224+2)),Leverancer!L$28:L$88)/1000)</f>
        <v/>
      </c>
      <c r="AC224" s="114" t="str">
        <f ca="1">IF(AC223="","",SUMPRODUCT(--(Leverancer!$C$28:$C$88=($G224+2)),Leverancer!M$28:M$88)/1000)</f>
        <v/>
      </c>
      <c r="AD224" s="114" t="str">
        <f ca="1">IF(AD223="","",SUMPRODUCT(--(Leverancer!$C$28:$C$88=($G224+2)),Leverancer!N$28:N$88)/1000)</f>
        <v/>
      </c>
      <c r="AE224" s="114" t="str">
        <f ca="1">IF(AE223="","",SUMPRODUCT(--(Leverancer!$C$28:$C$88=($G224+2)),Leverancer!O$28:O$88)/1000)</f>
        <v/>
      </c>
      <c r="AF224" s="114" t="str">
        <f ca="1">IF(AF223="","",SUMPRODUCT(--(Leverancer!$C$28:$C$88=($G224+2)),Leverancer!P$28:P$88)/1000)</f>
        <v/>
      </c>
      <c r="AG224" s="114" t="str">
        <f ca="1">IF(AG223="","",SUMPRODUCT(--(Leverancer!$C$28:$C$88=($G224+2)),Leverancer!Q$28:Q$88)/1000)</f>
        <v/>
      </c>
      <c r="AH224" s="114" t="str">
        <f ca="1">IF(AH223="","",SUMPRODUCT(--(Leverancer!$C$28:$C$88=($G224+2)),Leverancer!R$28:R$88)/1000)</f>
        <v/>
      </c>
      <c r="AI224" s="114" t="str">
        <f ca="1">IF(AI223="","",SUMPRODUCT(--(Leverancer!$C$28:$C$88=($G224+2)),Leverancer!S$28:S$88)/1000)</f>
        <v/>
      </c>
      <c r="AJ224" s="114" t="str">
        <f ca="1">IF(AJ223="","",SUMPRODUCT(--(Leverancer!$C$28:$C$88=($G224+2)),Leverancer!T$28:T$88)/1000)</f>
        <v/>
      </c>
      <c r="AK224" s="114" t="str">
        <f ca="1">IF(AK223="","",SUMPRODUCT(--(Leverancer!$C$28:$C$88=($G224+2)),Leverancer!U$28:U$88)/1000)</f>
        <v/>
      </c>
      <c r="AL224" s="114" t="str">
        <f ca="1">IF(AL223="","",SUMPRODUCT(--(Leverancer!$C$28:$C$88=($G224+2)),Leverancer!V$28:V$88)/1000)</f>
        <v/>
      </c>
      <c r="AM224" s="114" t="str">
        <f ca="1">IF(AM223="","",SUMPRODUCT(--(Leverancer!$C$28:$C$88=($G224+2)),Leverancer!W$28:W$88)/1000)</f>
        <v/>
      </c>
      <c r="AN224" s="114" t="str">
        <f ca="1">IF(AN223="","",SUMPRODUCT(--(Leverancer!$C$28:$C$88=($G224+2)),Leverancer!X$28:X$88)/1000)</f>
        <v/>
      </c>
      <c r="AO224" s="114" t="str">
        <f ca="1">IF(AO223="","",SUMPRODUCT(--(Leverancer!$C$28:$C$88=($G224+2)),Leverancer!Y$28:Y$88)/1000)</f>
        <v/>
      </c>
      <c r="AP224" s="114" t="str">
        <f ca="1">IF(AP223="","",SUMPRODUCT(--(Leverancer!$C$28:$C$88=($G224+2)),Leverancer!Z$28:Z$88)/1000)</f>
        <v/>
      </c>
      <c r="AQ224" s="114" t="str">
        <f ca="1">IF(AQ223="","",SUMPRODUCT(--(Leverancer!$C$28:$C$88=($G224+2)),Leverancer!AA$28:AA$88)/1000)</f>
        <v/>
      </c>
      <c r="AR224" s="114" t="str">
        <f ca="1">IF(AR223="","",SUMPRODUCT(--(Leverancer!$C$28:$C$88=($G224+2)),Leverancer!AB$28:AB$88)/1000)</f>
        <v/>
      </c>
      <c r="AS224" s="114" t="str">
        <f ca="1">IF(AS223="","",SUMPRODUCT(--(Leverancer!$C$28:$C$88=($G224+2)),Leverancer!AC$28:AC$88)/1000)</f>
        <v/>
      </c>
      <c r="AT224" s="114" t="str">
        <f ca="1">IF(AT223="","",SUMPRODUCT(--(Leverancer!$C$28:$C$88=($G224+2)),Leverancer!AD$28:AD$88)/1000)</f>
        <v/>
      </c>
      <c r="AU224" s="114" t="str">
        <f ca="1">IF(AU223="","",SUMPRODUCT(--(Leverancer!$C$28:$C$88=($G224+2)),Leverancer!AE$28:AE$88)/1000)</f>
        <v/>
      </c>
      <c r="AV224" s="114" t="str">
        <f ca="1">IF(AV223="","",SUMPRODUCT(--(Leverancer!$C$28:$C$88=($G224+2)),Leverancer!AF$28:AF$88)/1000)</f>
        <v/>
      </c>
      <c r="AW224" s="114" t="str">
        <f ca="1">IF(AW223="","",SUMPRODUCT(--(Leverancer!$C$28:$C$88=($G224+2)),Leverancer!AG$28:AG$88)/1000)</f>
        <v/>
      </c>
      <c r="AX224" s="90"/>
      <c r="AY224" s="90"/>
      <c r="AZ224" s="87"/>
    </row>
    <row r="225" spans="3:52" ht="12.75" hidden="1" customHeight="1" outlineLevel="1" x14ac:dyDescent="0.2">
      <c r="C225" s="128">
        <f>IFERROR(YEAR(C224),"")</f>
        <v>1900</v>
      </c>
      <c r="D225" s="128">
        <f>IFERROR(MONTH(C224),"")</f>
        <v>1</v>
      </c>
      <c r="E225" s="128">
        <f>INDEX(g_sc_1_assets_years,G224)</f>
        <v>0</v>
      </c>
      <c r="N225" s="85"/>
      <c r="O225" s="90"/>
      <c r="P225" s="90"/>
      <c r="Q225" s="115" t="str">
        <f>INDEX(g_lang_val,MATCH("tb_2_4_2",g_lang_key,0))</f>
        <v>Afskrivninger</v>
      </c>
      <c r="R225" s="116"/>
      <c r="S225" s="119">
        <f ca="1">SUM(T225:BG225)</f>
        <v>0</v>
      </c>
      <c r="T225" s="114">
        <f t="shared" ref="T225" ca="1" si="1179">IF(T223="","",IF(T223&lt;$C225,0,IF(T223=$C225,T224/$C226*$E226+S226/$C226*$E226,IF(AND(T223&gt;$C225,T223&lt;ROUNDDOWN(($C225+($D225+$C226-1)/12),0)),(T224/2+S226)/($C226-$E226-12*(T223-$C225-1))*12,IF(AND($D226&lt;0,T223=ROUNDDOWN(($C225+($D225+$C226-1)/12),0)),S226+T224,IF(T223=ROUNDDOWN(($C225+($D225+$C226-1)/12),0),(T224+S226)/$C226*($D226+(T223-$C225-1)*12+$E226),IF(T223&gt;ROUNDDOWN(($C225+($D225+$C226)/12),0),0,0)))))))</f>
        <v>0</v>
      </c>
      <c r="U225" s="114">
        <f t="shared" ref="U225" ca="1" si="1180">IF(U223="","",IF(U223&lt;$C225,0,IF(U223=$C225,U224/$C226*$E226+T226/$C226*$E226,IF(AND(U223&gt;$C225,U223&lt;ROUNDDOWN(($C225+($D225+$C226-1)/12),0)),(U224/2+T226)/($C226-$E226-12*(U223-$C225-1))*12,IF(AND($D226&lt;0,U223=ROUNDDOWN(($C225+($D225+$C226-1)/12),0)),T226+U224,IF(U223=ROUNDDOWN(($C225+($D225+$C226-1)/12),0),(U224+T226)/$C226*($D226+(U223-$C225-1)*12+$E226),IF(U223&gt;ROUNDDOWN(($C225+($D225+$C226)/12),0),0,0)))))))</f>
        <v>0</v>
      </c>
      <c r="V225" s="114">
        <f t="shared" ref="V225" ca="1" si="1181">IF(V223="","",IF(V223&lt;$C225,0,IF(V223=$C225,V224/$C226*$E226+U226/$C226*$E226,IF(AND(V223&gt;$C225,V223&lt;ROUNDDOWN(($C225+($D225+$C226-1)/12),0)),(V224/2+U226)/($C226-$E226-12*(V223-$C225-1))*12,IF(AND($D226&lt;0,V223=ROUNDDOWN(($C225+($D225+$C226-1)/12),0)),U226+V224,IF(V223=ROUNDDOWN(($C225+($D225+$C226-1)/12),0),(V224+U226)/$C226*($D226+(V223-$C225-1)*12+$E226),IF(V223&gt;ROUNDDOWN(($C225+($D225+$C226)/12),0),0,0)))))))</f>
        <v>0</v>
      </c>
      <c r="W225" s="114">
        <f t="shared" ref="W225" ca="1" si="1182">IF(W223="","",IF(W223&lt;$C225,0,IF(W223=$C225,W224/$C226*$E226+V226/$C226*$E226,IF(AND(W223&gt;$C225,W223&lt;ROUNDDOWN(($C225+($D225+$C226-1)/12),0)),(W224/2+V226)/($C226-$E226-12*(W223-$C225-1))*12,IF(AND($D226&lt;0,W223=ROUNDDOWN(($C225+($D225+$C226-1)/12),0)),V226+W224,IF(W223=ROUNDDOWN(($C225+($D225+$C226-1)/12),0),(W224+V226)/$C226*($D226+(W223-$C225-1)*12+$E226),IF(W223&gt;ROUNDDOWN(($C225+($D225+$C226)/12),0),0,0)))))))</f>
        <v>0</v>
      </c>
      <c r="X225" s="114" t="str">
        <f t="shared" ref="X225" ca="1" si="1183">IF(X223="","",IF(X223&lt;$C225,0,IF(X223=$C225,X224/$C226*$E226+W226/$C226*$E226,IF(AND(X223&gt;$C225,X223&lt;ROUNDDOWN(($C225+($D225+$C226-1)/12),0)),(X224/2+W226)/($C226-$E226-12*(X223-$C225-1))*12,IF(AND($D226&lt;0,X223=ROUNDDOWN(($C225+($D225+$C226-1)/12),0)),W226+X224,IF(X223=ROUNDDOWN(($C225+($D225+$C226-1)/12),0),(X224+W226)/$C226*($D226+(X223-$C225-1)*12+$E226),IF(X223&gt;ROUNDDOWN(($C225+($D225+$C226)/12),0),0,0)))))))</f>
        <v/>
      </c>
      <c r="Y225" s="114" t="str">
        <f t="shared" ref="Y225" ca="1" si="1184">IF(Y223="","",IF(Y223&lt;$C225,0,IF(Y223=$C225,Y224/$C226*$E226+X226/$C226*$E226,IF(AND(Y223&gt;$C225,Y223&lt;ROUNDDOWN(($C225+($D225+$C226-1)/12),0)),(Y224/2+X226)/($C226-$E226-12*(Y223-$C225-1))*12,IF(AND($D226&lt;0,Y223=ROUNDDOWN(($C225+($D225+$C226-1)/12),0)),X226+Y224,IF(Y223=ROUNDDOWN(($C225+($D225+$C226-1)/12),0),(Y224+X226)/$C226*($D226+(Y223-$C225-1)*12+$E226),IF(Y223&gt;ROUNDDOWN(($C225+($D225+$C226)/12),0),0,0)))))))</f>
        <v/>
      </c>
      <c r="Z225" s="114" t="str">
        <f ca="1">IF(Z223="","",IF(Z223&lt;$C225,0,IF(Z223=$C225,Z224/$C226*$E226+Y226/$C226*$E226,IF(AND(Z223&gt;$C225,Z223&lt;ROUNDDOWN(($C225+($D225+$C226-1)/12),0)),(Z224/2+Y226)/($C226-$E226-12*(Z223-$C225-1))*12,IF(AND($D226&lt;0,Z223=ROUNDDOWN(($C225+($D225+$C226-1)/12),0)),Y226+Z224,IF(Z223=ROUNDDOWN(($C225+($D225+$C226-1)/12),0),(Z224+Y226)/$C226*($D226+(Z223-$C225-1)*12+$E226),IF(Z223&gt;ROUNDDOWN(($C225+($D225+$C226)/12),0),0,0)))))))</f>
        <v/>
      </c>
      <c r="AA225" s="114" t="str">
        <f t="shared" ref="AA225" ca="1" si="1185">IF(AA223="","",IF(AA223&lt;$C225,0,IF(AA223=$C225,AA224/$C226*$E226+Z226/$C226*$E226,IF(AND(AA223&gt;$C225,AA223&lt;ROUNDDOWN(($C225+($D225+$C226-1)/12),0)),(AA224/2+Z226)/($C226-$E226-12*(AA223-$C225-1))*12,IF(AND($D226&lt;0,AA223=ROUNDDOWN(($C225+($D225+$C226-1)/12),0)),Z226+AA224,IF(AA223=ROUNDDOWN(($C225+($D225+$C226-1)/12),0),(AA224+Z226)/$C226*($D226+(AA223-$C225-1)*12+$E226),IF(AA223&gt;ROUNDDOWN(($C225+($D225+$C226)/12),0),0,0)))))))</f>
        <v/>
      </c>
      <c r="AB225" s="114" t="str">
        <f t="shared" ref="AB225" ca="1" si="1186">IF(AB223="","",IF(AB223&lt;$C225,0,IF(AB223=$C225,AB224/$C226*$E226+AA226/$C226*$E226,IF(AND(AB223&gt;$C225,AB223&lt;ROUNDDOWN(($C225+($D225+$C226-1)/12),0)),(AB224/2+AA226)/($C226-$E226-12*(AB223-$C225-1))*12,IF(AND($D226&lt;0,AB223=ROUNDDOWN(($C225+($D225+$C226-1)/12),0)),AA226+AB224,IF(AB223=ROUNDDOWN(($C225+($D225+$C226-1)/12),0),(AB224+AA226)/$C226*($D226+(AB223-$C225-1)*12+$E226),IF(AB223&gt;ROUNDDOWN(($C225+($D225+$C226)/12),0),0,0)))))))</f>
        <v/>
      </c>
      <c r="AC225" s="114" t="str">
        <f t="shared" ref="AC225" ca="1" si="1187">IF(AC223="","",IF(AC223&lt;$C225,0,IF(AC223=$C225,AC224/$C226*$E226+AB226/$C226*$E226,IF(AND(AC223&gt;$C225,AC223&lt;ROUNDDOWN(($C225+($D225+$C226-1)/12),0)),(AC224/2+AB226)/($C226-$E226-12*(AC223-$C225-1))*12,IF(AND($D226&lt;0,AC223=ROUNDDOWN(($C225+($D225+$C226-1)/12),0)),AB226+AC224,IF(AC223=ROUNDDOWN(($C225+($D225+$C226-1)/12),0),(AC224+AB226)/$C226*($D226+(AC223-$C225-1)*12+$E226),IF(AC223&gt;ROUNDDOWN(($C225+($D225+$C226)/12),0),0,0)))))))</f>
        <v/>
      </c>
      <c r="AD225" s="114" t="str">
        <f t="shared" ref="AD225" ca="1" si="1188">IF(AD223="","",IF(AD223&lt;$C225,0,IF(AD223=$C225,AD224/$C226*$E226+AC226/$C226*$E226,IF(AND(AD223&gt;$C225,AD223&lt;ROUNDDOWN(($C225+($D225+$C226-1)/12),0)),(AD224/2+AC226)/($C226-$E226-12*(AD223-$C225-1))*12,IF(AND($D226&lt;0,AD223=ROUNDDOWN(($C225+($D225+$C226-1)/12),0)),AC226+AD224,IF(AD223=ROUNDDOWN(($C225+($D225+$C226-1)/12),0),(AD224+AC226)/$C226*($D226+(AD223-$C225-1)*12+$E226),IF(AD223&gt;ROUNDDOWN(($C225+($D225+$C226)/12),0),0,0)))))))</f>
        <v/>
      </c>
      <c r="AE225" s="114" t="str">
        <f t="shared" ref="AE225" ca="1" si="1189">IF(AE223="","",IF(AE223&lt;$C225,0,IF(AE223=$C225,AE224/$C226*$E226+AD226/$C226*$E226,IF(AND(AE223&gt;$C225,AE223&lt;ROUNDDOWN(($C225+($D225+$C226-1)/12),0)),(AE224/2+AD226)/($C226-$E226-12*(AE223-$C225-1))*12,IF(AND($D226&lt;0,AE223=ROUNDDOWN(($C225+($D225+$C226-1)/12),0)),AD226+AE224,IF(AE223=ROUNDDOWN(($C225+($D225+$C226-1)/12),0),(AE224+AD226)/$C226*($D226+(AE223-$C225-1)*12+$E226),IF(AE223&gt;ROUNDDOWN(($C225+($D225+$C226)/12),0),0,0)))))))</f>
        <v/>
      </c>
      <c r="AF225" s="114" t="str">
        <f t="shared" ref="AF225" ca="1" si="1190">IF(AF223="","",IF(AF223&lt;$C225,0,IF(AF223=$C225,AF224/$C226*$E226+AE226/$C226*$E226,IF(AND(AF223&gt;$C225,AF223&lt;ROUNDDOWN(($C225+($D225+$C226-1)/12),0)),(AF224/2+AE226)/($C226-$E226-12*(AF223-$C225-1))*12,IF(AND($D226&lt;0,AF223=ROUNDDOWN(($C225+($D225+$C226-1)/12),0)),AE226+AF224,IF(AF223=ROUNDDOWN(($C225+($D225+$C226-1)/12),0),(AF224+AE226)/$C226*($D226+(AF223-$C225-1)*12+$E226),IF(AF223&gt;ROUNDDOWN(($C225+($D225+$C226)/12),0),0,0)))))))</f>
        <v/>
      </c>
      <c r="AG225" s="114" t="str">
        <f t="shared" ref="AG225" ca="1" si="1191">IF(AG223="","",IF(AG223&lt;$C225,0,IF(AG223=$C225,AG224/$C226*$E226+AF226/$C226*$E226,IF(AND(AG223&gt;$C225,AG223&lt;ROUNDDOWN(($C225+($D225+$C226-1)/12),0)),(AG224/2+AF226)/($C226-$E226-12*(AG223-$C225-1))*12,IF(AND($D226&lt;0,AG223=ROUNDDOWN(($C225+($D225+$C226-1)/12),0)),AF226+AG224,IF(AG223=ROUNDDOWN(($C225+($D225+$C226-1)/12),0),(AG224+AF226)/$C226*($D226+(AG223-$C225-1)*12+$E226),IF(AG223&gt;ROUNDDOWN(($C225+($D225+$C226)/12),0),0,0)))))))</f>
        <v/>
      </c>
      <c r="AH225" s="114" t="str">
        <f t="shared" ref="AH225" ca="1" si="1192">IF(AH223="","",IF(AH223&lt;$C225,0,IF(AH223=$C225,AH224/$C226*$E226+AG226/$C226*$E226,IF(AND(AH223&gt;$C225,AH223&lt;ROUNDDOWN(($C225+($D225+$C226-1)/12),0)),(AH224/2+AG226)/($C226-$E226-12*(AH223-$C225-1))*12,IF(AND($D226&lt;0,AH223=ROUNDDOWN(($C225+($D225+$C226-1)/12),0)),AG226+AH224,IF(AH223=ROUNDDOWN(($C225+($D225+$C226-1)/12),0),(AH224+AG226)/$C226*($D226+(AH223-$C225-1)*12+$E226),IF(AH223&gt;ROUNDDOWN(($C225+($D225+$C226)/12),0),0,0)))))))</f>
        <v/>
      </c>
      <c r="AI225" s="114" t="str">
        <f t="shared" ref="AI225" ca="1" si="1193">IF(AI223="","",IF(AI223&lt;$C225,0,IF(AI223=$C225,AI224/$C226*$E226+AH226/$C226*$E226,IF(AND(AI223&gt;$C225,AI223&lt;ROUNDDOWN(($C225+($D225+$C226-1)/12),0)),(AI224/2+AH226)/($C226-$E226-12*(AI223-$C225-1))*12,IF(AND($D226&lt;0,AI223=ROUNDDOWN(($C225+($D225+$C226-1)/12),0)),AH226+AI224,IF(AI223=ROUNDDOWN(($C225+($D225+$C226-1)/12),0),(AI224+AH226)/$C226*($D226+(AI223-$C225-1)*12+$E226),IF(AI223&gt;ROUNDDOWN(($C225+($D225+$C226)/12),0),0,0)))))))</f>
        <v/>
      </c>
      <c r="AJ225" s="114" t="str">
        <f t="shared" ref="AJ225" ca="1" si="1194">IF(AJ223="","",IF(AJ223&lt;$C225,0,IF(AJ223=$C225,AJ224/$C226*$E226+AI226/$C226*$E226,IF(AND(AJ223&gt;$C225,AJ223&lt;ROUNDDOWN(($C225+($D225+$C226-1)/12),0)),(AJ224/2+AI226)/($C226-$E226-12*(AJ223-$C225-1))*12,IF(AND($D226&lt;0,AJ223=ROUNDDOWN(($C225+($D225+$C226-1)/12),0)),AI226+AJ224,IF(AJ223=ROUNDDOWN(($C225+($D225+$C226-1)/12),0),(AJ224+AI226)/$C226*($D226+(AJ223-$C225-1)*12+$E226),IF(AJ223&gt;ROUNDDOWN(($C225+($D225+$C226)/12),0),0,0)))))))</f>
        <v/>
      </c>
      <c r="AK225" s="114" t="str">
        <f t="shared" ref="AK225" ca="1" si="1195">IF(AK223="","",IF(AK223&lt;$C225,0,IF(AK223=$C225,AK224/$C226*$E226+AJ226/$C226*$E226,IF(AND(AK223&gt;$C225,AK223&lt;ROUNDDOWN(($C225+($D225+$C226-1)/12),0)),(AK224/2+AJ226)/($C226-$E226-12*(AK223-$C225-1))*12,IF(AND($D226&lt;0,AK223=ROUNDDOWN(($C225+($D225+$C226-1)/12),0)),AJ226+AK224,IF(AK223=ROUNDDOWN(($C225+($D225+$C226-1)/12),0),(AK224+AJ226)/$C226*($D226+(AK223-$C225-1)*12+$E226),IF(AK223&gt;ROUNDDOWN(($C225+($D225+$C226)/12),0),0,0)))))))</f>
        <v/>
      </c>
      <c r="AL225" s="114" t="str">
        <f t="shared" ref="AL225" ca="1" si="1196">IF(AL223="","",IF(AL223&lt;$C225,0,IF(AL223=$C225,AL224/$C226*$E226+AK226/$C226*$E226,IF(AND(AL223&gt;$C225,AL223&lt;ROUNDDOWN(($C225+($D225+$C226-1)/12),0)),(AL224/2+AK226)/($C226-$E226-12*(AL223-$C225-1))*12,IF(AND($D226&lt;0,AL223=ROUNDDOWN(($C225+($D225+$C226-1)/12),0)),AK226+AL224,IF(AL223=ROUNDDOWN(($C225+($D225+$C226-1)/12),0),(AL224+AK226)/$C226*($D226+(AL223-$C225-1)*12+$E226),IF(AL223&gt;ROUNDDOWN(($C225+($D225+$C226)/12),0),0,0)))))))</f>
        <v/>
      </c>
      <c r="AM225" s="114" t="str">
        <f t="shared" ref="AM225" ca="1" si="1197">IF(AM223="","",IF(AM223&lt;$C225,0,IF(AM223=$C225,AM224/$C226*$E226+AL226/$C226*$E226,IF(AND(AM223&gt;$C225,AM223&lt;ROUNDDOWN(($C225+($D225+$C226-1)/12),0)),(AM224/2+AL226)/($C226-$E226-12*(AM223-$C225-1))*12,IF(AND($D226&lt;0,AM223=ROUNDDOWN(($C225+($D225+$C226-1)/12),0)),AL226+AM224,IF(AM223=ROUNDDOWN(($C225+($D225+$C226-1)/12),0),(AM224+AL226)/$C226*($D226+(AM223-$C225-1)*12+$E226),IF(AM223&gt;ROUNDDOWN(($C225+($D225+$C226)/12),0),0,0)))))))</f>
        <v/>
      </c>
      <c r="AN225" s="114" t="str">
        <f t="shared" ref="AN225" ca="1" si="1198">IF(AN223="","",IF(AN223&lt;$C225,0,IF(AN223=$C225,AN224/$C226*$E226+AM226/$C226*$E226,IF(AND(AN223&gt;$C225,AN223&lt;ROUNDDOWN(($C225+($D225+$C226-1)/12),0)),(AN224/2+AM226)/($C226-$E226-12*(AN223-$C225-1))*12,IF(AND($D226&lt;0,AN223=ROUNDDOWN(($C225+($D225+$C226-1)/12),0)),AM226+AN224,IF(AN223=ROUNDDOWN(($C225+($D225+$C226-1)/12),0),(AN224+AM226)/$C226*($D226+(AN223-$C225-1)*12+$E226),IF(AN223&gt;ROUNDDOWN(($C225+($D225+$C226)/12),0),0,0)))))))</f>
        <v/>
      </c>
      <c r="AO225" s="114" t="str">
        <f t="shared" ref="AO225" ca="1" si="1199">IF(AO223="","",IF(AO223&lt;$C225,0,IF(AO223=$C225,AO224/$C226*$E226+AN226/$C226*$E226,IF(AND(AO223&gt;$C225,AO223&lt;ROUNDDOWN(($C225+($D225+$C226-1)/12),0)),(AO224/2+AN226)/($C226-$E226-12*(AO223-$C225-1))*12,IF(AND($D226&lt;0,AO223=ROUNDDOWN(($C225+($D225+$C226-1)/12),0)),AN226+AO224,IF(AO223=ROUNDDOWN(($C225+($D225+$C226-1)/12),0),(AO224+AN226)/$C226*($D226+(AO223-$C225-1)*12+$E226),IF(AO223&gt;ROUNDDOWN(($C225+($D225+$C226)/12),0),0,0)))))))</f>
        <v/>
      </c>
      <c r="AP225" s="114" t="str">
        <f t="shared" ref="AP225" ca="1" si="1200">IF(AP223="","",IF(AP223&lt;$C225,0,IF(AP223=$C225,AP224/$C226*$E226+AO226/$C226*$E226,IF(AND(AP223&gt;$C225,AP223&lt;ROUNDDOWN(($C225+($D225+$C226-1)/12),0)),(AP224/2+AO226)/($C226-$E226-12*(AP223-$C225-1))*12,IF(AND($D226&lt;0,AP223=ROUNDDOWN(($C225+($D225+$C226-1)/12),0)),AO226+AP224,IF(AP223=ROUNDDOWN(($C225+($D225+$C226-1)/12),0),(AP224+AO226)/$C226*($D226+(AP223-$C225-1)*12+$E226),IF(AP223&gt;ROUNDDOWN(($C225+($D225+$C226)/12),0),0,0)))))))</f>
        <v/>
      </c>
      <c r="AQ225" s="114" t="str">
        <f t="shared" ref="AQ225" ca="1" si="1201">IF(AQ223="","",IF(AQ223&lt;$C225,0,IF(AQ223=$C225,AQ224/$C226*$E226+AP226/$C226*$E226,IF(AND(AQ223&gt;$C225,AQ223&lt;ROUNDDOWN(($C225+($D225+$C226-1)/12),0)),(AQ224/2+AP226)/($C226-$E226-12*(AQ223-$C225-1))*12,IF(AND($D226&lt;0,AQ223=ROUNDDOWN(($C225+($D225+$C226-1)/12),0)),AP226+AQ224,IF(AQ223=ROUNDDOWN(($C225+($D225+$C226-1)/12),0),(AQ224+AP226)/$C226*($D226+(AQ223-$C225-1)*12+$E226),IF(AQ223&gt;ROUNDDOWN(($C225+($D225+$C226)/12),0),0,0)))))))</f>
        <v/>
      </c>
      <c r="AR225" s="114" t="str">
        <f t="shared" ref="AR225" ca="1" si="1202">IF(AR223="","",IF(AR223&lt;$C225,0,IF(AR223=$C225,AR224/$C226*$E226+AQ226/$C226*$E226,IF(AND(AR223&gt;$C225,AR223&lt;ROUNDDOWN(($C225+($D225+$C226-1)/12),0)),(AR224/2+AQ226)/($C226-$E226-12*(AR223-$C225-1))*12,IF(AND($D226&lt;0,AR223=ROUNDDOWN(($C225+($D225+$C226-1)/12),0)),AQ226+AR224,IF(AR223=ROUNDDOWN(($C225+($D225+$C226-1)/12),0),(AR224+AQ226)/$C226*($D226+(AR223-$C225-1)*12+$E226),IF(AR223&gt;ROUNDDOWN(($C225+($D225+$C226)/12),0),0,0)))))))</f>
        <v/>
      </c>
      <c r="AS225" s="114" t="str">
        <f t="shared" ref="AS225" ca="1" si="1203">IF(AS223="","",IF(AS223&lt;$C225,0,IF(AS223=$C225,AS224/$C226*$E226+AR226/$C226*$E226,IF(AND(AS223&gt;$C225,AS223&lt;ROUNDDOWN(($C225+($D225+$C226-1)/12),0)),(AS224/2+AR226)/($C226-$E226-12*(AS223-$C225-1))*12,IF(AND($D226&lt;0,AS223=ROUNDDOWN(($C225+($D225+$C226-1)/12),0)),AR226+AS224,IF(AS223=ROUNDDOWN(($C225+($D225+$C226-1)/12),0),(AS224+AR226)/$C226*($D226+(AS223-$C225-1)*12+$E226),IF(AS223&gt;ROUNDDOWN(($C225+($D225+$C226)/12),0),0,0)))))))</f>
        <v/>
      </c>
      <c r="AT225" s="114" t="str">
        <f t="shared" ref="AT225" ca="1" si="1204">IF(AT223="","",IF(AT223&lt;$C225,0,IF(AT223=$C225,AT224/$C226*$E226+AS226/$C226*$E226,IF(AND(AT223&gt;$C225,AT223&lt;ROUNDDOWN(($C225+($D225+$C226-1)/12),0)),(AT224/2+AS226)/($C226-$E226-12*(AT223-$C225-1))*12,IF(AND($D226&lt;0,AT223=ROUNDDOWN(($C225+($D225+$C226-1)/12),0)),AS226+AT224,IF(AT223=ROUNDDOWN(($C225+($D225+$C226-1)/12),0),(AT224+AS226)/$C226*($D226+(AT223-$C225-1)*12+$E226),IF(AT223&gt;ROUNDDOWN(($C225+($D225+$C226)/12),0),0,0)))))))</f>
        <v/>
      </c>
      <c r="AU225" s="114" t="str">
        <f t="shared" ref="AU225" ca="1" si="1205">IF(AU223="","",IF(AU223&lt;$C225,0,IF(AU223=$C225,AU224/$C226*$E226+AT226/$C226*$E226,IF(AND(AU223&gt;$C225,AU223&lt;ROUNDDOWN(($C225+($D225+$C226-1)/12),0)),(AU224/2+AT226)/($C226-$E226-12*(AU223-$C225-1))*12,IF(AND($D226&lt;0,AU223=ROUNDDOWN(($C225+($D225+$C226-1)/12),0)),AT226+AU224,IF(AU223=ROUNDDOWN(($C225+($D225+$C226-1)/12),0),(AU224+AT226)/$C226*($D226+(AU223-$C225-1)*12+$E226),IF(AU223&gt;ROUNDDOWN(($C225+($D225+$C226)/12),0),0,0)))))))</f>
        <v/>
      </c>
      <c r="AV225" s="114" t="str">
        <f t="shared" ref="AV225" ca="1" si="1206">IF(AV223="","",IF(AV223&lt;$C225,0,IF(AV223=$C225,AV224/$C226*$E226+AU226/$C226*$E226,IF(AND(AV223&gt;$C225,AV223&lt;ROUNDDOWN(($C225+($D225+$C226-1)/12),0)),(AV224/2+AU226)/($C226-$E226-12*(AV223-$C225-1))*12,IF(AND($D226&lt;0,AV223=ROUNDDOWN(($C225+($D225+$C226-1)/12),0)),AU226+AV224,IF(AV223=ROUNDDOWN(($C225+($D225+$C226-1)/12),0),(AV224+AU226)/$C226*($D226+(AV223-$C225-1)*12+$E226),IF(AV223&gt;ROUNDDOWN(($C225+($D225+$C226)/12),0),0,0)))))))</f>
        <v/>
      </c>
      <c r="AW225" s="114" t="str">
        <f t="shared" ref="AW225" ca="1" si="1207">IF(AW223="","",IF(AW223&lt;$C225,0,IF(AW223=$C225,AW224/$C226*$E226+AV226/$C226*$E226,IF(AND(AW223&gt;$C225,AW223&lt;ROUNDDOWN(($C225+($D225+$C226-1)/12),0)),(AW224/2+AV226)/($C226-$E226-12*(AW223-$C225-1))*12,IF(AND($D226&lt;0,AW223=ROUNDDOWN(($C225+($D225+$C226-1)/12),0)),AV226+AW224,IF(AW223=ROUNDDOWN(($C225+($D225+$C226-1)/12),0),(AW224+AV226)/$C226*($D226+(AW223-$C225-1)*12+$E226),IF(AW223&gt;ROUNDDOWN(($C225+($D225+$C226)/12),0),0,0)))))))</f>
        <v/>
      </c>
      <c r="AX225" s="90"/>
      <c r="AY225" s="90"/>
      <c r="AZ225" s="87"/>
    </row>
    <row r="226" spans="3:52" ht="12.75" hidden="1" customHeight="1" outlineLevel="1" x14ac:dyDescent="0.2">
      <c r="C226" s="128">
        <f>ROUNDUP((E225-ROUNDDOWN(E225,0))*12,0)+ROUNDDOWN(E225,0)*12</f>
        <v>0</v>
      </c>
      <c r="D226" s="128">
        <f>C226-E226-ROUNDDOWN(E225,0)*12</f>
        <v>-12</v>
      </c>
      <c r="E226" s="128">
        <f>13-MONTH(C224)</f>
        <v>12</v>
      </c>
      <c r="N226" s="85"/>
      <c r="O226" s="90"/>
      <c r="P226" s="90"/>
      <c r="Q226" s="115" t="str">
        <f>INDEX(g_lang_val,MATCH("tb_2_4_3",g_lang_key,0))</f>
        <v>FF4-gæld, ultimo året</v>
      </c>
      <c r="R226" s="116"/>
      <c r="S226" s="119"/>
      <c r="T226" s="114">
        <f t="shared" ref="T226" ca="1" si="1208">IF(T223="","",S226+T224-T225)</f>
        <v>0</v>
      </c>
      <c r="U226" s="114">
        <f t="shared" ref="U226" ca="1" si="1209">IF(U223="","",T226+U224-U225)</f>
        <v>0</v>
      </c>
      <c r="V226" s="114">
        <f t="shared" ref="V226" ca="1" si="1210">IF(V223="","",U226+V224-V225)</f>
        <v>0</v>
      </c>
      <c r="W226" s="114">
        <f t="shared" ref="W226" ca="1" si="1211">IF(W223="","",V226+W224-W225)</f>
        <v>0</v>
      </c>
      <c r="X226" s="114" t="str">
        <f t="shared" ref="X226" ca="1" si="1212">IF(X223="","",W226+X224-X225)</f>
        <v/>
      </c>
      <c r="Y226" s="114" t="str">
        <f t="shared" ref="Y226" ca="1" si="1213">IF(Y223="","",X226+Y224-Y225)</f>
        <v/>
      </c>
      <c r="Z226" s="114" t="str">
        <f t="shared" ref="Z226" ca="1" si="1214">IF(Z223="","",Y226+Z224-Z225)</f>
        <v/>
      </c>
      <c r="AA226" s="114" t="str">
        <f t="shared" ref="AA226" ca="1" si="1215">IF(AA223="","",Z226+AA224-AA225)</f>
        <v/>
      </c>
      <c r="AB226" s="114" t="str">
        <f t="shared" ref="AB226" ca="1" si="1216">IF(AB223="","",AA226+AB224-AB225)</f>
        <v/>
      </c>
      <c r="AC226" s="114" t="str">
        <f t="shared" ref="AC226" ca="1" si="1217">IF(AC223="","",AB226+AC224-AC225)</f>
        <v/>
      </c>
      <c r="AD226" s="114" t="str">
        <f t="shared" ref="AD226" ca="1" si="1218">IF(AD223="","",AC226+AD224-AD225)</f>
        <v/>
      </c>
      <c r="AE226" s="114" t="str">
        <f t="shared" ref="AE226" ca="1" si="1219">IF(AE223="","",AD226+AE224-AE225)</f>
        <v/>
      </c>
      <c r="AF226" s="114" t="str">
        <f t="shared" ref="AF226" ca="1" si="1220">IF(AF223="","",AE226+AF224-AF225)</f>
        <v/>
      </c>
      <c r="AG226" s="114" t="str">
        <f t="shared" ref="AG226" ca="1" si="1221">IF(AG223="","",AF226+AG224-AG225)</f>
        <v/>
      </c>
      <c r="AH226" s="114" t="str">
        <f t="shared" ref="AH226" ca="1" si="1222">IF(AH223="","",AG226+AH224-AH225)</f>
        <v/>
      </c>
      <c r="AI226" s="114" t="str">
        <f t="shared" ref="AI226" ca="1" si="1223">IF(AI223="","",AH226+AI224-AI225)</f>
        <v/>
      </c>
      <c r="AJ226" s="114" t="str">
        <f t="shared" ref="AJ226" ca="1" si="1224">IF(AJ223="","",AI226+AJ224-AJ225)</f>
        <v/>
      </c>
      <c r="AK226" s="114" t="str">
        <f t="shared" ref="AK226" ca="1" si="1225">IF(AK223="","",AJ226+AK224-AK225)</f>
        <v/>
      </c>
      <c r="AL226" s="114" t="str">
        <f t="shared" ref="AL226" ca="1" si="1226">IF(AL223="","",AK226+AL224-AL225)</f>
        <v/>
      </c>
      <c r="AM226" s="114" t="str">
        <f t="shared" ref="AM226" ca="1" si="1227">IF(AM223="","",AL226+AM224-AM225)</f>
        <v/>
      </c>
      <c r="AN226" s="114" t="str">
        <f t="shared" ref="AN226" ca="1" si="1228">IF(AN223="","",AM226+AN224-AN225)</f>
        <v/>
      </c>
      <c r="AO226" s="114" t="str">
        <f t="shared" ref="AO226" ca="1" si="1229">IF(AO223="","",AN226+AO224-AO225)</f>
        <v/>
      </c>
      <c r="AP226" s="114" t="str">
        <f t="shared" ref="AP226" ca="1" si="1230">IF(AP223="","",AO226+AP224-AP225)</f>
        <v/>
      </c>
      <c r="AQ226" s="114" t="str">
        <f t="shared" ref="AQ226" ca="1" si="1231">IF(AQ223="","",AP226+AQ224-AQ225)</f>
        <v/>
      </c>
      <c r="AR226" s="114" t="str">
        <f t="shared" ref="AR226" ca="1" si="1232">IF(AR223="","",AQ226+AR224-AR225)</f>
        <v/>
      </c>
      <c r="AS226" s="114" t="str">
        <f t="shared" ref="AS226" ca="1" si="1233">IF(AS223="","",AR226+AS224-AS225)</f>
        <v/>
      </c>
      <c r="AT226" s="114" t="str">
        <f t="shared" ref="AT226" ca="1" si="1234">IF(AT223="","",AS226+AT224-AT225)</f>
        <v/>
      </c>
      <c r="AU226" s="114" t="str">
        <f t="shared" ref="AU226" ca="1" si="1235">IF(AU223="","",AT226+AU224-AU225)</f>
        <v/>
      </c>
      <c r="AV226" s="114" t="str">
        <f t="shared" ref="AV226" ca="1" si="1236">IF(AV223="","",AU226+AV224-AV225)</f>
        <v/>
      </c>
      <c r="AW226" s="114" t="str">
        <f t="shared" ref="AW226" ca="1" si="1237">IF(AW223="","",AV226+AW224-AW225)</f>
        <v/>
      </c>
      <c r="AX226" s="90"/>
      <c r="AY226" s="90"/>
      <c r="AZ226" s="87"/>
    </row>
    <row r="227" spans="3:52" ht="12.75" hidden="1" customHeight="1" outlineLevel="1" x14ac:dyDescent="0.2">
      <c r="N227" s="85"/>
      <c r="O227" s="90"/>
      <c r="P227" s="90"/>
      <c r="Q227" s="115" t="str">
        <f>INDEX(g_lang_val,MATCH("tb_2_4_4",g_lang_key,0))</f>
        <v>Renter (FF4)</v>
      </c>
      <c r="R227" s="116"/>
      <c r="S227" s="119">
        <f ca="1">SUM(T227:BG227)</f>
        <v>0</v>
      </c>
      <c r="T227" s="114">
        <f t="shared" ref="T227" ca="1" si="1238">IF(T223="","",g_interest_FF4*(S226+(T224/2)-(T225/2)))</f>
        <v>0</v>
      </c>
      <c r="U227" s="114">
        <f t="shared" ref="U227" ca="1" si="1239">IF(U223="","",g_interest_FF4*(T226+(U224/2)-(U225/2)))</f>
        <v>0</v>
      </c>
      <c r="V227" s="114">
        <f t="shared" ref="V227" ca="1" si="1240">IF(V223="","",g_interest_FF4*(U226+(V224/2)-(V225/2)))</f>
        <v>0</v>
      </c>
      <c r="W227" s="114">
        <f t="shared" ref="W227" ca="1" si="1241">IF(W223="","",g_interest_FF4*(V226+(W224/2)-(W225/2)))</f>
        <v>0</v>
      </c>
      <c r="X227" s="114" t="str">
        <f t="shared" ref="X227" ca="1" si="1242">IF(X223="","",g_interest_FF4*(W226+(X224/2)-(X225/2)))</f>
        <v/>
      </c>
      <c r="Y227" s="114" t="str">
        <f t="shared" ref="Y227" ca="1" si="1243">IF(Y223="","",g_interest_FF4*(X226+(Y224/2)-(Y225/2)))</f>
        <v/>
      </c>
      <c r="Z227" s="114" t="str">
        <f t="shared" ref="Z227" ca="1" si="1244">IF(Z223="","",g_interest_FF4*(Y226+(Z224/2)-(Z225/2)))</f>
        <v/>
      </c>
      <c r="AA227" s="114" t="str">
        <f t="shared" ref="AA227" ca="1" si="1245">IF(AA223="","",g_interest_FF4*(Z226+(AA224/2)-(AA225/2)))</f>
        <v/>
      </c>
      <c r="AB227" s="114" t="str">
        <f t="shared" ref="AB227" ca="1" si="1246">IF(AB223="","",g_interest_FF4*(AA226+(AB224/2)-(AB225/2)))</f>
        <v/>
      </c>
      <c r="AC227" s="114" t="str">
        <f t="shared" ref="AC227" ca="1" si="1247">IF(AC223="","",g_interest_FF4*(AB226+(AC224/2)-(AC225/2)))</f>
        <v/>
      </c>
      <c r="AD227" s="114" t="str">
        <f t="shared" ref="AD227" ca="1" si="1248">IF(AD223="","",g_interest_FF4*(AC226+(AD224/2)-(AD225/2)))</f>
        <v/>
      </c>
      <c r="AE227" s="114" t="str">
        <f t="shared" ref="AE227" ca="1" si="1249">IF(AE223="","",g_interest_FF4*(AD226+(AE224/2)-(AE225/2)))</f>
        <v/>
      </c>
      <c r="AF227" s="114" t="str">
        <f t="shared" ref="AF227" ca="1" si="1250">IF(AF223="","",g_interest_FF4*(AE226+(AF224/2)-(AF225/2)))</f>
        <v/>
      </c>
      <c r="AG227" s="114" t="str">
        <f t="shared" ref="AG227" ca="1" si="1251">IF(AG223="","",g_interest_FF4*(AF226+(AG224/2)-(AG225/2)))</f>
        <v/>
      </c>
      <c r="AH227" s="114" t="str">
        <f t="shared" ref="AH227" ca="1" si="1252">IF(AH223="","",g_interest_FF4*(AG226+(AH224/2)-(AH225/2)))</f>
        <v/>
      </c>
      <c r="AI227" s="114" t="str">
        <f t="shared" ref="AI227" ca="1" si="1253">IF(AI223="","",g_interest_FF4*(AH226+(AI224/2)-(AI225/2)))</f>
        <v/>
      </c>
      <c r="AJ227" s="114" t="str">
        <f t="shared" ref="AJ227" ca="1" si="1254">IF(AJ223="","",g_interest_FF4*(AI226+(AJ224/2)-(AJ225/2)))</f>
        <v/>
      </c>
      <c r="AK227" s="114" t="str">
        <f t="shared" ref="AK227" ca="1" si="1255">IF(AK223="","",g_interest_FF4*(AJ226+(AK224/2)-(AK225/2)))</f>
        <v/>
      </c>
      <c r="AL227" s="114" t="str">
        <f t="shared" ref="AL227" ca="1" si="1256">IF(AL223="","",g_interest_FF4*(AK226+(AL224/2)-(AL225/2)))</f>
        <v/>
      </c>
      <c r="AM227" s="114" t="str">
        <f t="shared" ref="AM227" ca="1" si="1257">IF(AM223="","",g_interest_FF4*(AL226+(AM224/2)-(AM225/2)))</f>
        <v/>
      </c>
      <c r="AN227" s="114" t="str">
        <f t="shared" ref="AN227" ca="1" si="1258">IF(AN223="","",g_interest_FF4*(AM226+(AN224/2)-(AN225/2)))</f>
        <v/>
      </c>
      <c r="AO227" s="114" t="str">
        <f t="shared" ref="AO227" ca="1" si="1259">IF(AO223="","",g_interest_FF4*(AN226+(AO224/2)-(AO225/2)))</f>
        <v/>
      </c>
      <c r="AP227" s="114" t="str">
        <f t="shared" ref="AP227" ca="1" si="1260">IF(AP223="","",g_interest_FF4*(AO226+(AP224/2)-(AP225/2)))</f>
        <v/>
      </c>
      <c r="AQ227" s="114" t="str">
        <f t="shared" ref="AQ227" ca="1" si="1261">IF(AQ223="","",g_interest_FF4*(AP226+(AQ224/2)-(AQ225/2)))</f>
        <v/>
      </c>
      <c r="AR227" s="114" t="str">
        <f t="shared" ref="AR227" ca="1" si="1262">IF(AR223="","",g_interest_FF4*(AQ226+(AR224/2)-(AR225/2)))</f>
        <v/>
      </c>
      <c r="AS227" s="114" t="str">
        <f t="shared" ref="AS227" ca="1" si="1263">IF(AS223="","",g_interest_FF4*(AR226+(AS224/2)-(AS225/2)))</f>
        <v/>
      </c>
      <c r="AT227" s="114" t="str">
        <f t="shared" ref="AT227" ca="1" si="1264">IF(AT223="","",g_interest_FF4*(AS226+(AT224/2)-(AT225/2)))</f>
        <v/>
      </c>
      <c r="AU227" s="114" t="str">
        <f t="shared" ref="AU227" ca="1" si="1265">IF(AU223="","",g_interest_FF4*(AT226+(AU224/2)-(AU225/2)))</f>
        <v/>
      </c>
      <c r="AV227" s="114" t="str">
        <f t="shared" ref="AV227" ca="1" si="1266">IF(AV223="","",g_interest_FF4*(AU226+(AV224/2)-(AV225/2)))</f>
        <v/>
      </c>
      <c r="AW227" s="114" t="str">
        <f t="shared" ref="AW227" ca="1" si="1267">IF(AW223="","",g_interest_FF4*(AV226+(AW224/2)-(AW225/2)))</f>
        <v/>
      </c>
      <c r="AX227" s="90"/>
      <c r="AY227" s="90"/>
      <c r="AZ227" s="87"/>
    </row>
    <row r="228" spans="3:52" ht="12.75" hidden="1" customHeight="1" outlineLevel="1" x14ac:dyDescent="0.2">
      <c r="N228" s="85"/>
      <c r="O228" s="90"/>
      <c r="P228" s="90"/>
      <c r="Q228" s="118" t="str">
        <f>INDEX(g_assets_sc_1,17)</f>
        <v/>
      </c>
      <c r="R228" s="118"/>
      <c r="S228" s="113"/>
      <c r="T228" s="125">
        <f ca="1">T$157</f>
        <v>2026</v>
      </c>
      <c r="U228" s="125">
        <f t="shared" ref="U228:AW228" ca="1" si="1268">U$157</f>
        <v>2027</v>
      </c>
      <c r="V228" s="125">
        <f t="shared" ca="1" si="1268"/>
        <v>2028</v>
      </c>
      <c r="W228" s="125">
        <f t="shared" ca="1" si="1268"/>
        <v>2029</v>
      </c>
      <c r="X228" s="125" t="str">
        <f t="shared" ca="1" si="1268"/>
        <v/>
      </c>
      <c r="Y228" s="125" t="str">
        <f t="shared" ca="1" si="1268"/>
        <v/>
      </c>
      <c r="Z228" s="125" t="str">
        <f t="shared" ca="1" si="1268"/>
        <v/>
      </c>
      <c r="AA228" s="125" t="str">
        <f t="shared" ca="1" si="1268"/>
        <v/>
      </c>
      <c r="AB228" s="125" t="str">
        <f t="shared" ca="1" si="1268"/>
        <v/>
      </c>
      <c r="AC228" s="125" t="str">
        <f t="shared" ca="1" si="1268"/>
        <v/>
      </c>
      <c r="AD228" s="125" t="str">
        <f t="shared" ca="1" si="1268"/>
        <v/>
      </c>
      <c r="AE228" s="125" t="str">
        <f t="shared" ca="1" si="1268"/>
        <v/>
      </c>
      <c r="AF228" s="125" t="str">
        <f t="shared" ca="1" si="1268"/>
        <v/>
      </c>
      <c r="AG228" s="125" t="str">
        <f t="shared" ca="1" si="1268"/>
        <v/>
      </c>
      <c r="AH228" s="125" t="str">
        <f t="shared" ca="1" si="1268"/>
        <v/>
      </c>
      <c r="AI228" s="125" t="str">
        <f t="shared" ca="1" si="1268"/>
        <v/>
      </c>
      <c r="AJ228" s="125" t="str">
        <f t="shared" ca="1" si="1268"/>
        <v/>
      </c>
      <c r="AK228" s="125" t="str">
        <f t="shared" ca="1" si="1268"/>
        <v/>
      </c>
      <c r="AL228" s="125" t="str">
        <f t="shared" ca="1" si="1268"/>
        <v/>
      </c>
      <c r="AM228" s="125" t="str">
        <f t="shared" ca="1" si="1268"/>
        <v/>
      </c>
      <c r="AN228" s="125" t="str">
        <f t="shared" ca="1" si="1268"/>
        <v/>
      </c>
      <c r="AO228" s="125" t="str">
        <f t="shared" ca="1" si="1268"/>
        <v/>
      </c>
      <c r="AP228" s="125" t="str">
        <f t="shared" ca="1" si="1268"/>
        <v/>
      </c>
      <c r="AQ228" s="125" t="str">
        <f t="shared" ca="1" si="1268"/>
        <v/>
      </c>
      <c r="AR228" s="125" t="str">
        <f t="shared" ca="1" si="1268"/>
        <v/>
      </c>
      <c r="AS228" s="125" t="str">
        <f t="shared" ca="1" si="1268"/>
        <v/>
      </c>
      <c r="AT228" s="125" t="str">
        <f t="shared" ca="1" si="1268"/>
        <v/>
      </c>
      <c r="AU228" s="125" t="str">
        <f t="shared" ca="1" si="1268"/>
        <v/>
      </c>
      <c r="AV228" s="125" t="str">
        <f t="shared" ca="1" si="1268"/>
        <v/>
      </c>
      <c r="AW228" s="125" t="str">
        <f t="shared" ca="1" si="1268"/>
        <v/>
      </c>
      <c r="AX228" s="90"/>
      <c r="AY228" s="90"/>
      <c r="AZ228" s="87"/>
    </row>
    <row r="229" spans="3:52" ht="12.75" hidden="1" customHeight="1" outlineLevel="1" x14ac:dyDescent="0.2">
      <c r="C229" s="126">
        <f>INDEX(g_sc_1_assets_dates,G229)</f>
        <v>0</v>
      </c>
      <c r="G229" s="127">
        <v>15</v>
      </c>
      <c r="N229" s="85"/>
      <c r="O229" s="90"/>
      <c r="P229" s="90"/>
      <c r="Q229" s="115" t="str">
        <f>INDEX(g_lang_val,MATCH("tb_2_4_1",g_lang_key,0))</f>
        <v>Køb af anlægsaktiver</v>
      </c>
      <c r="R229" s="116"/>
      <c r="S229" s="119">
        <f ca="1">SUM(T229:BG229)</f>
        <v>0</v>
      </c>
      <c r="T229" s="114">
        <f ca="1">IF(T228="","",SUMPRODUCT(--(Leverancer!$C$28:$C$88=($G229+2)),Leverancer!D$28:D$88)/1000)</f>
        <v>0</v>
      </c>
      <c r="U229" s="114">
        <f ca="1">IF(U228="","",SUMPRODUCT(--(Leverancer!$C$28:$C$88=($G229+2)),Leverancer!E$28:E$88)/1000)</f>
        <v>0</v>
      </c>
      <c r="V229" s="114">
        <f ca="1">IF(V228="","",SUMPRODUCT(--(Leverancer!$C$28:$C$88=($G229+2)),Leverancer!F$28:F$88)/1000)</f>
        <v>0</v>
      </c>
      <c r="W229" s="114">
        <f ca="1">IF(W228="","",SUMPRODUCT(--(Leverancer!$C$28:$C$88=($G229+2)),Leverancer!G$28:G$88)/1000)</f>
        <v>0</v>
      </c>
      <c r="X229" s="114" t="str">
        <f ca="1">IF(X228="","",SUMPRODUCT(--(Leverancer!$C$28:$C$88=($G229+2)),Leverancer!H$28:H$88)/1000)</f>
        <v/>
      </c>
      <c r="Y229" s="114" t="str">
        <f ca="1">IF(Y228="","",SUMPRODUCT(--(Leverancer!$C$28:$C$88=($G229+2)),Leverancer!I$28:I$88)/1000)</f>
        <v/>
      </c>
      <c r="Z229" s="114" t="str">
        <f ca="1">IF(Z228="","",SUMPRODUCT(--(Leverancer!$C$28:$C$88=($G229+2)),Leverancer!J$28:J$88)/1000)</f>
        <v/>
      </c>
      <c r="AA229" s="114" t="str">
        <f ca="1">IF(AA228="","",SUMPRODUCT(--(Leverancer!$C$28:$C$88=($G229+2)),Leverancer!K$28:K$88)/1000)</f>
        <v/>
      </c>
      <c r="AB229" s="114" t="str">
        <f ca="1">IF(AB228="","",SUMPRODUCT(--(Leverancer!$C$28:$C$88=($G229+2)),Leverancer!L$28:L$88)/1000)</f>
        <v/>
      </c>
      <c r="AC229" s="114" t="str">
        <f ca="1">IF(AC228="","",SUMPRODUCT(--(Leverancer!$C$28:$C$88=($G229+2)),Leverancer!M$28:M$88)/1000)</f>
        <v/>
      </c>
      <c r="AD229" s="114" t="str">
        <f ca="1">IF(AD228="","",SUMPRODUCT(--(Leverancer!$C$28:$C$88=($G229+2)),Leverancer!N$28:N$88)/1000)</f>
        <v/>
      </c>
      <c r="AE229" s="114" t="str">
        <f ca="1">IF(AE228="","",SUMPRODUCT(--(Leverancer!$C$28:$C$88=($G229+2)),Leverancer!O$28:O$88)/1000)</f>
        <v/>
      </c>
      <c r="AF229" s="114" t="str">
        <f ca="1">IF(AF228="","",SUMPRODUCT(--(Leverancer!$C$28:$C$88=($G229+2)),Leverancer!P$28:P$88)/1000)</f>
        <v/>
      </c>
      <c r="AG229" s="114" t="str">
        <f ca="1">IF(AG228="","",SUMPRODUCT(--(Leverancer!$C$28:$C$88=($G229+2)),Leverancer!Q$28:Q$88)/1000)</f>
        <v/>
      </c>
      <c r="AH229" s="114" t="str">
        <f ca="1">IF(AH228="","",SUMPRODUCT(--(Leverancer!$C$28:$C$88=($G229+2)),Leverancer!R$28:R$88)/1000)</f>
        <v/>
      </c>
      <c r="AI229" s="114" t="str">
        <f ca="1">IF(AI228="","",SUMPRODUCT(--(Leverancer!$C$28:$C$88=($G229+2)),Leverancer!S$28:S$88)/1000)</f>
        <v/>
      </c>
      <c r="AJ229" s="114" t="str">
        <f ca="1">IF(AJ228="","",SUMPRODUCT(--(Leverancer!$C$28:$C$88=($G229+2)),Leverancer!T$28:T$88)/1000)</f>
        <v/>
      </c>
      <c r="AK229" s="114" t="str">
        <f ca="1">IF(AK228="","",SUMPRODUCT(--(Leverancer!$C$28:$C$88=($G229+2)),Leverancer!U$28:U$88)/1000)</f>
        <v/>
      </c>
      <c r="AL229" s="114" t="str">
        <f ca="1">IF(AL228="","",SUMPRODUCT(--(Leverancer!$C$28:$C$88=($G229+2)),Leverancer!V$28:V$88)/1000)</f>
        <v/>
      </c>
      <c r="AM229" s="114" t="str">
        <f ca="1">IF(AM228="","",SUMPRODUCT(--(Leverancer!$C$28:$C$88=($G229+2)),Leverancer!W$28:W$88)/1000)</f>
        <v/>
      </c>
      <c r="AN229" s="114" t="str">
        <f ca="1">IF(AN228="","",SUMPRODUCT(--(Leverancer!$C$28:$C$88=($G229+2)),Leverancer!X$28:X$88)/1000)</f>
        <v/>
      </c>
      <c r="AO229" s="114" t="str">
        <f ca="1">IF(AO228="","",SUMPRODUCT(--(Leverancer!$C$28:$C$88=($G229+2)),Leverancer!Y$28:Y$88)/1000)</f>
        <v/>
      </c>
      <c r="AP229" s="114" t="str">
        <f ca="1">IF(AP228="","",SUMPRODUCT(--(Leverancer!$C$28:$C$88=($G229+2)),Leverancer!Z$28:Z$88)/1000)</f>
        <v/>
      </c>
      <c r="AQ229" s="114" t="str">
        <f ca="1">IF(AQ228="","",SUMPRODUCT(--(Leverancer!$C$28:$C$88=($G229+2)),Leverancer!AA$28:AA$88)/1000)</f>
        <v/>
      </c>
      <c r="AR229" s="114" t="str">
        <f ca="1">IF(AR228="","",SUMPRODUCT(--(Leverancer!$C$28:$C$88=($G229+2)),Leverancer!AB$28:AB$88)/1000)</f>
        <v/>
      </c>
      <c r="AS229" s="114" t="str">
        <f ca="1">IF(AS228="","",SUMPRODUCT(--(Leverancer!$C$28:$C$88=($G229+2)),Leverancer!AC$28:AC$88)/1000)</f>
        <v/>
      </c>
      <c r="AT229" s="114" t="str">
        <f ca="1">IF(AT228="","",SUMPRODUCT(--(Leverancer!$C$28:$C$88=($G229+2)),Leverancer!AD$28:AD$88)/1000)</f>
        <v/>
      </c>
      <c r="AU229" s="114" t="str">
        <f ca="1">IF(AU228="","",SUMPRODUCT(--(Leverancer!$C$28:$C$88=($G229+2)),Leverancer!AE$28:AE$88)/1000)</f>
        <v/>
      </c>
      <c r="AV229" s="114" t="str">
        <f ca="1">IF(AV228="","",SUMPRODUCT(--(Leverancer!$C$28:$C$88=($G229+2)),Leverancer!AF$28:AF$88)/1000)</f>
        <v/>
      </c>
      <c r="AW229" s="114" t="str">
        <f ca="1">IF(AW228="","",SUMPRODUCT(--(Leverancer!$C$28:$C$88=($G229+2)),Leverancer!AG$28:AG$88)/1000)</f>
        <v/>
      </c>
      <c r="AX229" s="114"/>
      <c r="AY229" s="90"/>
      <c r="AZ229" s="87"/>
    </row>
    <row r="230" spans="3:52" ht="12.75" hidden="1" customHeight="1" outlineLevel="1" x14ac:dyDescent="0.2">
      <c r="C230" s="128">
        <f>IFERROR(YEAR(C229),"")</f>
        <v>1900</v>
      </c>
      <c r="D230" s="128">
        <f>IFERROR(MONTH(C229),"")</f>
        <v>1</v>
      </c>
      <c r="E230" s="128">
        <f>INDEX(g_sc_1_assets_years,G229)</f>
        <v>0</v>
      </c>
      <c r="N230" s="85"/>
      <c r="O230" s="90"/>
      <c r="P230" s="90"/>
      <c r="Q230" s="115" t="str">
        <f>INDEX(g_lang_val,MATCH("tb_2_4_2",g_lang_key,0))</f>
        <v>Afskrivninger</v>
      </c>
      <c r="R230" s="116"/>
      <c r="S230" s="119">
        <f ca="1">SUM(T230:BG230)</f>
        <v>0</v>
      </c>
      <c r="T230" s="114">
        <f t="shared" ref="T230" ca="1" si="1269">IF(T228="","",IF(T228&lt;$C230,0,IF(T228=$C230,T229/$C231*$E231+S231/$C231*$E231,IF(AND(T228&gt;$C230,T228&lt;ROUNDDOWN(($C230+($D230+$C231-1)/12),0)),(T229/2+S231)/($C231-$E231-12*(T228-$C230-1))*12,IF(AND($D231&lt;0,T228=ROUNDDOWN(($C230+($D230+$C231-1)/12),0)),S231+T229,IF(T228=ROUNDDOWN(($C230+($D230+$C231-1)/12),0),(T229+S231)/$C231*($D231+(T228-$C230-1)*12+$E231),IF(T228&gt;ROUNDDOWN(($C230+($D230+$C231)/12),0),0,0)))))))</f>
        <v>0</v>
      </c>
      <c r="U230" s="114">
        <f t="shared" ref="U230" ca="1" si="1270">IF(U228="","",IF(U228&lt;$C230,0,IF(U228=$C230,U229/$C231*$E231+T231/$C231*$E231,IF(AND(U228&gt;$C230,U228&lt;ROUNDDOWN(($C230+($D230+$C231-1)/12),0)),(U229/2+T231)/($C231-$E231-12*(U228-$C230-1))*12,IF(AND($D231&lt;0,U228=ROUNDDOWN(($C230+($D230+$C231-1)/12),0)),T231+U229,IF(U228=ROUNDDOWN(($C230+($D230+$C231-1)/12),0),(U229+T231)/$C231*($D231+(U228-$C230-1)*12+$E231),IF(U228&gt;ROUNDDOWN(($C230+($D230+$C231)/12),0),0,0)))))))</f>
        <v>0</v>
      </c>
      <c r="V230" s="114">
        <f t="shared" ref="V230" ca="1" si="1271">IF(V228="","",IF(V228&lt;$C230,0,IF(V228=$C230,V229/$C231*$E231+U231/$C231*$E231,IF(AND(V228&gt;$C230,V228&lt;ROUNDDOWN(($C230+($D230+$C231-1)/12),0)),(V229/2+U231)/($C231-$E231-12*(V228-$C230-1))*12,IF(AND($D231&lt;0,V228=ROUNDDOWN(($C230+($D230+$C231-1)/12),0)),U231+V229,IF(V228=ROUNDDOWN(($C230+($D230+$C231-1)/12),0),(V229+U231)/$C231*($D231+(V228-$C230-1)*12+$E231),IF(V228&gt;ROUNDDOWN(($C230+($D230+$C231)/12),0),0,0)))))))</f>
        <v>0</v>
      </c>
      <c r="W230" s="114">
        <f t="shared" ref="W230" ca="1" si="1272">IF(W228="","",IF(W228&lt;$C230,0,IF(W228=$C230,W229/$C231*$E231+V231/$C231*$E231,IF(AND(W228&gt;$C230,W228&lt;ROUNDDOWN(($C230+($D230+$C231-1)/12),0)),(W229/2+V231)/($C231-$E231-12*(W228-$C230-1))*12,IF(AND($D231&lt;0,W228=ROUNDDOWN(($C230+($D230+$C231-1)/12),0)),V231+W229,IF(W228=ROUNDDOWN(($C230+($D230+$C231-1)/12),0),(W229+V231)/$C231*($D231+(W228-$C230-1)*12+$E231),IF(W228&gt;ROUNDDOWN(($C230+($D230+$C231)/12),0),0,0)))))))</f>
        <v>0</v>
      </c>
      <c r="X230" s="114" t="str">
        <f t="shared" ref="X230" ca="1" si="1273">IF(X228="","",IF(X228&lt;$C230,0,IF(X228=$C230,X229/$C231*$E231+W231/$C231*$E231,IF(AND(X228&gt;$C230,X228&lt;ROUNDDOWN(($C230+($D230+$C231-1)/12),0)),(X229/2+W231)/($C231-$E231-12*(X228-$C230-1))*12,IF(AND($D231&lt;0,X228=ROUNDDOWN(($C230+($D230+$C231-1)/12),0)),W231+X229,IF(X228=ROUNDDOWN(($C230+($D230+$C231-1)/12),0),(X229+W231)/$C231*($D231+(X228-$C230-1)*12+$E231),IF(X228&gt;ROUNDDOWN(($C230+($D230+$C231)/12),0),0,0)))))))</f>
        <v/>
      </c>
      <c r="Y230" s="114" t="str">
        <f t="shared" ref="Y230" ca="1" si="1274">IF(Y228="","",IF(Y228&lt;$C230,0,IF(Y228=$C230,Y229/$C231*$E231+X231/$C231*$E231,IF(AND(Y228&gt;$C230,Y228&lt;ROUNDDOWN(($C230+($D230+$C231-1)/12),0)),(Y229/2+X231)/($C231-$E231-12*(Y228-$C230-1))*12,IF(AND($D231&lt;0,Y228=ROUNDDOWN(($C230+($D230+$C231-1)/12),0)),X231+Y229,IF(Y228=ROUNDDOWN(($C230+($D230+$C231-1)/12),0),(Y229+X231)/$C231*($D231+(Y228-$C230-1)*12+$E231),IF(Y228&gt;ROUNDDOWN(($C230+($D230+$C231)/12),0),0,0)))))))</f>
        <v/>
      </c>
      <c r="Z230" s="114" t="str">
        <f ca="1">IF(Z228="","",IF(Z228&lt;$C230,0,IF(Z228=$C230,Z229/$C231*$E231+Y231/$C231*$E231,IF(AND(Z228&gt;$C230,Z228&lt;ROUNDDOWN(($C230+($D230+$C231-1)/12),0)),(Z229/2+Y231)/($C231-$E231-12*(Z228-$C230-1))*12,IF(AND($D231&lt;0,Z228=ROUNDDOWN(($C230+($D230+$C231-1)/12),0)),Y231+Z229,IF(Z228=ROUNDDOWN(($C230+($D230+$C231-1)/12),0),(Z229+Y231)/$C231*($D231+(Z228-$C230-1)*12+$E231),IF(Z228&gt;ROUNDDOWN(($C230+($D230+$C231)/12),0),0,0)))))))</f>
        <v/>
      </c>
      <c r="AA230" s="114" t="str">
        <f t="shared" ref="AA230" ca="1" si="1275">IF(AA228="","",IF(AA228&lt;$C230,0,IF(AA228=$C230,AA229/$C231*$E231+Z231/$C231*$E231,IF(AND(AA228&gt;$C230,AA228&lt;ROUNDDOWN(($C230+($D230+$C231-1)/12),0)),(AA229/2+Z231)/($C231-$E231-12*(AA228-$C230-1))*12,IF(AND($D231&lt;0,AA228=ROUNDDOWN(($C230+($D230+$C231-1)/12),0)),Z231+AA229,IF(AA228=ROUNDDOWN(($C230+($D230+$C231-1)/12),0),(AA229+Z231)/$C231*($D231+(AA228-$C230-1)*12+$E231),IF(AA228&gt;ROUNDDOWN(($C230+($D230+$C231)/12),0),0,0)))))))</f>
        <v/>
      </c>
      <c r="AB230" s="114" t="str">
        <f t="shared" ref="AB230" ca="1" si="1276">IF(AB228="","",IF(AB228&lt;$C230,0,IF(AB228=$C230,AB229/$C231*$E231+AA231/$C231*$E231,IF(AND(AB228&gt;$C230,AB228&lt;ROUNDDOWN(($C230+($D230+$C231-1)/12),0)),(AB229/2+AA231)/($C231-$E231-12*(AB228-$C230-1))*12,IF(AND($D231&lt;0,AB228=ROUNDDOWN(($C230+($D230+$C231-1)/12),0)),AA231+AB229,IF(AB228=ROUNDDOWN(($C230+($D230+$C231-1)/12),0),(AB229+AA231)/$C231*($D231+(AB228-$C230-1)*12+$E231),IF(AB228&gt;ROUNDDOWN(($C230+($D230+$C231)/12),0),0,0)))))))</f>
        <v/>
      </c>
      <c r="AC230" s="114" t="str">
        <f t="shared" ref="AC230" ca="1" si="1277">IF(AC228="","",IF(AC228&lt;$C230,0,IF(AC228=$C230,AC229/$C231*$E231+AB231/$C231*$E231,IF(AND(AC228&gt;$C230,AC228&lt;ROUNDDOWN(($C230+($D230+$C231-1)/12),0)),(AC229/2+AB231)/($C231-$E231-12*(AC228-$C230-1))*12,IF(AND($D231&lt;0,AC228=ROUNDDOWN(($C230+($D230+$C231-1)/12),0)),AB231+AC229,IF(AC228=ROUNDDOWN(($C230+($D230+$C231-1)/12),0),(AC229+AB231)/$C231*($D231+(AC228-$C230-1)*12+$E231),IF(AC228&gt;ROUNDDOWN(($C230+($D230+$C231)/12),0),0,0)))))))</f>
        <v/>
      </c>
      <c r="AD230" s="114" t="str">
        <f t="shared" ref="AD230" ca="1" si="1278">IF(AD228="","",IF(AD228&lt;$C230,0,IF(AD228=$C230,AD229/$C231*$E231+AC231/$C231*$E231,IF(AND(AD228&gt;$C230,AD228&lt;ROUNDDOWN(($C230+($D230+$C231-1)/12),0)),(AD229/2+AC231)/($C231-$E231-12*(AD228-$C230-1))*12,IF(AND($D231&lt;0,AD228=ROUNDDOWN(($C230+($D230+$C231-1)/12),0)),AC231+AD229,IF(AD228=ROUNDDOWN(($C230+($D230+$C231-1)/12),0),(AD229+AC231)/$C231*($D231+(AD228-$C230-1)*12+$E231),IF(AD228&gt;ROUNDDOWN(($C230+($D230+$C231)/12),0),0,0)))))))</f>
        <v/>
      </c>
      <c r="AE230" s="114" t="str">
        <f t="shared" ref="AE230" ca="1" si="1279">IF(AE228="","",IF(AE228&lt;$C230,0,IF(AE228=$C230,AE229/$C231*$E231+AD231/$C231*$E231,IF(AND(AE228&gt;$C230,AE228&lt;ROUNDDOWN(($C230+($D230+$C231-1)/12),0)),(AE229/2+AD231)/($C231-$E231-12*(AE228-$C230-1))*12,IF(AND($D231&lt;0,AE228=ROUNDDOWN(($C230+($D230+$C231-1)/12),0)),AD231+AE229,IF(AE228=ROUNDDOWN(($C230+($D230+$C231-1)/12),0),(AE229+AD231)/$C231*($D231+(AE228-$C230-1)*12+$E231),IF(AE228&gt;ROUNDDOWN(($C230+($D230+$C231)/12),0),0,0)))))))</f>
        <v/>
      </c>
      <c r="AF230" s="114" t="str">
        <f t="shared" ref="AF230" ca="1" si="1280">IF(AF228="","",IF(AF228&lt;$C230,0,IF(AF228=$C230,AF229/$C231*$E231+AE231/$C231*$E231,IF(AND(AF228&gt;$C230,AF228&lt;ROUNDDOWN(($C230+($D230+$C231-1)/12),0)),(AF229/2+AE231)/($C231-$E231-12*(AF228-$C230-1))*12,IF(AND($D231&lt;0,AF228=ROUNDDOWN(($C230+($D230+$C231-1)/12),0)),AE231+AF229,IF(AF228=ROUNDDOWN(($C230+($D230+$C231-1)/12),0),(AF229+AE231)/$C231*($D231+(AF228-$C230-1)*12+$E231),IF(AF228&gt;ROUNDDOWN(($C230+($D230+$C231)/12),0),0,0)))))))</f>
        <v/>
      </c>
      <c r="AG230" s="114" t="str">
        <f t="shared" ref="AG230" ca="1" si="1281">IF(AG228="","",IF(AG228&lt;$C230,0,IF(AG228=$C230,AG229/$C231*$E231+AF231/$C231*$E231,IF(AND(AG228&gt;$C230,AG228&lt;ROUNDDOWN(($C230+($D230+$C231-1)/12),0)),(AG229/2+AF231)/($C231-$E231-12*(AG228-$C230-1))*12,IF(AND($D231&lt;0,AG228=ROUNDDOWN(($C230+($D230+$C231-1)/12),0)),AF231+AG229,IF(AG228=ROUNDDOWN(($C230+($D230+$C231-1)/12),0),(AG229+AF231)/$C231*($D231+(AG228-$C230-1)*12+$E231),IF(AG228&gt;ROUNDDOWN(($C230+($D230+$C231)/12),0),0,0)))))))</f>
        <v/>
      </c>
      <c r="AH230" s="114" t="str">
        <f t="shared" ref="AH230" ca="1" si="1282">IF(AH228="","",IF(AH228&lt;$C230,0,IF(AH228=$C230,AH229/$C231*$E231+AG231/$C231*$E231,IF(AND(AH228&gt;$C230,AH228&lt;ROUNDDOWN(($C230+($D230+$C231-1)/12),0)),(AH229/2+AG231)/($C231-$E231-12*(AH228-$C230-1))*12,IF(AND($D231&lt;0,AH228=ROUNDDOWN(($C230+($D230+$C231-1)/12),0)),AG231+AH229,IF(AH228=ROUNDDOWN(($C230+($D230+$C231-1)/12),0),(AH229+AG231)/$C231*($D231+(AH228-$C230-1)*12+$E231),IF(AH228&gt;ROUNDDOWN(($C230+($D230+$C231)/12),0),0,0)))))))</f>
        <v/>
      </c>
      <c r="AI230" s="114" t="str">
        <f t="shared" ref="AI230" ca="1" si="1283">IF(AI228="","",IF(AI228&lt;$C230,0,IF(AI228=$C230,AI229/$C231*$E231+AH231/$C231*$E231,IF(AND(AI228&gt;$C230,AI228&lt;ROUNDDOWN(($C230+($D230+$C231-1)/12),0)),(AI229/2+AH231)/($C231-$E231-12*(AI228-$C230-1))*12,IF(AND($D231&lt;0,AI228=ROUNDDOWN(($C230+($D230+$C231-1)/12),0)),AH231+AI229,IF(AI228=ROUNDDOWN(($C230+($D230+$C231-1)/12),0),(AI229+AH231)/$C231*($D231+(AI228-$C230-1)*12+$E231),IF(AI228&gt;ROUNDDOWN(($C230+($D230+$C231)/12),0),0,0)))))))</f>
        <v/>
      </c>
      <c r="AJ230" s="114" t="str">
        <f t="shared" ref="AJ230" ca="1" si="1284">IF(AJ228="","",IF(AJ228&lt;$C230,0,IF(AJ228=$C230,AJ229/$C231*$E231+AI231/$C231*$E231,IF(AND(AJ228&gt;$C230,AJ228&lt;ROUNDDOWN(($C230+($D230+$C231-1)/12),0)),(AJ229/2+AI231)/($C231-$E231-12*(AJ228-$C230-1))*12,IF(AND($D231&lt;0,AJ228=ROUNDDOWN(($C230+($D230+$C231-1)/12),0)),AI231+AJ229,IF(AJ228=ROUNDDOWN(($C230+($D230+$C231-1)/12),0),(AJ229+AI231)/$C231*($D231+(AJ228-$C230-1)*12+$E231),IF(AJ228&gt;ROUNDDOWN(($C230+($D230+$C231)/12),0),0,0)))))))</f>
        <v/>
      </c>
      <c r="AK230" s="114" t="str">
        <f t="shared" ref="AK230" ca="1" si="1285">IF(AK228="","",IF(AK228&lt;$C230,0,IF(AK228=$C230,AK229/$C231*$E231+AJ231/$C231*$E231,IF(AND(AK228&gt;$C230,AK228&lt;ROUNDDOWN(($C230+($D230+$C231-1)/12),0)),(AK229/2+AJ231)/($C231-$E231-12*(AK228-$C230-1))*12,IF(AND($D231&lt;0,AK228=ROUNDDOWN(($C230+($D230+$C231-1)/12),0)),AJ231+AK229,IF(AK228=ROUNDDOWN(($C230+($D230+$C231-1)/12),0),(AK229+AJ231)/$C231*($D231+(AK228-$C230-1)*12+$E231),IF(AK228&gt;ROUNDDOWN(($C230+($D230+$C231)/12),0),0,0)))))))</f>
        <v/>
      </c>
      <c r="AL230" s="114" t="str">
        <f t="shared" ref="AL230" ca="1" si="1286">IF(AL228="","",IF(AL228&lt;$C230,0,IF(AL228=$C230,AL229/$C231*$E231+AK231/$C231*$E231,IF(AND(AL228&gt;$C230,AL228&lt;ROUNDDOWN(($C230+($D230+$C231-1)/12),0)),(AL229/2+AK231)/($C231-$E231-12*(AL228-$C230-1))*12,IF(AND($D231&lt;0,AL228=ROUNDDOWN(($C230+($D230+$C231-1)/12),0)),AK231+AL229,IF(AL228=ROUNDDOWN(($C230+($D230+$C231-1)/12),0),(AL229+AK231)/$C231*($D231+(AL228-$C230-1)*12+$E231),IF(AL228&gt;ROUNDDOWN(($C230+($D230+$C231)/12),0),0,0)))))))</f>
        <v/>
      </c>
      <c r="AM230" s="114" t="str">
        <f t="shared" ref="AM230" ca="1" si="1287">IF(AM228="","",IF(AM228&lt;$C230,0,IF(AM228=$C230,AM229/$C231*$E231+AL231/$C231*$E231,IF(AND(AM228&gt;$C230,AM228&lt;ROUNDDOWN(($C230+($D230+$C231-1)/12),0)),(AM229/2+AL231)/($C231-$E231-12*(AM228-$C230-1))*12,IF(AND($D231&lt;0,AM228=ROUNDDOWN(($C230+($D230+$C231-1)/12),0)),AL231+AM229,IF(AM228=ROUNDDOWN(($C230+($D230+$C231-1)/12),0),(AM229+AL231)/$C231*($D231+(AM228-$C230-1)*12+$E231),IF(AM228&gt;ROUNDDOWN(($C230+($D230+$C231)/12),0),0,0)))))))</f>
        <v/>
      </c>
      <c r="AN230" s="114" t="str">
        <f t="shared" ref="AN230" ca="1" si="1288">IF(AN228="","",IF(AN228&lt;$C230,0,IF(AN228=$C230,AN229/$C231*$E231+AM231/$C231*$E231,IF(AND(AN228&gt;$C230,AN228&lt;ROUNDDOWN(($C230+($D230+$C231-1)/12),0)),(AN229/2+AM231)/($C231-$E231-12*(AN228-$C230-1))*12,IF(AND($D231&lt;0,AN228=ROUNDDOWN(($C230+($D230+$C231-1)/12),0)),AM231+AN229,IF(AN228=ROUNDDOWN(($C230+($D230+$C231-1)/12),0),(AN229+AM231)/$C231*($D231+(AN228-$C230-1)*12+$E231),IF(AN228&gt;ROUNDDOWN(($C230+($D230+$C231)/12),0),0,0)))))))</f>
        <v/>
      </c>
      <c r="AO230" s="114" t="str">
        <f t="shared" ref="AO230" ca="1" si="1289">IF(AO228="","",IF(AO228&lt;$C230,0,IF(AO228=$C230,AO229/$C231*$E231+AN231/$C231*$E231,IF(AND(AO228&gt;$C230,AO228&lt;ROUNDDOWN(($C230+($D230+$C231-1)/12),0)),(AO229/2+AN231)/($C231-$E231-12*(AO228-$C230-1))*12,IF(AND($D231&lt;0,AO228=ROUNDDOWN(($C230+($D230+$C231-1)/12),0)),AN231+AO229,IF(AO228=ROUNDDOWN(($C230+($D230+$C231-1)/12),0),(AO229+AN231)/$C231*($D231+(AO228-$C230-1)*12+$E231),IF(AO228&gt;ROUNDDOWN(($C230+($D230+$C231)/12),0),0,0)))))))</f>
        <v/>
      </c>
      <c r="AP230" s="114" t="str">
        <f t="shared" ref="AP230" ca="1" si="1290">IF(AP228="","",IF(AP228&lt;$C230,0,IF(AP228=$C230,AP229/$C231*$E231+AO231/$C231*$E231,IF(AND(AP228&gt;$C230,AP228&lt;ROUNDDOWN(($C230+($D230+$C231-1)/12),0)),(AP229/2+AO231)/($C231-$E231-12*(AP228-$C230-1))*12,IF(AND($D231&lt;0,AP228=ROUNDDOWN(($C230+($D230+$C231-1)/12),0)),AO231+AP229,IF(AP228=ROUNDDOWN(($C230+($D230+$C231-1)/12),0),(AP229+AO231)/$C231*($D231+(AP228-$C230-1)*12+$E231),IF(AP228&gt;ROUNDDOWN(($C230+($D230+$C231)/12),0),0,0)))))))</f>
        <v/>
      </c>
      <c r="AQ230" s="114" t="str">
        <f t="shared" ref="AQ230" ca="1" si="1291">IF(AQ228="","",IF(AQ228&lt;$C230,0,IF(AQ228=$C230,AQ229/$C231*$E231+AP231/$C231*$E231,IF(AND(AQ228&gt;$C230,AQ228&lt;ROUNDDOWN(($C230+($D230+$C231-1)/12),0)),(AQ229/2+AP231)/($C231-$E231-12*(AQ228-$C230-1))*12,IF(AND($D231&lt;0,AQ228=ROUNDDOWN(($C230+($D230+$C231-1)/12),0)),AP231+AQ229,IF(AQ228=ROUNDDOWN(($C230+($D230+$C231-1)/12),0),(AQ229+AP231)/$C231*($D231+(AQ228-$C230-1)*12+$E231),IF(AQ228&gt;ROUNDDOWN(($C230+($D230+$C231)/12),0),0,0)))))))</f>
        <v/>
      </c>
      <c r="AR230" s="114" t="str">
        <f t="shared" ref="AR230" ca="1" si="1292">IF(AR228="","",IF(AR228&lt;$C230,0,IF(AR228=$C230,AR229/$C231*$E231+AQ231/$C231*$E231,IF(AND(AR228&gt;$C230,AR228&lt;ROUNDDOWN(($C230+($D230+$C231-1)/12),0)),(AR229/2+AQ231)/($C231-$E231-12*(AR228-$C230-1))*12,IF(AND($D231&lt;0,AR228=ROUNDDOWN(($C230+($D230+$C231-1)/12),0)),AQ231+AR229,IF(AR228=ROUNDDOWN(($C230+($D230+$C231-1)/12),0),(AR229+AQ231)/$C231*($D231+(AR228-$C230-1)*12+$E231),IF(AR228&gt;ROUNDDOWN(($C230+($D230+$C231)/12),0),0,0)))))))</f>
        <v/>
      </c>
      <c r="AS230" s="114" t="str">
        <f t="shared" ref="AS230" ca="1" si="1293">IF(AS228="","",IF(AS228&lt;$C230,0,IF(AS228=$C230,AS229/$C231*$E231+AR231/$C231*$E231,IF(AND(AS228&gt;$C230,AS228&lt;ROUNDDOWN(($C230+($D230+$C231-1)/12),0)),(AS229/2+AR231)/($C231-$E231-12*(AS228-$C230-1))*12,IF(AND($D231&lt;0,AS228=ROUNDDOWN(($C230+($D230+$C231-1)/12),0)),AR231+AS229,IF(AS228=ROUNDDOWN(($C230+($D230+$C231-1)/12),0),(AS229+AR231)/$C231*($D231+(AS228-$C230-1)*12+$E231),IF(AS228&gt;ROUNDDOWN(($C230+($D230+$C231)/12),0),0,0)))))))</f>
        <v/>
      </c>
      <c r="AT230" s="114" t="str">
        <f t="shared" ref="AT230" ca="1" si="1294">IF(AT228="","",IF(AT228&lt;$C230,0,IF(AT228=$C230,AT229/$C231*$E231+AS231/$C231*$E231,IF(AND(AT228&gt;$C230,AT228&lt;ROUNDDOWN(($C230+($D230+$C231-1)/12),0)),(AT229/2+AS231)/($C231-$E231-12*(AT228-$C230-1))*12,IF(AND($D231&lt;0,AT228=ROUNDDOWN(($C230+($D230+$C231-1)/12),0)),AS231+AT229,IF(AT228=ROUNDDOWN(($C230+($D230+$C231-1)/12),0),(AT229+AS231)/$C231*($D231+(AT228-$C230-1)*12+$E231),IF(AT228&gt;ROUNDDOWN(($C230+($D230+$C231)/12),0),0,0)))))))</f>
        <v/>
      </c>
      <c r="AU230" s="114" t="str">
        <f t="shared" ref="AU230" ca="1" si="1295">IF(AU228="","",IF(AU228&lt;$C230,0,IF(AU228=$C230,AU229/$C231*$E231+AT231/$C231*$E231,IF(AND(AU228&gt;$C230,AU228&lt;ROUNDDOWN(($C230+($D230+$C231-1)/12),0)),(AU229/2+AT231)/($C231-$E231-12*(AU228-$C230-1))*12,IF(AND($D231&lt;0,AU228=ROUNDDOWN(($C230+($D230+$C231-1)/12),0)),AT231+AU229,IF(AU228=ROUNDDOWN(($C230+($D230+$C231-1)/12),0),(AU229+AT231)/$C231*($D231+(AU228-$C230-1)*12+$E231),IF(AU228&gt;ROUNDDOWN(($C230+($D230+$C231)/12),0),0,0)))))))</f>
        <v/>
      </c>
      <c r="AV230" s="114" t="str">
        <f t="shared" ref="AV230" ca="1" si="1296">IF(AV228="","",IF(AV228&lt;$C230,0,IF(AV228=$C230,AV229/$C231*$E231+AU231/$C231*$E231,IF(AND(AV228&gt;$C230,AV228&lt;ROUNDDOWN(($C230+($D230+$C231-1)/12),0)),(AV229/2+AU231)/($C231-$E231-12*(AV228-$C230-1))*12,IF(AND($D231&lt;0,AV228=ROUNDDOWN(($C230+($D230+$C231-1)/12),0)),AU231+AV229,IF(AV228=ROUNDDOWN(($C230+($D230+$C231-1)/12),0),(AV229+AU231)/$C231*($D231+(AV228-$C230-1)*12+$E231),IF(AV228&gt;ROUNDDOWN(($C230+($D230+$C231)/12),0),0,0)))))))</f>
        <v/>
      </c>
      <c r="AW230" s="114" t="str">
        <f t="shared" ref="AW230" ca="1" si="1297">IF(AW228="","",IF(AW228&lt;$C230,0,IF(AW228=$C230,AW229/$C231*$E231+AV231/$C231*$E231,IF(AND(AW228&gt;$C230,AW228&lt;ROUNDDOWN(($C230+($D230+$C231-1)/12),0)),(AW229/2+AV231)/($C231-$E231-12*(AW228-$C230-1))*12,IF(AND($D231&lt;0,AW228=ROUNDDOWN(($C230+($D230+$C231-1)/12),0)),AV231+AW229,IF(AW228=ROUNDDOWN(($C230+($D230+$C231-1)/12),0),(AW229+AV231)/$C231*($D231+(AW228-$C230-1)*12+$E231),IF(AW228&gt;ROUNDDOWN(($C230+($D230+$C231)/12),0),0,0)))))))</f>
        <v/>
      </c>
      <c r="AX230" s="90"/>
      <c r="AY230" s="90"/>
      <c r="AZ230" s="87"/>
    </row>
    <row r="231" spans="3:52" ht="12.75" hidden="1" customHeight="1" outlineLevel="1" x14ac:dyDescent="0.2">
      <c r="C231" s="128">
        <f>ROUNDUP((E230-ROUNDDOWN(E230,0))*12,0)+ROUNDDOWN(E230,0)*12</f>
        <v>0</v>
      </c>
      <c r="D231" s="128">
        <f>C231-E231-ROUNDDOWN(E230,0)*12</f>
        <v>-12</v>
      </c>
      <c r="E231" s="128">
        <f>13-MONTH(C229)</f>
        <v>12</v>
      </c>
      <c r="N231" s="85"/>
      <c r="O231" s="90"/>
      <c r="P231" s="90"/>
      <c r="Q231" s="115" t="str">
        <f>INDEX(g_lang_val,MATCH("tb_2_4_3",g_lang_key,0))</f>
        <v>FF4-gæld, ultimo året</v>
      </c>
      <c r="R231" s="116"/>
      <c r="S231" s="119"/>
      <c r="T231" s="114">
        <f t="shared" ref="T231" ca="1" si="1298">IF(T228="","",S231+T229-T230)</f>
        <v>0</v>
      </c>
      <c r="U231" s="114">
        <f t="shared" ref="U231" ca="1" si="1299">IF(U228="","",T231+U229-U230)</f>
        <v>0</v>
      </c>
      <c r="V231" s="114">
        <f t="shared" ref="V231" ca="1" si="1300">IF(V228="","",U231+V229-V230)</f>
        <v>0</v>
      </c>
      <c r="W231" s="114">
        <f t="shared" ref="W231" ca="1" si="1301">IF(W228="","",V231+W229-W230)</f>
        <v>0</v>
      </c>
      <c r="X231" s="114" t="str">
        <f t="shared" ref="X231" ca="1" si="1302">IF(X228="","",W231+X229-X230)</f>
        <v/>
      </c>
      <c r="Y231" s="114" t="str">
        <f t="shared" ref="Y231" ca="1" si="1303">IF(Y228="","",X231+Y229-Y230)</f>
        <v/>
      </c>
      <c r="Z231" s="114" t="str">
        <f t="shared" ref="Z231" ca="1" si="1304">IF(Z228="","",Y231+Z229-Z230)</f>
        <v/>
      </c>
      <c r="AA231" s="114" t="str">
        <f t="shared" ref="AA231" ca="1" si="1305">IF(AA228="","",Z231+AA229-AA230)</f>
        <v/>
      </c>
      <c r="AB231" s="114" t="str">
        <f t="shared" ref="AB231" ca="1" si="1306">IF(AB228="","",AA231+AB229-AB230)</f>
        <v/>
      </c>
      <c r="AC231" s="114" t="str">
        <f t="shared" ref="AC231" ca="1" si="1307">IF(AC228="","",AB231+AC229-AC230)</f>
        <v/>
      </c>
      <c r="AD231" s="114" t="str">
        <f t="shared" ref="AD231" ca="1" si="1308">IF(AD228="","",AC231+AD229-AD230)</f>
        <v/>
      </c>
      <c r="AE231" s="114" t="str">
        <f t="shared" ref="AE231" ca="1" si="1309">IF(AE228="","",AD231+AE229-AE230)</f>
        <v/>
      </c>
      <c r="AF231" s="114" t="str">
        <f t="shared" ref="AF231" ca="1" si="1310">IF(AF228="","",AE231+AF229-AF230)</f>
        <v/>
      </c>
      <c r="AG231" s="114" t="str">
        <f t="shared" ref="AG231" ca="1" si="1311">IF(AG228="","",AF231+AG229-AG230)</f>
        <v/>
      </c>
      <c r="AH231" s="114" t="str">
        <f t="shared" ref="AH231" ca="1" si="1312">IF(AH228="","",AG231+AH229-AH230)</f>
        <v/>
      </c>
      <c r="AI231" s="114" t="str">
        <f t="shared" ref="AI231" ca="1" si="1313">IF(AI228="","",AH231+AI229-AI230)</f>
        <v/>
      </c>
      <c r="AJ231" s="114" t="str">
        <f t="shared" ref="AJ231" ca="1" si="1314">IF(AJ228="","",AI231+AJ229-AJ230)</f>
        <v/>
      </c>
      <c r="AK231" s="114" t="str">
        <f t="shared" ref="AK231" ca="1" si="1315">IF(AK228="","",AJ231+AK229-AK230)</f>
        <v/>
      </c>
      <c r="AL231" s="114" t="str">
        <f t="shared" ref="AL231" ca="1" si="1316">IF(AL228="","",AK231+AL229-AL230)</f>
        <v/>
      </c>
      <c r="AM231" s="114" t="str">
        <f t="shared" ref="AM231" ca="1" si="1317">IF(AM228="","",AL231+AM229-AM230)</f>
        <v/>
      </c>
      <c r="AN231" s="114" t="str">
        <f t="shared" ref="AN231" ca="1" si="1318">IF(AN228="","",AM231+AN229-AN230)</f>
        <v/>
      </c>
      <c r="AO231" s="114" t="str">
        <f t="shared" ref="AO231" ca="1" si="1319">IF(AO228="","",AN231+AO229-AO230)</f>
        <v/>
      </c>
      <c r="AP231" s="114" t="str">
        <f t="shared" ref="AP231" ca="1" si="1320">IF(AP228="","",AO231+AP229-AP230)</f>
        <v/>
      </c>
      <c r="AQ231" s="114" t="str">
        <f t="shared" ref="AQ231" ca="1" si="1321">IF(AQ228="","",AP231+AQ229-AQ230)</f>
        <v/>
      </c>
      <c r="AR231" s="114" t="str">
        <f t="shared" ref="AR231" ca="1" si="1322">IF(AR228="","",AQ231+AR229-AR230)</f>
        <v/>
      </c>
      <c r="AS231" s="114" t="str">
        <f t="shared" ref="AS231" ca="1" si="1323">IF(AS228="","",AR231+AS229-AS230)</f>
        <v/>
      </c>
      <c r="AT231" s="114" t="str">
        <f t="shared" ref="AT231" ca="1" si="1324">IF(AT228="","",AS231+AT229-AT230)</f>
        <v/>
      </c>
      <c r="AU231" s="114" t="str">
        <f t="shared" ref="AU231" ca="1" si="1325">IF(AU228="","",AT231+AU229-AU230)</f>
        <v/>
      </c>
      <c r="AV231" s="114" t="str">
        <f t="shared" ref="AV231" ca="1" si="1326">IF(AV228="","",AU231+AV229-AV230)</f>
        <v/>
      </c>
      <c r="AW231" s="114" t="str">
        <f t="shared" ref="AW231" ca="1" si="1327">IF(AW228="","",AV231+AW229-AW230)</f>
        <v/>
      </c>
      <c r="AX231" s="90"/>
      <c r="AY231" s="90"/>
      <c r="AZ231" s="87"/>
    </row>
    <row r="232" spans="3:52" ht="12.75" hidden="1" customHeight="1" outlineLevel="1" x14ac:dyDescent="0.2">
      <c r="N232" s="85"/>
      <c r="O232" s="90"/>
      <c r="P232" s="90"/>
      <c r="Q232" s="115" t="str">
        <f>INDEX(g_lang_val,MATCH("tb_2_4_4",g_lang_key,0))</f>
        <v>Renter (FF4)</v>
      </c>
      <c r="R232" s="116"/>
      <c r="S232" s="119">
        <f ca="1">SUM(T232:BG232)</f>
        <v>0</v>
      </c>
      <c r="T232" s="114">
        <f t="shared" ref="T232" ca="1" si="1328">IF(T228="","",g_interest_FF4*(S231+(T229/2)-(T230/2)))</f>
        <v>0</v>
      </c>
      <c r="U232" s="114">
        <f t="shared" ref="U232" ca="1" si="1329">IF(U228="","",g_interest_FF4*(T231+(U229/2)-(U230/2)))</f>
        <v>0</v>
      </c>
      <c r="V232" s="114">
        <f t="shared" ref="V232" ca="1" si="1330">IF(V228="","",g_interest_FF4*(U231+(V229/2)-(V230/2)))</f>
        <v>0</v>
      </c>
      <c r="W232" s="114">
        <f t="shared" ref="W232" ca="1" si="1331">IF(W228="","",g_interest_FF4*(V231+(W229/2)-(W230/2)))</f>
        <v>0</v>
      </c>
      <c r="X232" s="114" t="str">
        <f t="shared" ref="X232" ca="1" si="1332">IF(X228="","",g_interest_FF4*(W231+(X229/2)-(X230/2)))</f>
        <v/>
      </c>
      <c r="Y232" s="114" t="str">
        <f t="shared" ref="Y232" ca="1" si="1333">IF(Y228="","",g_interest_FF4*(X231+(Y229/2)-(Y230/2)))</f>
        <v/>
      </c>
      <c r="Z232" s="114" t="str">
        <f t="shared" ref="Z232" ca="1" si="1334">IF(Z228="","",g_interest_FF4*(Y231+(Z229/2)-(Z230/2)))</f>
        <v/>
      </c>
      <c r="AA232" s="114" t="str">
        <f t="shared" ref="AA232" ca="1" si="1335">IF(AA228="","",g_interest_FF4*(Z231+(AA229/2)-(AA230/2)))</f>
        <v/>
      </c>
      <c r="AB232" s="114" t="str">
        <f t="shared" ref="AB232" ca="1" si="1336">IF(AB228="","",g_interest_FF4*(AA231+(AB229/2)-(AB230/2)))</f>
        <v/>
      </c>
      <c r="AC232" s="114" t="str">
        <f t="shared" ref="AC232" ca="1" si="1337">IF(AC228="","",g_interest_FF4*(AB231+(AC229/2)-(AC230/2)))</f>
        <v/>
      </c>
      <c r="AD232" s="114" t="str">
        <f t="shared" ref="AD232" ca="1" si="1338">IF(AD228="","",g_interest_FF4*(AC231+(AD229/2)-(AD230/2)))</f>
        <v/>
      </c>
      <c r="AE232" s="114" t="str">
        <f t="shared" ref="AE232" ca="1" si="1339">IF(AE228="","",g_interest_FF4*(AD231+(AE229/2)-(AE230/2)))</f>
        <v/>
      </c>
      <c r="AF232" s="114" t="str">
        <f t="shared" ref="AF232" ca="1" si="1340">IF(AF228="","",g_interest_FF4*(AE231+(AF229/2)-(AF230/2)))</f>
        <v/>
      </c>
      <c r="AG232" s="114" t="str">
        <f t="shared" ref="AG232" ca="1" si="1341">IF(AG228="","",g_interest_FF4*(AF231+(AG229/2)-(AG230/2)))</f>
        <v/>
      </c>
      <c r="AH232" s="114" t="str">
        <f t="shared" ref="AH232" ca="1" si="1342">IF(AH228="","",g_interest_FF4*(AG231+(AH229/2)-(AH230/2)))</f>
        <v/>
      </c>
      <c r="AI232" s="114" t="str">
        <f t="shared" ref="AI232" ca="1" si="1343">IF(AI228="","",g_interest_FF4*(AH231+(AI229/2)-(AI230/2)))</f>
        <v/>
      </c>
      <c r="AJ232" s="114" t="str">
        <f t="shared" ref="AJ232" ca="1" si="1344">IF(AJ228="","",g_interest_FF4*(AI231+(AJ229/2)-(AJ230/2)))</f>
        <v/>
      </c>
      <c r="AK232" s="114" t="str">
        <f t="shared" ref="AK232" ca="1" si="1345">IF(AK228="","",g_interest_FF4*(AJ231+(AK229/2)-(AK230/2)))</f>
        <v/>
      </c>
      <c r="AL232" s="114" t="str">
        <f t="shared" ref="AL232" ca="1" si="1346">IF(AL228="","",g_interest_FF4*(AK231+(AL229/2)-(AL230/2)))</f>
        <v/>
      </c>
      <c r="AM232" s="114" t="str">
        <f t="shared" ref="AM232" ca="1" si="1347">IF(AM228="","",g_interest_FF4*(AL231+(AM229/2)-(AM230/2)))</f>
        <v/>
      </c>
      <c r="AN232" s="114" t="str">
        <f t="shared" ref="AN232" ca="1" si="1348">IF(AN228="","",g_interest_FF4*(AM231+(AN229/2)-(AN230/2)))</f>
        <v/>
      </c>
      <c r="AO232" s="114" t="str">
        <f t="shared" ref="AO232" ca="1" si="1349">IF(AO228="","",g_interest_FF4*(AN231+(AO229/2)-(AO230/2)))</f>
        <v/>
      </c>
      <c r="AP232" s="114" t="str">
        <f t="shared" ref="AP232" ca="1" si="1350">IF(AP228="","",g_interest_FF4*(AO231+(AP229/2)-(AP230/2)))</f>
        <v/>
      </c>
      <c r="AQ232" s="114" t="str">
        <f t="shared" ref="AQ232" ca="1" si="1351">IF(AQ228="","",g_interest_FF4*(AP231+(AQ229/2)-(AQ230/2)))</f>
        <v/>
      </c>
      <c r="AR232" s="114" t="str">
        <f t="shared" ref="AR232" ca="1" si="1352">IF(AR228="","",g_interest_FF4*(AQ231+(AR229/2)-(AR230/2)))</f>
        <v/>
      </c>
      <c r="AS232" s="114" t="str">
        <f t="shared" ref="AS232" ca="1" si="1353">IF(AS228="","",g_interest_FF4*(AR231+(AS229/2)-(AS230/2)))</f>
        <v/>
      </c>
      <c r="AT232" s="114" t="str">
        <f t="shared" ref="AT232" ca="1" si="1354">IF(AT228="","",g_interest_FF4*(AS231+(AT229/2)-(AT230/2)))</f>
        <v/>
      </c>
      <c r="AU232" s="114" t="str">
        <f t="shared" ref="AU232" ca="1" si="1355">IF(AU228="","",g_interest_FF4*(AT231+(AU229/2)-(AU230/2)))</f>
        <v/>
      </c>
      <c r="AV232" s="114" t="str">
        <f t="shared" ref="AV232" ca="1" si="1356">IF(AV228="","",g_interest_FF4*(AU231+(AV229/2)-(AV230/2)))</f>
        <v/>
      </c>
      <c r="AW232" s="114" t="str">
        <f t="shared" ref="AW232" ca="1" si="1357">IF(AW228="","",g_interest_FF4*(AV231+(AW229/2)-(AW230/2)))</f>
        <v/>
      </c>
      <c r="AX232" s="90"/>
      <c r="AY232" s="90"/>
      <c r="AZ232" s="87"/>
    </row>
    <row r="233" spans="3:52" ht="12.75" hidden="1" customHeight="1" outlineLevel="1" x14ac:dyDescent="0.2">
      <c r="N233" s="85"/>
      <c r="O233" s="90"/>
      <c r="P233" s="90"/>
      <c r="Q233" s="118" t="str">
        <f>INDEX(g_assets_sc_1,18)</f>
        <v/>
      </c>
      <c r="R233" s="118"/>
      <c r="S233" s="113"/>
      <c r="T233" s="125">
        <f ca="1">T$157</f>
        <v>2026</v>
      </c>
      <c r="U233" s="125">
        <f t="shared" ref="U233:AW233" ca="1" si="1358">U$157</f>
        <v>2027</v>
      </c>
      <c r="V233" s="125">
        <f t="shared" ca="1" si="1358"/>
        <v>2028</v>
      </c>
      <c r="W233" s="125">
        <f t="shared" ca="1" si="1358"/>
        <v>2029</v>
      </c>
      <c r="X233" s="125" t="str">
        <f t="shared" ca="1" si="1358"/>
        <v/>
      </c>
      <c r="Y233" s="125" t="str">
        <f t="shared" ca="1" si="1358"/>
        <v/>
      </c>
      <c r="Z233" s="125" t="str">
        <f t="shared" ca="1" si="1358"/>
        <v/>
      </c>
      <c r="AA233" s="125" t="str">
        <f t="shared" ca="1" si="1358"/>
        <v/>
      </c>
      <c r="AB233" s="125" t="str">
        <f t="shared" ca="1" si="1358"/>
        <v/>
      </c>
      <c r="AC233" s="125" t="str">
        <f t="shared" ca="1" si="1358"/>
        <v/>
      </c>
      <c r="AD233" s="125" t="str">
        <f t="shared" ca="1" si="1358"/>
        <v/>
      </c>
      <c r="AE233" s="125" t="str">
        <f t="shared" ca="1" si="1358"/>
        <v/>
      </c>
      <c r="AF233" s="125" t="str">
        <f t="shared" ca="1" si="1358"/>
        <v/>
      </c>
      <c r="AG233" s="125" t="str">
        <f t="shared" ca="1" si="1358"/>
        <v/>
      </c>
      <c r="AH233" s="125" t="str">
        <f t="shared" ca="1" si="1358"/>
        <v/>
      </c>
      <c r="AI233" s="125" t="str">
        <f t="shared" ca="1" si="1358"/>
        <v/>
      </c>
      <c r="AJ233" s="125" t="str">
        <f t="shared" ca="1" si="1358"/>
        <v/>
      </c>
      <c r="AK233" s="125" t="str">
        <f t="shared" ca="1" si="1358"/>
        <v/>
      </c>
      <c r="AL233" s="125" t="str">
        <f t="shared" ca="1" si="1358"/>
        <v/>
      </c>
      <c r="AM233" s="125" t="str">
        <f t="shared" ca="1" si="1358"/>
        <v/>
      </c>
      <c r="AN233" s="125" t="str">
        <f t="shared" ca="1" si="1358"/>
        <v/>
      </c>
      <c r="AO233" s="125" t="str">
        <f t="shared" ca="1" si="1358"/>
        <v/>
      </c>
      <c r="AP233" s="125" t="str">
        <f t="shared" ca="1" si="1358"/>
        <v/>
      </c>
      <c r="AQ233" s="125" t="str">
        <f t="shared" ca="1" si="1358"/>
        <v/>
      </c>
      <c r="AR233" s="125" t="str">
        <f t="shared" ca="1" si="1358"/>
        <v/>
      </c>
      <c r="AS233" s="125" t="str">
        <f t="shared" ca="1" si="1358"/>
        <v/>
      </c>
      <c r="AT233" s="125" t="str">
        <f t="shared" ca="1" si="1358"/>
        <v/>
      </c>
      <c r="AU233" s="125" t="str">
        <f t="shared" ca="1" si="1358"/>
        <v/>
      </c>
      <c r="AV233" s="125" t="str">
        <f t="shared" ca="1" si="1358"/>
        <v/>
      </c>
      <c r="AW233" s="125" t="str">
        <f t="shared" ca="1" si="1358"/>
        <v/>
      </c>
      <c r="AX233" s="90"/>
      <c r="AY233" s="90"/>
      <c r="AZ233" s="87"/>
    </row>
    <row r="234" spans="3:52" ht="12.75" hidden="1" customHeight="1" outlineLevel="1" x14ac:dyDescent="0.2">
      <c r="C234" s="126">
        <f>INDEX(g_sc_1_assets_dates,G234)</f>
        <v>0</v>
      </c>
      <c r="G234" s="127">
        <v>16</v>
      </c>
      <c r="N234" s="85"/>
      <c r="O234" s="90"/>
      <c r="P234" s="90"/>
      <c r="Q234" s="115" t="str">
        <f>INDEX(g_lang_val,MATCH("tb_2_4_1",g_lang_key,0))</f>
        <v>Køb af anlægsaktiver</v>
      </c>
      <c r="R234" s="116"/>
      <c r="S234" s="119">
        <f ca="1">SUM(T234:BG234)</f>
        <v>0</v>
      </c>
      <c r="T234" s="114">
        <f ca="1">IF(T233="","",SUMPRODUCT(--(Leverancer!$C$28:$C$88=($G234+2)),Leverancer!D$28:D$88)/1000)</f>
        <v>0</v>
      </c>
      <c r="U234" s="114">
        <f ca="1">IF(U233="","",SUMPRODUCT(--(Leverancer!$C$28:$C$88=($G234+2)),Leverancer!E$28:E$88)/1000)</f>
        <v>0</v>
      </c>
      <c r="V234" s="114">
        <f ca="1">IF(V233="","",SUMPRODUCT(--(Leverancer!$C$28:$C$88=($G234+2)),Leverancer!F$28:F$88)/1000)</f>
        <v>0</v>
      </c>
      <c r="W234" s="114">
        <f ca="1">IF(W233="","",SUMPRODUCT(--(Leverancer!$C$28:$C$88=($G234+2)),Leverancer!G$28:G$88)/1000)</f>
        <v>0</v>
      </c>
      <c r="X234" s="114" t="str">
        <f ca="1">IF(X233="","",SUMPRODUCT(--(Leverancer!$C$28:$C$88=($G234+2)),Leverancer!H$28:H$88)/1000)</f>
        <v/>
      </c>
      <c r="Y234" s="114" t="str">
        <f ca="1">IF(Y233="","",SUMPRODUCT(--(Leverancer!$C$28:$C$88=($G234+2)),Leverancer!I$28:I$88)/1000)</f>
        <v/>
      </c>
      <c r="Z234" s="114" t="str">
        <f ca="1">IF(Z233="","",SUMPRODUCT(--(Leverancer!$C$28:$C$88=($G234+2)),Leverancer!J$28:J$88)/1000)</f>
        <v/>
      </c>
      <c r="AA234" s="114" t="str">
        <f ca="1">IF(AA233="","",SUMPRODUCT(--(Leverancer!$C$28:$C$88=($G234+2)),Leverancer!K$28:K$88)/1000)</f>
        <v/>
      </c>
      <c r="AB234" s="114" t="str">
        <f ca="1">IF(AB233="","",SUMPRODUCT(--(Leverancer!$C$28:$C$88=($G234+2)),Leverancer!L$28:L$88)/1000)</f>
        <v/>
      </c>
      <c r="AC234" s="114" t="str">
        <f ca="1">IF(AC233="","",SUMPRODUCT(--(Leverancer!$C$28:$C$88=($G234+2)),Leverancer!M$28:M$88)/1000)</f>
        <v/>
      </c>
      <c r="AD234" s="114" t="str">
        <f ca="1">IF(AD233="","",SUMPRODUCT(--(Leverancer!$C$28:$C$88=($G234+2)),Leverancer!N$28:N$88)/1000)</f>
        <v/>
      </c>
      <c r="AE234" s="114" t="str">
        <f ca="1">IF(AE233="","",SUMPRODUCT(--(Leverancer!$C$28:$C$88=($G234+2)),Leverancer!O$28:O$88)/1000)</f>
        <v/>
      </c>
      <c r="AF234" s="114" t="str">
        <f ca="1">IF(AF233="","",SUMPRODUCT(--(Leverancer!$C$28:$C$88=($G234+2)),Leverancer!P$28:P$88)/1000)</f>
        <v/>
      </c>
      <c r="AG234" s="114" t="str">
        <f ca="1">IF(AG233="","",SUMPRODUCT(--(Leverancer!$C$28:$C$88=($G234+2)),Leverancer!Q$28:Q$88)/1000)</f>
        <v/>
      </c>
      <c r="AH234" s="114" t="str">
        <f ca="1">IF(AH233="","",SUMPRODUCT(--(Leverancer!$C$28:$C$88=($G234+2)),Leverancer!R$28:R$88)/1000)</f>
        <v/>
      </c>
      <c r="AI234" s="114" t="str">
        <f ca="1">IF(AI233="","",SUMPRODUCT(--(Leverancer!$C$28:$C$88=($G234+2)),Leverancer!S$28:S$88)/1000)</f>
        <v/>
      </c>
      <c r="AJ234" s="114" t="str">
        <f ca="1">IF(AJ233="","",SUMPRODUCT(--(Leverancer!$C$28:$C$88=($G234+2)),Leverancer!T$28:T$88)/1000)</f>
        <v/>
      </c>
      <c r="AK234" s="114" t="str">
        <f ca="1">IF(AK233="","",SUMPRODUCT(--(Leverancer!$C$28:$C$88=($G234+2)),Leverancer!U$28:U$88)/1000)</f>
        <v/>
      </c>
      <c r="AL234" s="114" t="str">
        <f ca="1">IF(AL233="","",SUMPRODUCT(--(Leverancer!$C$28:$C$88=($G234+2)),Leverancer!V$28:V$88)/1000)</f>
        <v/>
      </c>
      <c r="AM234" s="114" t="str">
        <f ca="1">IF(AM233="","",SUMPRODUCT(--(Leverancer!$C$28:$C$88=($G234+2)),Leverancer!W$28:W$88)/1000)</f>
        <v/>
      </c>
      <c r="AN234" s="114" t="str">
        <f ca="1">IF(AN233="","",SUMPRODUCT(--(Leverancer!$C$28:$C$88=($G234+2)),Leverancer!X$28:X$88)/1000)</f>
        <v/>
      </c>
      <c r="AO234" s="114" t="str">
        <f ca="1">IF(AO233="","",SUMPRODUCT(--(Leverancer!$C$28:$C$88=($G234+2)),Leverancer!Y$28:Y$88)/1000)</f>
        <v/>
      </c>
      <c r="AP234" s="114" t="str">
        <f ca="1">IF(AP233="","",SUMPRODUCT(--(Leverancer!$C$28:$C$88=($G234+2)),Leverancer!Z$28:Z$88)/1000)</f>
        <v/>
      </c>
      <c r="AQ234" s="114" t="str">
        <f ca="1">IF(AQ233="","",SUMPRODUCT(--(Leverancer!$C$28:$C$88=($G234+2)),Leverancer!AA$28:AA$88)/1000)</f>
        <v/>
      </c>
      <c r="AR234" s="114" t="str">
        <f ca="1">IF(AR233="","",SUMPRODUCT(--(Leverancer!$C$28:$C$88=($G234+2)),Leverancer!AB$28:AB$88)/1000)</f>
        <v/>
      </c>
      <c r="AS234" s="114" t="str">
        <f ca="1">IF(AS233="","",SUMPRODUCT(--(Leverancer!$C$28:$C$88=($G234+2)),Leverancer!AC$28:AC$88)/1000)</f>
        <v/>
      </c>
      <c r="AT234" s="114" t="str">
        <f ca="1">IF(AT233="","",SUMPRODUCT(--(Leverancer!$C$28:$C$88=($G234+2)),Leverancer!AD$28:AD$88)/1000)</f>
        <v/>
      </c>
      <c r="AU234" s="114" t="str">
        <f ca="1">IF(AU233="","",SUMPRODUCT(--(Leverancer!$C$28:$C$88=($G234+2)),Leverancer!AE$28:AE$88)/1000)</f>
        <v/>
      </c>
      <c r="AV234" s="114" t="str">
        <f ca="1">IF(AV233="","",SUMPRODUCT(--(Leverancer!$C$28:$C$88=($G234+2)),Leverancer!AF$28:AF$88)/1000)</f>
        <v/>
      </c>
      <c r="AW234" s="114" t="str">
        <f ca="1">IF(AW233="","",SUMPRODUCT(--(Leverancer!$C$28:$C$88=($G234+2)),Leverancer!AG$28:AG$88)/1000)</f>
        <v/>
      </c>
      <c r="AX234" s="90"/>
      <c r="AY234" s="90"/>
      <c r="AZ234" s="87"/>
    </row>
    <row r="235" spans="3:52" ht="12.75" hidden="1" customHeight="1" outlineLevel="1" x14ac:dyDescent="0.2">
      <c r="C235" s="128">
        <f>IFERROR(YEAR(C234),"")</f>
        <v>1900</v>
      </c>
      <c r="D235" s="128">
        <f>IFERROR(MONTH(C234),"")</f>
        <v>1</v>
      </c>
      <c r="E235" s="128">
        <f>INDEX(g_sc_1_assets_years,G234)</f>
        <v>0</v>
      </c>
      <c r="N235" s="85"/>
      <c r="O235" s="90"/>
      <c r="P235" s="90"/>
      <c r="Q235" s="115" t="str">
        <f>INDEX(g_lang_val,MATCH("tb_2_4_2",g_lang_key,0))</f>
        <v>Afskrivninger</v>
      </c>
      <c r="R235" s="116"/>
      <c r="S235" s="119">
        <f ca="1">SUM(T235:BG235)</f>
        <v>0</v>
      </c>
      <c r="T235" s="114">
        <f t="shared" ref="T235" ca="1" si="1359">IF(T233="","",IF(T233&lt;$C235,0,IF(T233=$C235,T234/$C236*$E236+S236/$C236*$E236,IF(AND(T233&gt;$C235,T233&lt;ROUNDDOWN(($C235+($D235+$C236-1)/12),0)),(T234/2+S236)/($C236-$E236-12*(T233-$C235-1))*12,IF(AND($D236&lt;0,T233=ROUNDDOWN(($C235+($D235+$C236-1)/12),0)),S236+T234,IF(T233=ROUNDDOWN(($C235+($D235+$C236-1)/12),0),(T234+S236)/$C236*($D236+(T233-$C235-1)*12+$E236),IF(T233&gt;ROUNDDOWN(($C235+($D235+$C236)/12),0),0,0)))))))</f>
        <v>0</v>
      </c>
      <c r="U235" s="114">
        <f t="shared" ref="U235" ca="1" si="1360">IF(U233="","",IF(U233&lt;$C235,0,IF(U233=$C235,U234/$C236*$E236+T236/$C236*$E236,IF(AND(U233&gt;$C235,U233&lt;ROUNDDOWN(($C235+($D235+$C236-1)/12),0)),(U234/2+T236)/($C236-$E236-12*(U233-$C235-1))*12,IF(AND($D236&lt;0,U233=ROUNDDOWN(($C235+($D235+$C236-1)/12),0)),T236+U234,IF(U233=ROUNDDOWN(($C235+($D235+$C236-1)/12),0),(U234+T236)/$C236*($D236+(U233-$C235-1)*12+$E236),IF(U233&gt;ROUNDDOWN(($C235+($D235+$C236)/12),0),0,0)))))))</f>
        <v>0</v>
      </c>
      <c r="V235" s="114">
        <f t="shared" ref="V235" ca="1" si="1361">IF(V233="","",IF(V233&lt;$C235,0,IF(V233=$C235,V234/$C236*$E236+U236/$C236*$E236,IF(AND(V233&gt;$C235,V233&lt;ROUNDDOWN(($C235+($D235+$C236-1)/12),0)),(V234/2+U236)/($C236-$E236-12*(V233-$C235-1))*12,IF(AND($D236&lt;0,V233=ROUNDDOWN(($C235+($D235+$C236-1)/12),0)),U236+V234,IF(V233=ROUNDDOWN(($C235+($D235+$C236-1)/12),0),(V234+U236)/$C236*($D236+(V233-$C235-1)*12+$E236),IF(V233&gt;ROUNDDOWN(($C235+($D235+$C236)/12),0),0,0)))))))</f>
        <v>0</v>
      </c>
      <c r="W235" s="114">
        <f t="shared" ref="W235" ca="1" si="1362">IF(W233="","",IF(W233&lt;$C235,0,IF(W233=$C235,W234/$C236*$E236+V236/$C236*$E236,IF(AND(W233&gt;$C235,W233&lt;ROUNDDOWN(($C235+($D235+$C236-1)/12),0)),(W234/2+V236)/($C236-$E236-12*(W233-$C235-1))*12,IF(AND($D236&lt;0,W233=ROUNDDOWN(($C235+($D235+$C236-1)/12),0)),V236+W234,IF(W233=ROUNDDOWN(($C235+($D235+$C236-1)/12),0),(W234+V236)/$C236*($D236+(W233-$C235-1)*12+$E236),IF(W233&gt;ROUNDDOWN(($C235+($D235+$C236)/12),0),0,0)))))))</f>
        <v>0</v>
      </c>
      <c r="X235" s="114" t="str">
        <f t="shared" ref="X235" ca="1" si="1363">IF(X233="","",IF(X233&lt;$C235,0,IF(X233=$C235,X234/$C236*$E236+W236/$C236*$E236,IF(AND(X233&gt;$C235,X233&lt;ROUNDDOWN(($C235+($D235+$C236-1)/12),0)),(X234/2+W236)/($C236-$E236-12*(X233-$C235-1))*12,IF(AND($D236&lt;0,X233=ROUNDDOWN(($C235+($D235+$C236-1)/12),0)),W236+X234,IF(X233=ROUNDDOWN(($C235+($D235+$C236-1)/12),0),(X234+W236)/$C236*($D236+(X233-$C235-1)*12+$E236),IF(X233&gt;ROUNDDOWN(($C235+($D235+$C236)/12),0),0,0)))))))</f>
        <v/>
      </c>
      <c r="Y235" s="114" t="str">
        <f t="shared" ref="Y235" ca="1" si="1364">IF(Y233="","",IF(Y233&lt;$C235,0,IF(Y233=$C235,Y234/$C236*$E236+X236/$C236*$E236,IF(AND(Y233&gt;$C235,Y233&lt;ROUNDDOWN(($C235+($D235+$C236-1)/12),0)),(Y234/2+X236)/($C236-$E236-12*(Y233-$C235-1))*12,IF(AND($D236&lt;0,Y233=ROUNDDOWN(($C235+($D235+$C236-1)/12),0)),X236+Y234,IF(Y233=ROUNDDOWN(($C235+($D235+$C236-1)/12),0),(Y234+X236)/$C236*($D236+(Y233-$C235-1)*12+$E236),IF(Y233&gt;ROUNDDOWN(($C235+($D235+$C236)/12),0),0,0)))))))</f>
        <v/>
      </c>
      <c r="Z235" s="114" t="str">
        <f ca="1">IF(Z233="","",IF(Z233&lt;$C235,0,IF(Z233=$C235,Z234/$C236*$E236+Y236/$C236*$E236,IF(AND(Z233&gt;$C235,Z233&lt;ROUNDDOWN(($C235+($D235+$C236-1)/12),0)),(Z234/2+Y236)/($C236-$E236-12*(Z233-$C235-1))*12,IF(AND($D236&lt;0,Z233=ROUNDDOWN(($C235+($D235+$C236-1)/12),0)),Y236+Z234,IF(Z233=ROUNDDOWN(($C235+($D235+$C236-1)/12),0),(Z234+Y236)/$C236*($D236+(Z233-$C235-1)*12+$E236),IF(Z233&gt;ROUNDDOWN(($C235+($D235+$C236)/12),0),0,0)))))))</f>
        <v/>
      </c>
      <c r="AA235" s="114" t="str">
        <f t="shared" ref="AA235" ca="1" si="1365">IF(AA233="","",IF(AA233&lt;$C235,0,IF(AA233=$C235,AA234/$C236*$E236+Z236/$C236*$E236,IF(AND(AA233&gt;$C235,AA233&lt;ROUNDDOWN(($C235+($D235+$C236-1)/12),0)),(AA234/2+Z236)/($C236-$E236-12*(AA233-$C235-1))*12,IF(AND($D236&lt;0,AA233=ROUNDDOWN(($C235+($D235+$C236-1)/12),0)),Z236+AA234,IF(AA233=ROUNDDOWN(($C235+($D235+$C236-1)/12),0),(AA234+Z236)/$C236*($D236+(AA233-$C235-1)*12+$E236),IF(AA233&gt;ROUNDDOWN(($C235+($D235+$C236)/12),0),0,0)))))))</f>
        <v/>
      </c>
      <c r="AB235" s="114" t="str">
        <f t="shared" ref="AB235" ca="1" si="1366">IF(AB233="","",IF(AB233&lt;$C235,0,IF(AB233=$C235,AB234/$C236*$E236+AA236/$C236*$E236,IF(AND(AB233&gt;$C235,AB233&lt;ROUNDDOWN(($C235+($D235+$C236-1)/12),0)),(AB234/2+AA236)/($C236-$E236-12*(AB233-$C235-1))*12,IF(AND($D236&lt;0,AB233=ROUNDDOWN(($C235+($D235+$C236-1)/12),0)),AA236+AB234,IF(AB233=ROUNDDOWN(($C235+($D235+$C236-1)/12),0),(AB234+AA236)/$C236*($D236+(AB233-$C235-1)*12+$E236),IF(AB233&gt;ROUNDDOWN(($C235+($D235+$C236)/12),0),0,0)))))))</f>
        <v/>
      </c>
      <c r="AC235" s="114" t="str">
        <f t="shared" ref="AC235" ca="1" si="1367">IF(AC233="","",IF(AC233&lt;$C235,0,IF(AC233=$C235,AC234/$C236*$E236+AB236/$C236*$E236,IF(AND(AC233&gt;$C235,AC233&lt;ROUNDDOWN(($C235+($D235+$C236-1)/12),0)),(AC234/2+AB236)/($C236-$E236-12*(AC233-$C235-1))*12,IF(AND($D236&lt;0,AC233=ROUNDDOWN(($C235+($D235+$C236-1)/12),0)),AB236+AC234,IF(AC233=ROUNDDOWN(($C235+($D235+$C236-1)/12),0),(AC234+AB236)/$C236*($D236+(AC233-$C235-1)*12+$E236),IF(AC233&gt;ROUNDDOWN(($C235+($D235+$C236)/12),0),0,0)))))))</f>
        <v/>
      </c>
      <c r="AD235" s="114" t="str">
        <f t="shared" ref="AD235" ca="1" si="1368">IF(AD233="","",IF(AD233&lt;$C235,0,IF(AD233=$C235,AD234/$C236*$E236+AC236/$C236*$E236,IF(AND(AD233&gt;$C235,AD233&lt;ROUNDDOWN(($C235+($D235+$C236-1)/12),0)),(AD234/2+AC236)/($C236-$E236-12*(AD233-$C235-1))*12,IF(AND($D236&lt;0,AD233=ROUNDDOWN(($C235+($D235+$C236-1)/12),0)),AC236+AD234,IF(AD233=ROUNDDOWN(($C235+($D235+$C236-1)/12),0),(AD234+AC236)/$C236*($D236+(AD233-$C235-1)*12+$E236),IF(AD233&gt;ROUNDDOWN(($C235+($D235+$C236)/12),0),0,0)))))))</f>
        <v/>
      </c>
      <c r="AE235" s="114" t="str">
        <f t="shared" ref="AE235" ca="1" si="1369">IF(AE233="","",IF(AE233&lt;$C235,0,IF(AE233=$C235,AE234/$C236*$E236+AD236/$C236*$E236,IF(AND(AE233&gt;$C235,AE233&lt;ROUNDDOWN(($C235+($D235+$C236-1)/12),0)),(AE234/2+AD236)/($C236-$E236-12*(AE233-$C235-1))*12,IF(AND($D236&lt;0,AE233=ROUNDDOWN(($C235+($D235+$C236-1)/12),0)),AD236+AE234,IF(AE233=ROUNDDOWN(($C235+($D235+$C236-1)/12),0),(AE234+AD236)/$C236*($D236+(AE233-$C235-1)*12+$E236),IF(AE233&gt;ROUNDDOWN(($C235+($D235+$C236)/12),0),0,0)))))))</f>
        <v/>
      </c>
      <c r="AF235" s="114" t="str">
        <f t="shared" ref="AF235" ca="1" si="1370">IF(AF233="","",IF(AF233&lt;$C235,0,IF(AF233=$C235,AF234/$C236*$E236+AE236/$C236*$E236,IF(AND(AF233&gt;$C235,AF233&lt;ROUNDDOWN(($C235+($D235+$C236-1)/12),0)),(AF234/2+AE236)/($C236-$E236-12*(AF233-$C235-1))*12,IF(AND($D236&lt;0,AF233=ROUNDDOWN(($C235+($D235+$C236-1)/12),0)),AE236+AF234,IF(AF233=ROUNDDOWN(($C235+($D235+$C236-1)/12),0),(AF234+AE236)/$C236*($D236+(AF233-$C235-1)*12+$E236),IF(AF233&gt;ROUNDDOWN(($C235+($D235+$C236)/12),0),0,0)))))))</f>
        <v/>
      </c>
      <c r="AG235" s="114" t="str">
        <f t="shared" ref="AG235" ca="1" si="1371">IF(AG233="","",IF(AG233&lt;$C235,0,IF(AG233=$C235,AG234/$C236*$E236+AF236/$C236*$E236,IF(AND(AG233&gt;$C235,AG233&lt;ROUNDDOWN(($C235+($D235+$C236-1)/12),0)),(AG234/2+AF236)/($C236-$E236-12*(AG233-$C235-1))*12,IF(AND($D236&lt;0,AG233=ROUNDDOWN(($C235+($D235+$C236-1)/12),0)),AF236+AG234,IF(AG233=ROUNDDOWN(($C235+($D235+$C236-1)/12),0),(AG234+AF236)/$C236*($D236+(AG233-$C235-1)*12+$E236),IF(AG233&gt;ROUNDDOWN(($C235+($D235+$C236)/12),0),0,0)))))))</f>
        <v/>
      </c>
      <c r="AH235" s="114" t="str">
        <f t="shared" ref="AH235" ca="1" si="1372">IF(AH233="","",IF(AH233&lt;$C235,0,IF(AH233=$C235,AH234/$C236*$E236+AG236/$C236*$E236,IF(AND(AH233&gt;$C235,AH233&lt;ROUNDDOWN(($C235+($D235+$C236-1)/12),0)),(AH234/2+AG236)/($C236-$E236-12*(AH233-$C235-1))*12,IF(AND($D236&lt;0,AH233=ROUNDDOWN(($C235+($D235+$C236-1)/12),0)),AG236+AH234,IF(AH233=ROUNDDOWN(($C235+($D235+$C236-1)/12),0),(AH234+AG236)/$C236*($D236+(AH233-$C235-1)*12+$E236),IF(AH233&gt;ROUNDDOWN(($C235+($D235+$C236)/12),0),0,0)))))))</f>
        <v/>
      </c>
      <c r="AI235" s="114" t="str">
        <f t="shared" ref="AI235" ca="1" si="1373">IF(AI233="","",IF(AI233&lt;$C235,0,IF(AI233=$C235,AI234/$C236*$E236+AH236/$C236*$E236,IF(AND(AI233&gt;$C235,AI233&lt;ROUNDDOWN(($C235+($D235+$C236-1)/12),0)),(AI234/2+AH236)/($C236-$E236-12*(AI233-$C235-1))*12,IF(AND($D236&lt;0,AI233=ROUNDDOWN(($C235+($D235+$C236-1)/12),0)),AH236+AI234,IF(AI233=ROUNDDOWN(($C235+($D235+$C236-1)/12),0),(AI234+AH236)/$C236*($D236+(AI233-$C235-1)*12+$E236),IF(AI233&gt;ROUNDDOWN(($C235+($D235+$C236)/12),0),0,0)))))))</f>
        <v/>
      </c>
      <c r="AJ235" s="114" t="str">
        <f t="shared" ref="AJ235" ca="1" si="1374">IF(AJ233="","",IF(AJ233&lt;$C235,0,IF(AJ233=$C235,AJ234/$C236*$E236+AI236/$C236*$E236,IF(AND(AJ233&gt;$C235,AJ233&lt;ROUNDDOWN(($C235+($D235+$C236-1)/12),0)),(AJ234/2+AI236)/($C236-$E236-12*(AJ233-$C235-1))*12,IF(AND($D236&lt;0,AJ233=ROUNDDOWN(($C235+($D235+$C236-1)/12),0)),AI236+AJ234,IF(AJ233=ROUNDDOWN(($C235+($D235+$C236-1)/12),0),(AJ234+AI236)/$C236*($D236+(AJ233-$C235-1)*12+$E236),IF(AJ233&gt;ROUNDDOWN(($C235+($D235+$C236)/12),0),0,0)))))))</f>
        <v/>
      </c>
      <c r="AK235" s="114" t="str">
        <f t="shared" ref="AK235" ca="1" si="1375">IF(AK233="","",IF(AK233&lt;$C235,0,IF(AK233=$C235,AK234/$C236*$E236+AJ236/$C236*$E236,IF(AND(AK233&gt;$C235,AK233&lt;ROUNDDOWN(($C235+($D235+$C236-1)/12),0)),(AK234/2+AJ236)/($C236-$E236-12*(AK233-$C235-1))*12,IF(AND($D236&lt;0,AK233=ROUNDDOWN(($C235+($D235+$C236-1)/12),0)),AJ236+AK234,IF(AK233=ROUNDDOWN(($C235+($D235+$C236-1)/12),0),(AK234+AJ236)/$C236*($D236+(AK233-$C235-1)*12+$E236),IF(AK233&gt;ROUNDDOWN(($C235+($D235+$C236)/12),0),0,0)))))))</f>
        <v/>
      </c>
      <c r="AL235" s="114" t="str">
        <f t="shared" ref="AL235" ca="1" si="1376">IF(AL233="","",IF(AL233&lt;$C235,0,IF(AL233=$C235,AL234/$C236*$E236+AK236/$C236*$E236,IF(AND(AL233&gt;$C235,AL233&lt;ROUNDDOWN(($C235+($D235+$C236-1)/12),0)),(AL234/2+AK236)/($C236-$E236-12*(AL233-$C235-1))*12,IF(AND($D236&lt;0,AL233=ROUNDDOWN(($C235+($D235+$C236-1)/12),0)),AK236+AL234,IF(AL233=ROUNDDOWN(($C235+($D235+$C236-1)/12),0),(AL234+AK236)/$C236*($D236+(AL233-$C235-1)*12+$E236),IF(AL233&gt;ROUNDDOWN(($C235+($D235+$C236)/12),0),0,0)))))))</f>
        <v/>
      </c>
      <c r="AM235" s="114" t="str">
        <f t="shared" ref="AM235" ca="1" si="1377">IF(AM233="","",IF(AM233&lt;$C235,0,IF(AM233=$C235,AM234/$C236*$E236+AL236/$C236*$E236,IF(AND(AM233&gt;$C235,AM233&lt;ROUNDDOWN(($C235+($D235+$C236-1)/12),0)),(AM234/2+AL236)/($C236-$E236-12*(AM233-$C235-1))*12,IF(AND($D236&lt;0,AM233=ROUNDDOWN(($C235+($D235+$C236-1)/12),0)),AL236+AM234,IF(AM233=ROUNDDOWN(($C235+($D235+$C236-1)/12),0),(AM234+AL236)/$C236*($D236+(AM233-$C235-1)*12+$E236),IF(AM233&gt;ROUNDDOWN(($C235+($D235+$C236)/12),0),0,0)))))))</f>
        <v/>
      </c>
      <c r="AN235" s="114" t="str">
        <f t="shared" ref="AN235" ca="1" si="1378">IF(AN233="","",IF(AN233&lt;$C235,0,IF(AN233=$C235,AN234/$C236*$E236+AM236/$C236*$E236,IF(AND(AN233&gt;$C235,AN233&lt;ROUNDDOWN(($C235+($D235+$C236-1)/12),0)),(AN234/2+AM236)/($C236-$E236-12*(AN233-$C235-1))*12,IF(AND($D236&lt;0,AN233=ROUNDDOWN(($C235+($D235+$C236-1)/12),0)),AM236+AN234,IF(AN233=ROUNDDOWN(($C235+($D235+$C236-1)/12),0),(AN234+AM236)/$C236*($D236+(AN233-$C235-1)*12+$E236),IF(AN233&gt;ROUNDDOWN(($C235+($D235+$C236)/12),0),0,0)))))))</f>
        <v/>
      </c>
      <c r="AO235" s="114" t="str">
        <f t="shared" ref="AO235" ca="1" si="1379">IF(AO233="","",IF(AO233&lt;$C235,0,IF(AO233=$C235,AO234/$C236*$E236+AN236/$C236*$E236,IF(AND(AO233&gt;$C235,AO233&lt;ROUNDDOWN(($C235+($D235+$C236-1)/12),0)),(AO234/2+AN236)/($C236-$E236-12*(AO233-$C235-1))*12,IF(AND($D236&lt;0,AO233=ROUNDDOWN(($C235+($D235+$C236-1)/12),0)),AN236+AO234,IF(AO233=ROUNDDOWN(($C235+($D235+$C236-1)/12),0),(AO234+AN236)/$C236*($D236+(AO233-$C235-1)*12+$E236),IF(AO233&gt;ROUNDDOWN(($C235+($D235+$C236)/12),0),0,0)))))))</f>
        <v/>
      </c>
      <c r="AP235" s="114" t="str">
        <f t="shared" ref="AP235" ca="1" si="1380">IF(AP233="","",IF(AP233&lt;$C235,0,IF(AP233=$C235,AP234/$C236*$E236+AO236/$C236*$E236,IF(AND(AP233&gt;$C235,AP233&lt;ROUNDDOWN(($C235+($D235+$C236-1)/12),0)),(AP234/2+AO236)/($C236-$E236-12*(AP233-$C235-1))*12,IF(AND($D236&lt;0,AP233=ROUNDDOWN(($C235+($D235+$C236-1)/12),0)),AO236+AP234,IF(AP233=ROUNDDOWN(($C235+($D235+$C236-1)/12),0),(AP234+AO236)/$C236*($D236+(AP233-$C235-1)*12+$E236),IF(AP233&gt;ROUNDDOWN(($C235+($D235+$C236)/12),0),0,0)))))))</f>
        <v/>
      </c>
      <c r="AQ235" s="114" t="str">
        <f t="shared" ref="AQ235" ca="1" si="1381">IF(AQ233="","",IF(AQ233&lt;$C235,0,IF(AQ233=$C235,AQ234/$C236*$E236+AP236/$C236*$E236,IF(AND(AQ233&gt;$C235,AQ233&lt;ROUNDDOWN(($C235+($D235+$C236-1)/12),0)),(AQ234/2+AP236)/($C236-$E236-12*(AQ233-$C235-1))*12,IF(AND($D236&lt;0,AQ233=ROUNDDOWN(($C235+($D235+$C236-1)/12),0)),AP236+AQ234,IF(AQ233=ROUNDDOWN(($C235+($D235+$C236-1)/12),0),(AQ234+AP236)/$C236*($D236+(AQ233-$C235-1)*12+$E236),IF(AQ233&gt;ROUNDDOWN(($C235+($D235+$C236)/12),0),0,0)))))))</f>
        <v/>
      </c>
      <c r="AR235" s="114" t="str">
        <f t="shared" ref="AR235" ca="1" si="1382">IF(AR233="","",IF(AR233&lt;$C235,0,IF(AR233=$C235,AR234/$C236*$E236+AQ236/$C236*$E236,IF(AND(AR233&gt;$C235,AR233&lt;ROUNDDOWN(($C235+($D235+$C236-1)/12),0)),(AR234/2+AQ236)/($C236-$E236-12*(AR233-$C235-1))*12,IF(AND($D236&lt;0,AR233=ROUNDDOWN(($C235+($D235+$C236-1)/12),0)),AQ236+AR234,IF(AR233=ROUNDDOWN(($C235+($D235+$C236-1)/12),0),(AR234+AQ236)/$C236*($D236+(AR233-$C235-1)*12+$E236),IF(AR233&gt;ROUNDDOWN(($C235+($D235+$C236)/12),0),0,0)))))))</f>
        <v/>
      </c>
      <c r="AS235" s="114" t="str">
        <f t="shared" ref="AS235" ca="1" si="1383">IF(AS233="","",IF(AS233&lt;$C235,0,IF(AS233=$C235,AS234/$C236*$E236+AR236/$C236*$E236,IF(AND(AS233&gt;$C235,AS233&lt;ROUNDDOWN(($C235+($D235+$C236-1)/12),0)),(AS234/2+AR236)/($C236-$E236-12*(AS233-$C235-1))*12,IF(AND($D236&lt;0,AS233=ROUNDDOWN(($C235+($D235+$C236-1)/12),0)),AR236+AS234,IF(AS233=ROUNDDOWN(($C235+($D235+$C236-1)/12),0),(AS234+AR236)/$C236*($D236+(AS233-$C235-1)*12+$E236),IF(AS233&gt;ROUNDDOWN(($C235+($D235+$C236)/12),0),0,0)))))))</f>
        <v/>
      </c>
      <c r="AT235" s="114" t="str">
        <f t="shared" ref="AT235" ca="1" si="1384">IF(AT233="","",IF(AT233&lt;$C235,0,IF(AT233=$C235,AT234/$C236*$E236+AS236/$C236*$E236,IF(AND(AT233&gt;$C235,AT233&lt;ROUNDDOWN(($C235+($D235+$C236-1)/12),0)),(AT234/2+AS236)/($C236-$E236-12*(AT233-$C235-1))*12,IF(AND($D236&lt;0,AT233=ROUNDDOWN(($C235+($D235+$C236-1)/12),0)),AS236+AT234,IF(AT233=ROUNDDOWN(($C235+($D235+$C236-1)/12),0),(AT234+AS236)/$C236*($D236+(AT233-$C235-1)*12+$E236),IF(AT233&gt;ROUNDDOWN(($C235+($D235+$C236)/12),0),0,0)))))))</f>
        <v/>
      </c>
      <c r="AU235" s="114" t="str">
        <f t="shared" ref="AU235" ca="1" si="1385">IF(AU233="","",IF(AU233&lt;$C235,0,IF(AU233=$C235,AU234/$C236*$E236+AT236/$C236*$E236,IF(AND(AU233&gt;$C235,AU233&lt;ROUNDDOWN(($C235+($D235+$C236-1)/12),0)),(AU234/2+AT236)/($C236-$E236-12*(AU233-$C235-1))*12,IF(AND($D236&lt;0,AU233=ROUNDDOWN(($C235+($D235+$C236-1)/12),0)),AT236+AU234,IF(AU233=ROUNDDOWN(($C235+($D235+$C236-1)/12),0),(AU234+AT236)/$C236*($D236+(AU233-$C235-1)*12+$E236),IF(AU233&gt;ROUNDDOWN(($C235+($D235+$C236)/12),0),0,0)))))))</f>
        <v/>
      </c>
      <c r="AV235" s="114" t="str">
        <f t="shared" ref="AV235" ca="1" si="1386">IF(AV233="","",IF(AV233&lt;$C235,0,IF(AV233=$C235,AV234/$C236*$E236+AU236/$C236*$E236,IF(AND(AV233&gt;$C235,AV233&lt;ROUNDDOWN(($C235+($D235+$C236-1)/12),0)),(AV234/2+AU236)/($C236-$E236-12*(AV233-$C235-1))*12,IF(AND($D236&lt;0,AV233=ROUNDDOWN(($C235+($D235+$C236-1)/12),0)),AU236+AV234,IF(AV233=ROUNDDOWN(($C235+($D235+$C236-1)/12),0),(AV234+AU236)/$C236*($D236+(AV233-$C235-1)*12+$E236),IF(AV233&gt;ROUNDDOWN(($C235+($D235+$C236)/12),0),0,0)))))))</f>
        <v/>
      </c>
      <c r="AW235" s="114" t="str">
        <f t="shared" ref="AW235" ca="1" si="1387">IF(AW233="","",IF(AW233&lt;$C235,0,IF(AW233=$C235,AW234/$C236*$E236+AV236/$C236*$E236,IF(AND(AW233&gt;$C235,AW233&lt;ROUNDDOWN(($C235+($D235+$C236-1)/12),0)),(AW234/2+AV236)/($C236-$E236-12*(AW233-$C235-1))*12,IF(AND($D236&lt;0,AW233=ROUNDDOWN(($C235+($D235+$C236-1)/12),0)),AV236+AW234,IF(AW233=ROUNDDOWN(($C235+($D235+$C236-1)/12),0),(AW234+AV236)/$C236*($D236+(AW233-$C235-1)*12+$E236),IF(AW233&gt;ROUNDDOWN(($C235+($D235+$C236)/12),0),0,0)))))))</f>
        <v/>
      </c>
      <c r="AX235" s="90"/>
      <c r="AY235" s="90"/>
      <c r="AZ235" s="87"/>
    </row>
    <row r="236" spans="3:52" ht="12.75" hidden="1" customHeight="1" outlineLevel="1" x14ac:dyDescent="0.2">
      <c r="C236" s="128">
        <f>ROUNDUP((E235-ROUNDDOWN(E235,0))*12,0)+ROUNDDOWN(E235,0)*12</f>
        <v>0</v>
      </c>
      <c r="D236" s="128">
        <f>C236-E236-ROUNDDOWN(E235,0)*12</f>
        <v>-12</v>
      </c>
      <c r="E236" s="128">
        <f>13-MONTH(C234)</f>
        <v>12</v>
      </c>
      <c r="N236" s="85"/>
      <c r="O236" s="90"/>
      <c r="P236" s="90"/>
      <c r="Q236" s="115" t="str">
        <f>INDEX(g_lang_val,MATCH("tb_2_4_3",g_lang_key,0))</f>
        <v>FF4-gæld, ultimo året</v>
      </c>
      <c r="R236" s="116"/>
      <c r="S236" s="119"/>
      <c r="T236" s="114">
        <f t="shared" ref="T236" ca="1" si="1388">IF(T233="","",S236+T234-T235)</f>
        <v>0</v>
      </c>
      <c r="U236" s="114">
        <f t="shared" ref="U236" ca="1" si="1389">IF(U233="","",T236+U234-U235)</f>
        <v>0</v>
      </c>
      <c r="V236" s="114">
        <f t="shared" ref="V236" ca="1" si="1390">IF(V233="","",U236+V234-V235)</f>
        <v>0</v>
      </c>
      <c r="W236" s="114">
        <f t="shared" ref="W236" ca="1" si="1391">IF(W233="","",V236+W234-W235)</f>
        <v>0</v>
      </c>
      <c r="X236" s="114" t="str">
        <f t="shared" ref="X236" ca="1" si="1392">IF(X233="","",W236+X234-X235)</f>
        <v/>
      </c>
      <c r="Y236" s="114" t="str">
        <f t="shared" ref="Y236" ca="1" si="1393">IF(Y233="","",X236+Y234-Y235)</f>
        <v/>
      </c>
      <c r="Z236" s="114" t="str">
        <f t="shared" ref="Z236" ca="1" si="1394">IF(Z233="","",Y236+Z234-Z235)</f>
        <v/>
      </c>
      <c r="AA236" s="114" t="str">
        <f t="shared" ref="AA236" ca="1" si="1395">IF(AA233="","",Z236+AA234-AA235)</f>
        <v/>
      </c>
      <c r="AB236" s="114" t="str">
        <f t="shared" ref="AB236" ca="1" si="1396">IF(AB233="","",AA236+AB234-AB235)</f>
        <v/>
      </c>
      <c r="AC236" s="114" t="str">
        <f t="shared" ref="AC236" ca="1" si="1397">IF(AC233="","",AB236+AC234-AC235)</f>
        <v/>
      </c>
      <c r="AD236" s="114" t="str">
        <f t="shared" ref="AD236" ca="1" si="1398">IF(AD233="","",AC236+AD234-AD235)</f>
        <v/>
      </c>
      <c r="AE236" s="114" t="str">
        <f t="shared" ref="AE236" ca="1" si="1399">IF(AE233="","",AD236+AE234-AE235)</f>
        <v/>
      </c>
      <c r="AF236" s="114" t="str">
        <f t="shared" ref="AF236" ca="1" si="1400">IF(AF233="","",AE236+AF234-AF235)</f>
        <v/>
      </c>
      <c r="AG236" s="114" t="str">
        <f t="shared" ref="AG236" ca="1" si="1401">IF(AG233="","",AF236+AG234-AG235)</f>
        <v/>
      </c>
      <c r="AH236" s="114" t="str">
        <f t="shared" ref="AH236" ca="1" si="1402">IF(AH233="","",AG236+AH234-AH235)</f>
        <v/>
      </c>
      <c r="AI236" s="114" t="str">
        <f t="shared" ref="AI236" ca="1" si="1403">IF(AI233="","",AH236+AI234-AI235)</f>
        <v/>
      </c>
      <c r="AJ236" s="114" t="str">
        <f t="shared" ref="AJ236" ca="1" si="1404">IF(AJ233="","",AI236+AJ234-AJ235)</f>
        <v/>
      </c>
      <c r="AK236" s="114" t="str">
        <f t="shared" ref="AK236" ca="1" si="1405">IF(AK233="","",AJ236+AK234-AK235)</f>
        <v/>
      </c>
      <c r="AL236" s="114" t="str">
        <f t="shared" ref="AL236" ca="1" si="1406">IF(AL233="","",AK236+AL234-AL235)</f>
        <v/>
      </c>
      <c r="AM236" s="114" t="str">
        <f t="shared" ref="AM236" ca="1" si="1407">IF(AM233="","",AL236+AM234-AM235)</f>
        <v/>
      </c>
      <c r="AN236" s="114" t="str">
        <f t="shared" ref="AN236" ca="1" si="1408">IF(AN233="","",AM236+AN234-AN235)</f>
        <v/>
      </c>
      <c r="AO236" s="114" t="str">
        <f t="shared" ref="AO236" ca="1" si="1409">IF(AO233="","",AN236+AO234-AO235)</f>
        <v/>
      </c>
      <c r="AP236" s="114" t="str">
        <f t="shared" ref="AP236" ca="1" si="1410">IF(AP233="","",AO236+AP234-AP235)</f>
        <v/>
      </c>
      <c r="AQ236" s="114" t="str">
        <f t="shared" ref="AQ236" ca="1" si="1411">IF(AQ233="","",AP236+AQ234-AQ235)</f>
        <v/>
      </c>
      <c r="AR236" s="114" t="str">
        <f t="shared" ref="AR236" ca="1" si="1412">IF(AR233="","",AQ236+AR234-AR235)</f>
        <v/>
      </c>
      <c r="AS236" s="114" t="str">
        <f t="shared" ref="AS236" ca="1" si="1413">IF(AS233="","",AR236+AS234-AS235)</f>
        <v/>
      </c>
      <c r="AT236" s="114" t="str">
        <f t="shared" ref="AT236" ca="1" si="1414">IF(AT233="","",AS236+AT234-AT235)</f>
        <v/>
      </c>
      <c r="AU236" s="114" t="str">
        <f t="shared" ref="AU236" ca="1" si="1415">IF(AU233="","",AT236+AU234-AU235)</f>
        <v/>
      </c>
      <c r="AV236" s="114" t="str">
        <f t="shared" ref="AV236" ca="1" si="1416">IF(AV233="","",AU236+AV234-AV235)</f>
        <v/>
      </c>
      <c r="AW236" s="114" t="str">
        <f t="shared" ref="AW236" ca="1" si="1417">IF(AW233="","",AV236+AW234-AW235)</f>
        <v/>
      </c>
      <c r="AX236" s="90"/>
      <c r="AY236" s="90"/>
      <c r="AZ236" s="87"/>
    </row>
    <row r="237" spans="3:52" ht="12.75" hidden="1" customHeight="1" outlineLevel="1" x14ac:dyDescent="0.2">
      <c r="N237" s="85"/>
      <c r="O237" s="90"/>
      <c r="P237" s="90"/>
      <c r="Q237" s="115" t="str">
        <f>INDEX(g_lang_val,MATCH("tb_2_4_4",g_lang_key,0))</f>
        <v>Renter (FF4)</v>
      </c>
      <c r="R237" s="116"/>
      <c r="S237" s="119">
        <f ca="1">SUM(T237:BG237)</f>
        <v>0</v>
      </c>
      <c r="T237" s="114">
        <f t="shared" ref="T237" ca="1" si="1418">IF(T233="","",g_interest_FF4*(S236+(T234/2)-(T235/2)))</f>
        <v>0</v>
      </c>
      <c r="U237" s="114">
        <f t="shared" ref="U237" ca="1" si="1419">IF(U233="","",g_interest_FF4*(T236+(U234/2)-(U235/2)))</f>
        <v>0</v>
      </c>
      <c r="V237" s="114">
        <f t="shared" ref="V237" ca="1" si="1420">IF(V233="","",g_interest_FF4*(U236+(V234/2)-(V235/2)))</f>
        <v>0</v>
      </c>
      <c r="W237" s="114">
        <f t="shared" ref="W237" ca="1" si="1421">IF(W233="","",g_interest_FF4*(V236+(W234/2)-(W235/2)))</f>
        <v>0</v>
      </c>
      <c r="X237" s="114" t="str">
        <f t="shared" ref="X237" ca="1" si="1422">IF(X233="","",g_interest_FF4*(W236+(X234/2)-(X235/2)))</f>
        <v/>
      </c>
      <c r="Y237" s="114" t="str">
        <f t="shared" ref="Y237" ca="1" si="1423">IF(Y233="","",g_interest_FF4*(X236+(Y234/2)-(Y235/2)))</f>
        <v/>
      </c>
      <c r="Z237" s="114" t="str">
        <f t="shared" ref="Z237" ca="1" si="1424">IF(Z233="","",g_interest_FF4*(Y236+(Z234/2)-(Z235/2)))</f>
        <v/>
      </c>
      <c r="AA237" s="114" t="str">
        <f t="shared" ref="AA237" ca="1" si="1425">IF(AA233="","",g_interest_FF4*(Z236+(AA234/2)-(AA235/2)))</f>
        <v/>
      </c>
      <c r="AB237" s="114" t="str">
        <f t="shared" ref="AB237" ca="1" si="1426">IF(AB233="","",g_interest_FF4*(AA236+(AB234/2)-(AB235/2)))</f>
        <v/>
      </c>
      <c r="AC237" s="114" t="str">
        <f t="shared" ref="AC237" ca="1" si="1427">IF(AC233="","",g_interest_FF4*(AB236+(AC234/2)-(AC235/2)))</f>
        <v/>
      </c>
      <c r="AD237" s="114" t="str">
        <f t="shared" ref="AD237" ca="1" si="1428">IF(AD233="","",g_interest_FF4*(AC236+(AD234/2)-(AD235/2)))</f>
        <v/>
      </c>
      <c r="AE237" s="114" t="str">
        <f t="shared" ref="AE237" ca="1" si="1429">IF(AE233="","",g_interest_FF4*(AD236+(AE234/2)-(AE235/2)))</f>
        <v/>
      </c>
      <c r="AF237" s="114" t="str">
        <f t="shared" ref="AF237" ca="1" si="1430">IF(AF233="","",g_interest_FF4*(AE236+(AF234/2)-(AF235/2)))</f>
        <v/>
      </c>
      <c r="AG237" s="114" t="str">
        <f t="shared" ref="AG237" ca="1" si="1431">IF(AG233="","",g_interest_FF4*(AF236+(AG234/2)-(AG235/2)))</f>
        <v/>
      </c>
      <c r="AH237" s="114" t="str">
        <f t="shared" ref="AH237" ca="1" si="1432">IF(AH233="","",g_interest_FF4*(AG236+(AH234/2)-(AH235/2)))</f>
        <v/>
      </c>
      <c r="AI237" s="114" t="str">
        <f t="shared" ref="AI237" ca="1" si="1433">IF(AI233="","",g_interest_FF4*(AH236+(AI234/2)-(AI235/2)))</f>
        <v/>
      </c>
      <c r="AJ237" s="114" t="str">
        <f t="shared" ref="AJ237" ca="1" si="1434">IF(AJ233="","",g_interest_FF4*(AI236+(AJ234/2)-(AJ235/2)))</f>
        <v/>
      </c>
      <c r="AK237" s="114" t="str">
        <f t="shared" ref="AK237" ca="1" si="1435">IF(AK233="","",g_interest_FF4*(AJ236+(AK234/2)-(AK235/2)))</f>
        <v/>
      </c>
      <c r="AL237" s="114" t="str">
        <f t="shared" ref="AL237" ca="1" si="1436">IF(AL233="","",g_interest_FF4*(AK236+(AL234/2)-(AL235/2)))</f>
        <v/>
      </c>
      <c r="AM237" s="114" t="str">
        <f t="shared" ref="AM237" ca="1" si="1437">IF(AM233="","",g_interest_FF4*(AL236+(AM234/2)-(AM235/2)))</f>
        <v/>
      </c>
      <c r="AN237" s="114" t="str">
        <f t="shared" ref="AN237" ca="1" si="1438">IF(AN233="","",g_interest_FF4*(AM236+(AN234/2)-(AN235/2)))</f>
        <v/>
      </c>
      <c r="AO237" s="114" t="str">
        <f t="shared" ref="AO237" ca="1" si="1439">IF(AO233="","",g_interest_FF4*(AN236+(AO234/2)-(AO235/2)))</f>
        <v/>
      </c>
      <c r="AP237" s="114" t="str">
        <f t="shared" ref="AP237" ca="1" si="1440">IF(AP233="","",g_interest_FF4*(AO236+(AP234/2)-(AP235/2)))</f>
        <v/>
      </c>
      <c r="AQ237" s="114" t="str">
        <f t="shared" ref="AQ237" ca="1" si="1441">IF(AQ233="","",g_interest_FF4*(AP236+(AQ234/2)-(AQ235/2)))</f>
        <v/>
      </c>
      <c r="AR237" s="114" t="str">
        <f t="shared" ref="AR237" ca="1" si="1442">IF(AR233="","",g_interest_FF4*(AQ236+(AR234/2)-(AR235/2)))</f>
        <v/>
      </c>
      <c r="AS237" s="114" t="str">
        <f t="shared" ref="AS237" ca="1" si="1443">IF(AS233="","",g_interest_FF4*(AR236+(AS234/2)-(AS235/2)))</f>
        <v/>
      </c>
      <c r="AT237" s="114" t="str">
        <f t="shared" ref="AT237" ca="1" si="1444">IF(AT233="","",g_interest_FF4*(AS236+(AT234/2)-(AT235/2)))</f>
        <v/>
      </c>
      <c r="AU237" s="114" t="str">
        <f t="shared" ref="AU237" ca="1" si="1445">IF(AU233="","",g_interest_FF4*(AT236+(AU234/2)-(AU235/2)))</f>
        <v/>
      </c>
      <c r="AV237" s="114" t="str">
        <f t="shared" ref="AV237" ca="1" si="1446">IF(AV233="","",g_interest_FF4*(AU236+(AV234/2)-(AV235/2)))</f>
        <v/>
      </c>
      <c r="AW237" s="114" t="str">
        <f t="shared" ref="AW237" ca="1" si="1447">IF(AW233="","",g_interest_FF4*(AV236+(AW234/2)-(AW235/2)))</f>
        <v/>
      </c>
      <c r="AX237" s="90"/>
      <c r="AY237" s="90"/>
      <c r="AZ237" s="87"/>
    </row>
    <row r="238" spans="3:52" ht="12.75" hidden="1" customHeight="1" outlineLevel="1" x14ac:dyDescent="0.2">
      <c r="N238" s="85"/>
      <c r="O238" s="90"/>
      <c r="P238" s="90"/>
      <c r="Q238" s="118" t="str">
        <f>INDEX(g_assets_sc_1,19)</f>
        <v/>
      </c>
      <c r="R238" s="118"/>
      <c r="S238" s="113"/>
      <c r="T238" s="125">
        <f ca="1">T$157</f>
        <v>2026</v>
      </c>
      <c r="U238" s="125">
        <f t="shared" ref="U238:AW238" ca="1" si="1448">U$157</f>
        <v>2027</v>
      </c>
      <c r="V238" s="125">
        <f t="shared" ca="1" si="1448"/>
        <v>2028</v>
      </c>
      <c r="W238" s="125">
        <f t="shared" ca="1" si="1448"/>
        <v>2029</v>
      </c>
      <c r="X238" s="125" t="str">
        <f t="shared" ca="1" si="1448"/>
        <v/>
      </c>
      <c r="Y238" s="125" t="str">
        <f t="shared" ca="1" si="1448"/>
        <v/>
      </c>
      <c r="Z238" s="125" t="str">
        <f t="shared" ca="1" si="1448"/>
        <v/>
      </c>
      <c r="AA238" s="125" t="str">
        <f t="shared" ca="1" si="1448"/>
        <v/>
      </c>
      <c r="AB238" s="125" t="str">
        <f t="shared" ca="1" si="1448"/>
        <v/>
      </c>
      <c r="AC238" s="125" t="str">
        <f t="shared" ca="1" si="1448"/>
        <v/>
      </c>
      <c r="AD238" s="125" t="str">
        <f t="shared" ca="1" si="1448"/>
        <v/>
      </c>
      <c r="AE238" s="125" t="str">
        <f t="shared" ca="1" si="1448"/>
        <v/>
      </c>
      <c r="AF238" s="125" t="str">
        <f t="shared" ca="1" si="1448"/>
        <v/>
      </c>
      <c r="AG238" s="125" t="str">
        <f t="shared" ca="1" si="1448"/>
        <v/>
      </c>
      <c r="AH238" s="125" t="str">
        <f t="shared" ca="1" si="1448"/>
        <v/>
      </c>
      <c r="AI238" s="125" t="str">
        <f t="shared" ca="1" si="1448"/>
        <v/>
      </c>
      <c r="AJ238" s="125" t="str">
        <f t="shared" ca="1" si="1448"/>
        <v/>
      </c>
      <c r="AK238" s="125" t="str">
        <f t="shared" ca="1" si="1448"/>
        <v/>
      </c>
      <c r="AL238" s="125" t="str">
        <f t="shared" ca="1" si="1448"/>
        <v/>
      </c>
      <c r="AM238" s="125" t="str">
        <f t="shared" ca="1" si="1448"/>
        <v/>
      </c>
      <c r="AN238" s="125" t="str">
        <f t="shared" ca="1" si="1448"/>
        <v/>
      </c>
      <c r="AO238" s="125" t="str">
        <f t="shared" ca="1" si="1448"/>
        <v/>
      </c>
      <c r="AP238" s="125" t="str">
        <f t="shared" ca="1" si="1448"/>
        <v/>
      </c>
      <c r="AQ238" s="125" t="str">
        <f t="shared" ca="1" si="1448"/>
        <v/>
      </c>
      <c r="AR238" s="125" t="str">
        <f t="shared" ca="1" si="1448"/>
        <v/>
      </c>
      <c r="AS238" s="125" t="str">
        <f t="shared" ca="1" si="1448"/>
        <v/>
      </c>
      <c r="AT238" s="125" t="str">
        <f t="shared" ca="1" si="1448"/>
        <v/>
      </c>
      <c r="AU238" s="125" t="str">
        <f t="shared" ca="1" si="1448"/>
        <v/>
      </c>
      <c r="AV238" s="125" t="str">
        <f t="shared" ca="1" si="1448"/>
        <v/>
      </c>
      <c r="AW238" s="125" t="str">
        <f t="shared" ca="1" si="1448"/>
        <v/>
      </c>
      <c r="AX238" s="90"/>
      <c r="AY238" s="90"/>
      <c r="AZ238" s="87"/>
    </row>
    <row r="239" spans="3:52" ht="12.75" hidden="1" customHeight="1" outlineLevel="1" x14ac:dyDescent="0.2">
      <c r="C239" s="126">
        <f>INDEX(g_sc_1_assets_dates,G239)</f>
        <v>0</v>
      </c>
      <c r="G239" s="127">
        <v>17</v>
      </c>
      <c r="N239" s="85"/>
      <c r="O239" s="90"/>
      <c r="P239" s="90"/>
      <c r="Q239" s="115" t="str">
        <f>INDEX(g_lang_val,MATCH("tb_2_4_1",g_lang_key,0))</f>
        <v>Køb af anlægsaktiver</v>
      </c>
      <c r="R239" s="116"/>
      <c r="S239" s="119">
        <f ca="1">SUM(T239:BG239)</f>
        <v>0</v>
      </c>
      <c r="T239" s="114">
        <f ca="1">IF(T238="","",SUMPRODUCT(--(Leverancer!$C$28:$C$88=($G239+2)),Leverancer!D$28:D$88)/1000)</f>
        <v>0</v>
      </c>
      <c r="U239" s="114">
        <f ca="1">IF(U238="","",SUMPRODUCT(--(Leverancer!$C$28:$C$88=($G239+2)),Leverancer!E$28:E$88)/1000)</f>
        <v>0</v>
      </c>
      <c r="V239" s="114">
        <f ca="1">IF(V238="","",SUMPRODUCT(--(Leverancer!$C$28:$C$88=($G239+2)),Leverancer!F$28:F$88)/1000)</f>
        <v>0</v>
      </c>
      <c r="W239" s="114">
        <f ca="1">IF(W238="","",SUMPRODUCT(--(Leverancer!$C$28:$C$88=($G239+2)),Leverancer!G$28:G$88)/1000)</f>
        <v>0</v>
      </c>
      <c r="X239" s="114" t="str">
        <f ca="1">IF(X238="","",SUMPRODUCT(--(Leverancer!$C$28:$C$88=($G239+2)),Leverancer!H$28:H$88)/1000)</f>
        <v/>
      </c>
      <c r="Y239" s="114" t="str">
        <f ca="1">IF(Y238="","",SUMPRODUCT(--(Leverancer!$C$28:$C$88=($G239+2)),Leverancer!I$28:I$88)/1000)</f>
        <v/>
      </c>
      <c r="Z239" s="114" t="str">
        <f ca="1">IF(Z238="","",SUMPRODUCT(--(Leverancer!$C$28:$C$88=($G239+2)),Leverancer!J$28:J$88)/1000)</f>
        <v/>
      </c>
      <c r="AA239" s="114" t="str">
        <f ca="1">IF(AA238="","",SUMPRODUCT(--(Leverancer!$C$28:$C$88=($G239+2)),Leverancer!K$28:K$88)/1000)</f>
        <v/>
      </c>
      <c r="AB239" s="114" t="str">
        <f ca="1">IF(AB238="","",SUMPRODUCT(--(Leverancer!$C$28:$C$88=($G239+2)),Leverancer!L$28:L$88)/1000)</f>
        <v/>
      </c>
      <c r="AC239" s="114" t="str">
        <f ca="1">IF(AC238="","",SUMPRODUCT(--(Leverancer!$C$28:$C$88=($G239+2)),Leverancer!M$28:M$88)/1000)</f>
        <v/>
      </c>
      <c r="AD239" s="114" t="str">
        <f ca="1">IF(AD238="","",SUMPRODUCT(--(Leverancer!$C$28:$C$88=($G239+2)),Leverancer!N$28:N$88)/1000)</f>
        <v/>
      </c>
      <c r="AE239" s="114" t="str">
        <f ca="1">IF(AE238="","",SUMPRODUCT(--(Leverancer!$C$28:$C$88=($G239+2)),Leverancer!O$28:O$88)/1000)</f>
        <v/>
      </c>
      <c r="AF239" s="114" t="str">
        <f ca="1">IF(AF238="","",SUMPRODUCT(--(Leverancer!$C$28:$C$88=($G239+2)),Leverancer!P$28:P$88)/1000)</f>
        <v/>
      </c>
      <c r="AG239" s="114" t="str">
        <f ca="1">IF(AG238="","",SUMPRODUCT(--(Leverancer!$C$28:$C$88=($G239+2)),Leverancer!Q$28:Q$88)/1000)</f>
        <v/>
      </c>
      <c r="AH239" s="114" t="str">
        <f ca="1">IF(AH238="","",SUMPRODUCT(--(Leverancer!$C$28:$C$88=($G239+2)),Leverancer!R$28:R$88)/1000)</f>
        <v/>
      </c>
      <c r="AI239" s="114" t="str">
        <f ca="1">IF(AI238="","",SUMPRODUCT(--(Leverancer!$C$28:$C$88=($G239+2)),Leverancer!S$28:S$88)/1000)</f>
        <v/>
      </c>
      <c r="AJ239" s="114" t="str">
        <f ca="1">IF(AJ238="","",SUMPRODUCT(--(Leverancer!$C$28:$C$88=($G239+2)),Leverancer!T$28:T$88)/1000)</f>
        <v/>
      </c>
      <c r="AK239" s="114" t="str">
        <f ca="1">IF(AK238="","",SUMPRODUCT(--(Leverancer!$C$28:$C$88=($G239+2)),Leverancer!U$28:U$88)/1000)</f>
        <v/>
      </c>
      <c r="AL239" s="114" t="str">
        <f ca="1">IF(AL238="","",SUMPRODUCT(--(Leverancer!$C$28:$C$88=($G239+2)),Leverancer!V$28:V$88)/1000)</f>
        <v/>
      </c>
      <c r="AM239" s="114" t="str">
        <f ca="1">IF(AM238="","",SUMPRODUCT(--(Leverancer!$C$28:$C$88=($G239+2)),Leverancer!W$28:W$88)/1000)</f>
        <v/>
      </c>
      <c r="AN239" s="114" t="str">
        <f ca="1">IF(AN238="","",SUMPRODUCT(--(Leverancer!$C$28:$C$88=($G239+2)),Leverancer!X$28:X$88)/1000)</f>
        <v/>
      </c>
      <c r="AO239" s="114" t="str">
        <f ca="1">IF(AO238="","",SUMPRODUCT(--(Leverancer!$C$28:$C$88=($G239+2)),Leverancer!Y$28:Y$88)/1000)</f>
        <v/>
      </c>
      <c r="AP239" s="114" t="str">
        <f ca="1">IF(AP238="","",SUMPRODUCT(--(Leverancer!$C$28:$C$88=($G239+2)),Leverancer!Z$28:Z$88)/1000)</f>
        <v/>
      </c>
      <c r="AQ239" s="114" t="str">
        <f ca="1">IF(AQ238="","",SUMPRODUCT(--(Leverancer!$C$28:$C$88=($G239+2)),Leverancer!AA$28:AA$88)/1000)</f>
        <v/>
      </c>
      <c r="AR239" s="114" t="str">
        <f ca="1">IF(AR238="","",SUMPRODUCT(--(Leverancer!$C$28:$C$88=($G239+2)),Leverancer!AB$28:AB$88)/1000)</f>
        <v/>
      </c>
      <c r="AS239" s="114" t="str">
        <f ca="1">IF(AS238="","",SUMPRODUCT(--(Leverancer!$C$28:$C$88=($G239+2)),Leverancer!AC$28:AC$88)/1000)</f>
        <v/>
      </c>
      <c r="AT239" s="114" t="str">
        <f ca="1">IF(AT238="","",SUMPRODUCT(--(Leverancer!$C$28:$C$88=($G239+2)),Leverancer!AD$28:AD$88)/1000)</f>
        <v/>
      </c>
      <c r="AU239" s="114" t="str">
        <f ca="1">IF(AU238="","",SUMPRODUCT(--(Leverancer!$C$28:$C$88=($G239+2)),Leverancer!AE$28:AE$88)/1000)</f>
        <v/>
      </c>
      <c r="AV239" s="114" t="str">
        <f ca="1">IF(AV238="","",SUMPRODUCT(--(Leverancer!$C$28:$C$88=($G239+2)),Leverancer!AF$28:AF$88)/1000)</f>
        <v/>
      </c>
      <c r="AW239" s="114" t="str">
        <f ca="1">IF(AW238="","",SUMPRODUCT(--(Leverancer!$C$28:$C$88=($G239+2)),Leverancer!AG$28:AG$88)/1000)</f>
        <v/>
      </c>
      <c r="AX239" s="90"/>
      <c r="AY239" s="90"/>
      <c r="AZ239" s="87"/>
    </row>
    <row r="240" spans="3:52" ht="12.75" hidden="1" customHeight="1" outlineLevel="1" x14ac:dyDescent="0.2">
      <c r="C240" s="128">
        <f>IFERROR(YEAR(C239),"")</f>
        <v>1900</v>
      </c>
      <c r="D240" s="128">
        <f>IFERROR(MONTH(C239),"")</f>
        <v>1</v>
      </c>
      <c r="E240" s="128">
        <f>INDEX(g_sc_1_assets_years,G239)</f>
        <v>0</v>
      </c>
      <c r="N240" s="85"/>
      <c r="O240" s="90"/>
      <c r="P240" s="90"/>
      <c r="Q240" s="115" t="str">
        <f>INDEX(g_lang_val,MATCH("tb_2_4_2",g_lang_key,0))</f>
        <v>Afskrivninger</v>
      </c>
      <c r="R240" s="116"/>
      <c r="S240" s="119">
        <f ca="1">SUM(T240:BG240)</f>
        <v>0</v>
      </c>
      <c r="T240" s="114">
        <f t="shared" ref="T240" ca="1" si="1449">IF(T238="","",IF(T238&lt;$C240,0,IF(T238=$C240,T239/$C241*$E241+S241/$C241*$E241,IF(AND(T238&gt;$C240,T238&lt;ROUNDDOWN(($C240+($D240+$C241-1)/12),0)),(T239/2+S241)/($C241-$E241-12*(T238-$C240-1))*12,IF(AND($D241&lt;0,T238=ROUNDDOWN(($C240+($D240+$C241-1)/12),0)),S241+T239,IF(T238=ROUNDDOWN(($C240+($D240+$C241-1)/12),0),(T239+S241)/$C241*($D241+(T238-$C240-1)*12+$E241),IF(T238&gt;ROUNDDOWN(($C240+($D240+$C241)/12),0),0,0)))))))</f>
        <v>0</v>
      </c>
      <c r="U240" s="114">
        <f t="shared" ref="U240" ca="1" si="1450">IF(U238="","",IF(U238&lt;$C240,0,IF(U238=$C240,U239/$C241*$E241+T241/$C241*$E241,IF(AND(U238&gt;$C240,U238&lt;ROUNDDOWN(($C240+($D240+$C241-1)/12),0)),(U239/2+T241)/($C241-$E241-12*(U238-$C240-1))*12,IF(AND($D241&lt;0,U238=ROUNDDOWN(($C240+($D240+$C241-1)/12),0)),T241+U239,IF(U238=ROUNDDOWN(($C240+($D240+$C241-1)/12),0),(U239+T241)/$C241*($D241+(U238-$C240-1)*12+$E241),IF(U238&gt;ROUNDDOWN(($C240+($D240+$C241)/12),0),0,0)))))))</f>
        <v>0</v>
      </c>
      <c r="V240" s="114">
        <f t="shared" ref="V240" ca="1" si="1451">IF(V238="","",IF(V238&lt;$C240,0,IF(V238=$C240,V239/$C241*$E241+U241/$C241*$E241,IF(AND(V238&gt;$C240,V238&lt;ROUNDDOWN(($C240+($D240+$C241-1)/12),0)),(V239/2+U241)/($C241-$E241-12*(V238-$C240-1))*12,IF(AND($D241&lt;0,V238=ROUNDDOWN(($C240+($D240+$C241-1)/12),0)),U241+V239,IF(V238=ROUNDDOWN(($C240+($D240+$C241-1)/12),0),(V239+U241)/$C241*($D241+(V238-$C240-1)*12+$E241),IF(V238&gt;ROUNDDOWN(($C240+($D240+$C241)/12),0),0,0)))))))</f>
        <v>0</v>
      </c>
      <c r="W240" s="114">
        <f t="shared" ref="W240" ca="1" si="1452">IF(W238="","",IF(W238&lt;$C240,0,IF(W238=$C240,W239/$C241*$E241+V241/$C241*$E241,IF(AND(W238&gt;$C240,W238&lt;ROUNDDOWN(($C240+($D240+$C241-1)/12),0)),(W239/2+V241)/($C241-$E241-12*(W238-$C240-1))*12,IF(AND($D241&lt;0,W238=ROUNDDOWN(($C240+($D240+$C241-1)/12),0)),V241+W239,IF(W238=ROUNDDOWN(($C240+($D240+$C241-1)/12),0),(W239+V241)/$C241*($D241+(W238-$C240-1)*12+$E241),IF(W238&gt;ROUNDDOWN(($C240+($D240+$C241)/12),0),0,0)))))))</f>
        <v>0</v>
      </c>
      <c r="X240" s="114" t="str">
        <f t="shared" ref="X240" ca="1" si="1453">IF(X238="","",IF(X238&lt;$C240,0,IF(X238=$C240,X239/$C241*$E241+W241/$C241*$E241,IF(AND(X238&gt;$C240,X238&lt;ROUNDDOWN(($C240+($D240+$C241-1)/12),0)),(X239/2+W241)/($C241-$E241-12*(X238-$C240-1))*12,IF(AND($D241&lt;0,X238=ROUNDDOWN(($C240+($D240+$C241-1)/12),0)),W241+X239,IF(X238=ROUNDDOWN(($C240+($D240+$C241-1)/12),0),(X239+W241)/$C241*($D241+(X238-$C240-1)*12+$E241),IF(X238&gt;ROUNDDOWN(($C240+($D240+$C241)/12),0),0,0)))))))</f>
        <v/>
      </c>
      <c r="Y240" s="114" t="str">
        <f t="shared" ref="Y240" ca="1" si="1454">IF(Y238="","",IF(Y238&lt;$C240,0,IF(Y238=$C240,Y239/$C241*$E241+X241/$C241*$E241,IF(AND(Y238&gt;$C240,Y238&lt;ROUNDDOWN(($C240+($D240+$C241-1)/12),0)),(Y239/2+X241)/($C241-$E241-12*(Y238-$C240-1))*12,IF(AND($D241&lt;0,Y238=ROUNDDOWN(($C240+($D240+$C241-1)/12),0)),X241+Y239,IF(Y238=ROUNDDOWN(($C240+($D240+$C241-1)/12),0),(Y239+X241)/$C241*($D241+(Y238-$C240-1)*12+$E241),IF(Y238&gt;ROUNDDOWN(($C240+($D240+$C241)/12),0),0,0)))))))</f>
        <v/>
      </c>
      <c r="Z240" s="114" t="str">
        <f ca="1">IF(Z238="","",IF(Z238&lt;$C240,0,IF(Z238=$C240,Z239/$C241*$E241+Y241/$C241*$E241,IF(AND(Z238&gt;$C240,Z238&lt;ROUNDDOWN(($C240+($D240+$C241-1)/12),0)),(Z239/2+Y241)/($C241-$E241-12*(Z238-$C240-1))*12,IF(AND($D241&lt;0,Z238=ROUNDDOWN(($C240+($D240+$C241-1)/12),0)),Y241+Z239,IF(Z238=ROUNDDOWN(($C240+($D240+$C241-1)/12),0),(Z239+Y241)/$C241*($D241+(Z238-$C240-1)*12+$E241),IF(Z238&gt;ROUNDDOWN(($C240+($D240+$C241)/12),0),0,0)))))))</f>
        <v/>
      </c>
      <c r="AA240" s="114" t="str">
        <f t="shared" ref="AA240" ca="1" si="1455">IF(AA238="","",IF(AA238&lt;$C240,0,IF(AA238=$C240,AA239/$C241*$E241+Z241/$C241*$E241,IF(AND(AA238&gt;$C240,AA238&lt;ROUNDDOWN(($C240+($D240+$C241-1)/12),0)),(AA239/2+Z241)/($C241-$E241-12*(AA238-$C240-1))*12,IF(AND($D241&lt;0,AA238=ROUNDDOWN(($C240+($D240+$C241-1)/12),0)),Z241+AA239,IF(AA238=ROUNDDOWN(($C240+($D240+$C241-1)/12),0),(AA239+Z241)/$C241*($D241+(AA238-$C240-1)*12+$E241),IF(AA238&gt;ROUNDDOWN(($C240+($D240+$C241)/12),0),0,0)))))))</f>
        <v/>
      </c>
      <c r="AB240" s="114" t="str">
        <f t="shared" ref="AB240" ca="1" si="1456">IF(AB238="","",IF(AB238&lt;$C240,0,IF(AB238=$C240,AB239/$C241*$E241+AA241/$C241*$E241,IF(AND(AB238&gt;$C240,AB238&lt;ROUNDDOWN(($C240+($D240+$C241-1)/12),0)),(AB239/2+AA241)/($C241-$E241-12*(AB238-$C240-1))*12,IF(AND($D241&lt;0,AB238=ROUNDDOWN(($C240+($D240+$C241-1)/12),0)),AA241+AB239,IF(AB238=ROUNDDOWN(($C240+($D240+$C241-1)/12),0),(AB239+AA241)/$C241*($D241+(AB238-$C240-1)*12+$E241),IF(AB238&gt;ROUNDDOWN(($C240+($D240+$C241)/12),0),0,0)))))))</f>
        <v/>
      </c>
      <c r="AC240" s="114" t="str">
        <f t="shared" ref="AC240" ca="1" si="1457">IF(AC238="","",IF(AC238&lt;$C240,0,IF(AC238=$C240,AC239/$C241*$E241+AB241/$C241*$E241,IF(AND(AC238&gt;$C240,AC238&lt;ROUNDDOWN(($C240+($D240+$C241-1)/12),0)),(AC239/2+AB241)/($C241-$E241-12*(AC238-$C240-1))*12,IF(AND($D241&lt;0,AC238=ROUNDDOWN(($C240+($D240+$C241-1)/12),0)),AB241+AC239,IF(AC238=ROUNDDOWN(($C240+($D240+$C241-1)/12),0),(AC239+AB241)/$C241*($D241+(AC238-$C240-1)*12+$E241),IF(AC238&gt;ROUNDDOWN(($C240+($D240+$C241)/12),0),0,0)))))))</f>
        <v/>
      </c>
      <c r="AD240" s="114" t="str">
        <f t="shared" ref="AD240" ca="1" si="1458">IF(AD238="","",IF(AD238&lt;$C240,0,IF(AD238=$C240,AD239/$C241*$E241+AC241/$C241*$E241,IF(AND(AD238&gt;$C240,AD238&lt;ROUNDDOWN(($C240+($D240+$C241-1)/12),0)),(AD239/2+AC241)/($C241-$E241-12*(AD238-$C240-1))*12,IF(AND($D241&lt;0,AD238=ROUNDDOWN(($C240+($D240+$C241-1)/12),0)),AC241+AD239,IF(AD238=ROUNDDOWN(($C240+($D240+$C241-1)/12),0),(AD239+AC241)/$C241*($D241+(AD238-$C240-1)*12+$E241),IF(AD238&gt;ROUNDDOWN(($C240+($D240+$C241)/12),0),0,0)))))))</f>
        <v/>
      </c>
      <c r="AE240" s="114" t="str">
        <f t="shared" ref="AE240" ca="1" si="1459">IF(AE238="","",IF(AE238&lt;$C240,0,IF(AE238=$C240,AE239/$C241*$E241+AD241/$C241*$E241,IF(AND(AE238&gt;$C240,AE238&lt;ROUNDDOWN(($C240+($D240+$C241-1)/12),0)),(AE239/2+AD241)/($C241-$E241-12*(AE238-$C240-1))*12,IF(AND($D241&lt;0,AE238=ROUNDDOWN(($C240+($D240+$C241-1)/12),0)),AD241+AE239,IF(AE238=ROUNDDOWN(($C240+($D240+$C241-1)/12),0),(AE239+AD241)/$C241*($D241+(AE238-$C240-1)*12+$E241),IF(AE238&gt;ROUNDDOWN(($C240+($D240+$C241)/12),0),0,0)))))))</f>
        <v/>
      </c>
      <c r="AF240" s="114" t="str">
        <f t="shared" ref="AF240" ca="1" si="1460">IF(AF238="","",IF(AF238&lt;$C240,0,IF(AF238=$C240,AF239/$C241*$E241+AE241/$C241*$E241,IF(AND(AF238&gt;$C240,AF238&lt;ROUNDDOWN(($C240+($D240+$C241-1)/12),0)),(AF239/2+AE241)/($C241-$E241-12*(AF238-$C240-1))*12,IF(AND($D241&lt;0,AF238=ROUNDDOWN(($C240+($D240+$C241-1)/12),0)),AE241+AF239,IF(AF238=ROUNDDOWN(($C240+($D240+$C241-1)/12),0),(AF239+AE241)/$C241*($D241+(AF238-$C240-1)*12+$E241),IF(AF238&gt;ROUNDDOWN(($C240+($D240+$C241)/12),0),0,0)))))))</f>
        <v/>
      </c>
      <c r="AG240" s="114" t="str">
        <f t="shared" ref="AG240" ca="1" si="1461">IF(AG238="","",IF(AG238&lt;$C240,0,IF(AG238=$C240,AG239/$C241*$E241+AF241/$C241*$E241,IF(AND(AG238&gt;$C240,AG238&lt;ROUNDDOWN(($C240+($D240+$C241-1)/12),0)),(AG239/2+AF241)/($C241-$E241-12*(AG238-$C240-1))*12,IF(AND($D241&lt;0,AG238=ROUNDDOWN(($C240+($D240+$C241-1)/12),0)),AF241+AG239,IF(AG238=ROUNDDOWN(($C240+($D240+$C241-1)/12),0),(AG239+AF241)/$C241*($D241+(AG238-$C240-1)*12+$E241),IF(AG238&gt;ROUNDDOWN(($C240+($D240+$C241)/12),0),0,0)))))))</f>
        <v/>
      </c>
      <c r="AH240" s="114" t="str">
        <f t="shared" ref="AH240" ca="1" si="1462">IF(AH238="","",IF(AH238&lt;$C240,0,IF(AH238=$C240,AH239/$C241*$E241+AG241/$C241*$E241,IF(AND(AH238&gt;$C240,AH238&lt;ROUNDDOWN(($C240+($D240+$C241-1)/12),0)),(AH239/2+AG241)/($C241-$E241-12*(AH238-$C240-1))*12,IF(AND($D241&lt;0,AH238=ROUNDDOWN(($C240+($D240+$C241-1)/12),0)),AG241+AH239,IF(AH238=ROUNDDOWN(($C240+($D240+$C241-1)/12),0),(AH239+AG241)/$C241*($D241+(AH238-$C240-1)*12+$E241),IF(AH238&gt;ROUNDDOWN(($C240+($D240+$C241)/12),0),0,0)))))))</f>
        <v/>
      </c>
      <c r="AI240" s="114" t="str">
        <f t="shared" ref="AI240" ca="1" si="1463">IF(AI238="","",IF(AI238&lt;$C240,0,IF(AI238=$C240,AI239/$C241*$E241+AH241/$C241*$E241,IF(AND(AI238&gt;$C240,AI238&lt;ROUNDDOWN(($C240+($D240+$C241-1)/12),0)),(AI239/2+AH241)/($C241-$E241-12*(AI238-$C240-1))*12,IF(AND($D241&lt;0,AI238=ROUNDDOWN(($C240+($D240+$C241-1)/12),0)),AH241+AI239,IF(AI238=ROUNDDOWN(($C240+($D240+$C241-1)/12),0),(AI239+AH241)/$C241*($D241+(AI238-$C240-1)*12+$E241),IF(AI238&gt;ROUNDDOWN(($C240+($D240+$C241)/12),0),0,0)))))))</f>
        <v/>
      </c>
      <c r="AJ240" s="114" t="str">
        <f t="shared" ref="AJ240" ca="1" si="1464">IF(AJ238="","",IF(AJ238&lt;$C240,0,IF(AJ238=$C240,AJ239/$C241*$E241+AI241/$C241*$E241,IF(AND(AJ238&gt;$C240,AJ238&lt;ROUNDDOWN(($C240+($D240+$C241-1)/12),0)),(AJ239/2+AI241)/($C241-$E241-12*(AJ238-$C240-1))*12,IF(AND($D241&lt;0,AJ238=ROUNDDOWN(($C240+($D240+$C241-1)/12),0)),AI241+AJ239,IF(AJ238=ROUNDDOWN(($C240+($D240+$C241-1)/12),0),(AJ239+AI241)/$C241*($D241+(AJ238-$C240-1)*12+$E241),IF(AJ238&gt;ROUNDDOWN(($C240+($D240+$C241)/12),0),0,0)))))))</f>
        <v/>
      </c>
      <c r="AK240" s="114" t="str">
        <f t="shared" ref="AK240" ca="1" si="1465">IF(AK238="","",IF(AK238&lt;$C240,0,IF(AK238=$C240,AK239/$C241*$E241+AJ241/$C241*$E241,IF(AND(AK238&gt;$C240,AK238&lt;ROUNDDOWN(($C240+($D240+$C241-1)/12),0)),(AK239/2+AJ241)/($C241-$E241-12*(AK238-$C240-1))*12,IF(AND($D241&lt;0,AK238=ROUNDDOWN(($C240+($D240+$C241-1)/12),0)),AJ241+AK239,IF(AK238=ROUNDDOWN(($C240+($D240+$C241-1)/12),0),(AK239+AJ241)/$C241*($D241+(AK238-$C240-1)*12+$E241),IF(AK238&gt;ROUNDDOWN(($C240+($D240+$C241)/12),0),0,0)))))))</f>
        <v/>
      </c>
      <c r="AL240" s="114" t="str">
        <f t="shared" ref="AL240" ca="1" si="1466">IF(AL238="","",IF(AL238&lt;$C240,0,IF(AL238=$C240,AL239/$C241*$E241+AK241/$C241*$E241,IF(AND(AL238&gt;$C240,AL238&lt;ROUNDDOWN(($C240+($D240+$C241-1)/12),0)),(AL239/2+AK241)/($C241-$E241-12*(AL238-$C240-1))*12,IF(AND($D241&lt;0,AL238=ROUNDDOWN(($C240+($D240+$C241-1)/12),0)),AK241+AL239,IF(AL238=ROUNDDOWN(($C240+($D240+$C241-1)/12),0),(AL239+AK241)/$C241*($D241+(AL238-$C240-1)*12+$E241),IF(AL238&gt;ROUNDDOWN(($C240+($D240+$C241)/12),0),0,0)))))))</f>
        <v/>
      </c>
      <c r="AM240" s="114" t="str">
        <f t="shared" ref="AM240" ca="1" si="1467">IF(AM238="","",IF(AM238&lt;$C240,0,IF(AM238=$C240,AM239/$C241*$E241+AL241/$C241*$E241,IF(AND(AM238&gt;$C240,AM238&lt;ROUNDDOWN(($C240+($D240+$C241-1)/12),0)),(AM239/2+AL241)/($C241-$E241-12*(AM238-$C240-1))*12,IF(AND($D241&lt;0,AM238=ROUNDDOWN(($C240+($D240+$C241-1)/12),0)),AL241+AM239,IF(AM238=ROUNDDOWN(($C240+($D240+$C241-1)/12),0),(AM239+AL241)/$C241*($D241+(AM238-$C240-1)*12+$E241),IF(AM238&gt;ROUNDDOWN(($C240+($D240+$C241)/12),0),0,0)))))))</f>
        <v/>
      </c>
      <c r="AN240" s="114" t="str">
        <f t="shared" ref="AN240" ca="1" si="1468">IF(AN238="","",IF(AN238&lt;$C240,0,IF(AN238=$C240,AN239/$C241*$E241+AM241/$C241*$E241,IF(AND(AN238&gt;$C240,AN238&lt;ROUNDDOWN(($C240+($D240+$C241-1)/12),0)),(AN239/2+AM241)/($C241-$E241-12*(AN238-$C240-1))*12,IF(AND($D241&lt;0,AN238=ROUNDDOWN(($C240+($D240+$C241-1)/12),0)),AM241+AN239,IF(AN238=ROUNDDOWN(($C240+($D240+$C241-1)/12),0),(AN239+AM241)/$C241*($D241+(AN238-$C240-1)*12+$E241),IF(AN238&gt;ROUNDDOWN(($C240+($D240+$C241)/12),0),0,0)))))))</f>
        <v/>
      </c>
      <c r="AO240" s="114" t="str">
        <f t="shared" ref="AO240" ca="1" si="1469">IF(AO238="","",IF(AO238&lt;$C240,0,IF(AO238=$C240,AO239/$C241*$E241+AN241/$C241*$E241,IF(AND(AO238&gt;$C240,AO238&lt;ROUNDDOWN(($C240+($D240+$C241-1)/12),0)),(AO239/2+AN241)/($C241-$E241-12*(AO238-$C240-1))*12,IF(AND($D241&lt;0,AO238=ROUNDDOWN(($C240+($D240+$C241-1)/12),0)),AN241+AO239,IF(AO238=ROUNDDOWN(($C240+($D240+$C241-1)/12),0),(AO239+AN241)/$C241*($D241+(AO238-$C240-1)*12+$E241),IF(AO238&gt;ROUNDDOWN(($C240+($D240+$C241)/12),0),0,0)))))))</f>
        <v/>
      </c>
      <c r="AP240" s="114" t="str">
        <f t="shared" ref="AP240" ca="1" si="1470">IF(AP238="","",IF(AP238&lt;$C240,0,IF(AP238=$C240,AP239/$C241*$E241+AO241/$C241*$E241,IF(AND(AP238&gt;$C240,AP238&lt;ROUNDDOWN(($C240+($D240+$C241-1)/12),0)),(AP239/2+AO241)/($C241-$E241-12*(AP238-$C240-1))*12,IF(AND($D241&lt;0,AP238=ROUNDDOWN(($C240+($D240+$C241-1)/12),0)),AO241+AP239,IF(AP238=ROUNDDOWN(($C240+($D240+$C241-1)/12),0),(AP239+AO241)/$C241*($D241+(AP238-$C240-1)*12+$E241),IF(AP238&gt;ROUNDDOWN(($C240+($D240+$C241)/12),0),0,0)))))))</f>
        <v/>
      </c>
      <c r="AQ240" s="114" t="str">
        <f t="shared" ref="AQ240" ca="1" si="1471">IF(AQ238="","",IF(AQ238&lt;$C240,0,IF(AQ238=$C240,AQ239/$C241*$E241+AP241/$C241*$E241,IF(AND(AQ238&gt;$C240,AQ238&lt;ROUNDDOWN(($C240+($D240+$C241-1)/12),0)),(AQ239/2+AP241)/($C241-$E241-12*(AQ238-$C240-1))*12,IF(AND($D241&lt;0,AQ238=ROUNDDOWN(($C240+($D240+$C241-1)/12),0)),AP241+AQ239,IF(AQ238=ROUNDDOWN(($C240+($D240+$C241-1)/12),0),(AQ239+AP241)/$C241*($D241+(AQ238-$C240-1)*12+$E241),IF(AQ238&gt;ROUNDDOWN(($C240+($D240+$C241)/12),0),0,0)))))))</f>
        <v/>
      </c>
      <c r="AR240" s="114" t="str">
        <f t="shared" ref="AR240" ca="1" si="1472">IF(AR238="","",IF(AR238&lt;$C240,0,IF(AR238=$C240,AR239/$C241*$E241+AQ241/$C241*$E241,IF(AND(AR238&gt;$C240,AR238&lt;ROUNDDOWN(($C240+($D240+$C241-1)/12),0)),(AR239/2+AQ241)/($C241-$E241-12*(AR238-$C240-1))*12,IF(AND($D241&lt;0,AR238=ROUNDDOWN(($C240+($D240+$C241-1)/12),0)),AQ241+AR239,IF(AR238=ROUNDDOWN(($C240+($D240+$C241-1)/12),0),(AR239+AQ241)/$C241*($D241+(AR238-$C240-1)*12+$E241),IF(AR238&gt;ROUNDDOWN(($C240+($D240+$C241)/12),0),0,0)))))))</f>
        <v/>
      </c>
      <c r="AS240" s="114" t="str">
        <f t="shared" ref="AS240" ca="1" si="1473">IF(AS238="","",IF(AS238&lt;$C240,0,IF(AS238=$C240,AS239/$C241*$E241+AR241/$C241*$E241,IF(AND(AS238&gt;$C240,AS238&lt;ROUNDDOWN(($C240+($D240+$C241-1)/12),0)),(AS239/2+AR241)/($C241-$E241-12*(AS238-$C240-1))*12,IF(AND($D241&lt;0,AS238=ROUNDDOWN(($C240+($D240+$C241-1)/12),0)),AR241+AS239,IF(AS238=ROUNDDOWN(($C240+($D240+$C241-1)/12),0),(AS239+AR241)/$C241*($D241+(AS238-$C240-1)*12+$E241),IF(AS238&gt;ROUNDDOWN(($C240+($D240+$C241)/12),0),0,0)))))))</f>
        <v/>
      </c>
      <c r="AT240" s="114" t="str">
        <f t="shared" ref="AT240" ca="1" si="1474">IF(AT238="","",IF(AT238&lt;$C240,0,IF(AT238=$C240,AT239/$C241*$E241+AS241/$C241*$E241,IF(AND(AT238&gt;$C240,AT238&lt;ROUNDDOWN(($C240+($D240+$C241-1)/12),0)),(AT239/2+AS241)/($C241-$E241-12*(AT238-$C240-1))*12,IF(AND($D241&lt;0,AT238=ROUNDDOWN(($C240+($D240+$C241-1)/12),0)),AS241+AT239,IF(AT238=ROUNDDOWN(($C240+($D240+$C241-1)/12),0),(AT239+AS241)/$C241*($D241+(AT238-$C240-1)*12+$E241),IF(AT238&gt;ROUNDDOWN(($C240+($D240+$C241)/12),0),0,0)))))))</f>
        <v/>
      </c>
      <c r="AU240" s="114" t="str">
        <f t="shared" ref="AU240" ca="1" si="1475">IF(AU238="","",IF(AU238&lt;$C240,0,IF(AU238=$C240,AU239/$C241*$E241+AT241/$C241*$E241,IF(AND(AU238&gt;$C240,AU238&lt;ROUNDDOWN(($C240+($D240+$C241-1)/12),0)),(AU239/2+AT241)/($C241-$E241-12*(AU238-$C240-1))*12,IF(AND($D241&lt;0,AU238=ROUNDDOWN(($C240+($D240+$C241-1)/12),0)),AT241+AU239,IF(AU238=ROUNDDOWN(($C240+($D240+$C241-1)/12),0),(AU239+AT241)/$C241*($D241+(AU238-$C240-1)*12+$E241),IF(AU238&gt;ROUNDDOWN(($C240+($D240+$C241)/12),0),0,0)))))))</f>
        <v/>
      </c>
      <c r="AV240" s="114" t="str">
        <f t="shared" ref="AV240" ca="1" si="1476">IF(AV238="","",IF(AV238&lt;$C240,0,IF(AV238=$C240,AV239/$C241*$E241+AU241/$C241*$E241,IF(AND(AV238&gt;$C240,AV238&lt;ROUNDDOWN(($C240+($D240+$C241-1)/12),0)),(AV239/2+AU241)/($C241-$E241-12*(AV238-$C240-1))*12,IF(AND($D241&lt;0,AV238=ROUNDDOWN(($C240+($D240+$C241-1)/12),0)),AU241+AV239,IF(AV238=ROUNDDOWN(($C240+($D240+$C241-1)/12),0),(AV239+AU241)/$C241*($D241+(AV238-$C240-1)*12+$E241),IF(AV238&gt;ROUNDDOWN(($C240+($D240+$C241)/12),0),0,0)))))))</f>
        <v/>
      </c>
      <c r="AW240" s="114" t="str">
        <f t="shared" ref="AW240" ca="1" si="1477">IF(AW238="","",IF(AW238&lt;$C240,0,IF(AW238=$C240,AW239/$C241*$E241+AV241/$C241*$E241,IF(AND(AW238&gt;$C240,AW238&lt;ROUNDDOWN(($C240+($D240+$C241-1)/12),0)),(AW239/2+AV241)/($C241-$E241-12*(AW238-$C240-1))*12,IF(AND($D241&lt;0,AW238=ROUNDDOWN(($C240+($D240+$C241-1)/12),0)),AV241+AW239,IF(AW238=ROUNDDOWN(($C240+($D240+$C241-1)/12),0),(AW239+AV241)/$C241*($D241+(AW238-$C240-1)*12+$E241),IF(AW238&gt;ROUNDDOWN(($C240+($D240+$C241)/12),0),0,0)))))))</f>
        <v/>
      </c>
      <c r="AX240" s="90"/>
      <c r="AY240" s="90"/>
      <c r="AZ240" s="87"/>
    </row>
    <row r="241" spans="3:52" ht="12.75" hidden="1" customHeight="1" outlineLevel="1" x14ac:dyDescent="0.2">
      <c r="C241" s="128">
        <f>ROUNDUP((E240-ROUNDDOWN(E240,0))*12,0)+ROUNDDOWN(E240,0)*12</f>
        <v>0</v>
      </c>
      <c r="D241" s="128">
        <f>C241-E241-ROUNDDOWN(E240,0)*12</f>
        <v>-12</v>
      </c>
      <c r="E241" s="128">
        <f>13-MONTH(C239)</f>
        <v>12</v>
      </c>
      <c r="N241" s="85"/>
      <c r="O241" s="90"/>
      <c r="P241" s="90"/>
      <c r="Q241" s="115" t="str">
        <f>INDEX(g_lang_val,MATCH("tb_2_4_3",g_lang_key,0))</f>
        <v>FF4-gæld, ultimo året</v>
      </c>
      <c r="R241" s="116"/>
      <c r="S241" s="119"/>
      <c r="T241" s="114">
        <f t="shared" ref="T241" ca="1" si="1478">IF(T238="","",S241+T239-T240)</f>
        <v>0</v>
      </c>
      <c r="U241" s="114">
        <f t="shared" ref="U241" ca="1" si="1479">IF(U238="","",T241+U239-U240)</f>
        <v>0</v>
      </c>
      <c r="V241" s="114">
        <f t="shared" ref="V241" ca="1" si="1480">IF(V238="","",U241+V239-V240)</f>
        <v>0</v>
      </c>
      <c r="W241" s="114">
        <f t="shared" ref="W241" ca="1" si="1481">IF(W238="","",V241+W239-W240)</f>
        <v>0</v>
      </c>
      <c r="X241" s="114" t="str">
        <f t="shared" ref="X241" ca="1" si="1482">IF(X238="","",W241+X239-X240)</f>
        <v/>
      </c>
      <c r="Y241" s="114" t="str">
        <f t="shared" ref="Y241" ca="1" si="1483">IF(Y238="","",X241+Y239-Y240)</f>
        <v/>
      </c>
      <c r="Z241" s="114" t="str">
        <f t="shared" ref="Z241" ca="1" si="1484">IF(Z238="","",Y241+Z239-Z240)</f>
        <v/>
      </c>
      <c r="AA241" s="114" t="str">
        <f t="shared" ref="AA241" ca="1" si="1485">IF(AA238="","",Z241+AA239-AA240)</f>
        <v/>
      </c>
      <c r="AB241" s="114" t="str">
        <f t="shared" ref="AB241" ca="1" si="1486">IF(AB238="","",AA241+AB239-AB240)</f>
        <v/>
      </c>
      <c r="AC241" s="114" t="str">
        <f t="shared" ref="AC241" ca="1" si="1487">IF(AC238="","",AB241+AC239-AC240)</f>
        <v/>
      </c>
      <c r="AD241" s="114" t="str">
        <f t="shared" ref="AD241" ca="1" si="1488">IF(AD238="","",AC241+AD239-AD240)</f>
        <v/>
      </c>
      <c r="AE241" s="114" t="str">
        <f t="shared" ref="AE241" ca="1" si="1489">IF(AE238="","",AD241+AE239-AE240)</f>
        <v/>
      </c>
      <c r="AF241" s="114" t="str">
        <f t="shared" ref="AF241" ca="1" si="1490">IF(AF238="","",AE241+AF239-AF240)</f>
        <v/>
      </c>
      <c r="AG241" s="114" t="str">
        <f t="shared" ref="AG241" ca="1" si="1491">IF(AG238="","",AF241+AG239-AG240)</f>
        <v/>
      </c>
      <c r="AH241" s="114" t="str">
        <f t="shared" ref="AH241" ca="1" si="1492">IF(AH238="","",AG241+AH239-AH240)</f>
        <v/>
      </c>
      <c r="AI241" s="114" t="str">
        <f t="shared" ref="AI241" ca="1" si="1493">IF(AI238="","",AH241+AI239-AI240)</f>
        <v/>
      </c>
      <c r="AJ241" s="114" t="str">
        <f t="shared" ref="AJ241" ca="1" si="1494">IF(AJ238="","",AI241+AJ239-AJ240)</f>
        <v/>
      </c>
      <c r="AK241" s="114" t="str">
        <f t="shared" ref="AK241" ca="1" si="1495">IF(AK238="","",AJ241+AK239-AK240)</f>
        <v/>
      </c>
      <c r="AL241" s="114" t="str">
        <f t="shared" ref="AL241" ca="1" si="1496">IF(AL238="","",AK241+AL239-AL240)</f>
        <v/>
      </c>
      <c r="AM241" s="114" t="str">
        <f t="shared" ref="AM241" ca="1" si="1497">IF(AM238="","",AL241+AM239-AM240)</f>
        <v/>
      </c>
      <c r="AN241" s="114" t="str">
        <f t="shared" ref="AN241" ca="1" si="1498">IF(AN238="","",AM241+AN239-AN240)</f>
        <v/>
      </c>
      <c r="AO241" s="114" t="str">
        <f t="shared" ref="AO241" ca="1" si="1499">IF(AO238="","",AN241+AO239-AO240)</f>
        <v/>
      </c>
      <c r="AP241" s="114" t="str">
        <f t="shared" ref="AP241" ca="1" si="1500">IF(AP238="","",AO241+AP239-AP240)</f>
        <v/>
      </c>
      <c r="AQ241" s="114" t="str">
        <f t="shared" ref="AQ241" ca="1" si="1501">IF(AQ238="","",AP241+AQ239-AQ240)</f>
        <v/>
      </c>
      <c r="AR241" s="114" t="str">
        <f t="shared" ref="AR241" ca="1" si="1502">IF(AR238="","",AQ241+AR239-AR240)</f>
        <v/>
      </c>
      <c r="AS241" s="114" t="str">
        <f t="shared" ref="AS241" ca="1" si="1503">IF(AS238="","",AR241+AS239-AS240)</f>
        <v/>
      </c>
      <c r="AT241" s="114" t="str">
        <f t="shared" ref="AT241" ca="1" si="1504">IF(AT238="","",AS241+AT239-AT240)</f>
        <v/>
      </c>
      <c r="AU241" s="114" t="str">
        <f t="shared" ref="AU241" ca="1" si="1505">IF(AU238="","",AT241+AU239-AU240)</f>
        <v/>
      </c>
      <c r="AV241" s="114" t="str">
        <f t="shared" ref="AV241" ca="1" si="1506">IF(AV238="","",AU241+AV239-AV240)</f>
        <v/>
      </c>
      <c r="AW241" s="114" t="str">
        <f t="shared" ref="AW241" ca="1" si="1507">IF(AW238="","",AV241+AW239-AW240)</f>
        <v/>
      </c>
      <c r="AX241" s="90"/>
      <c r="AY241" s="90"/>
      <c r="AZ241" s="87"/>
    </row>
    <row r="242" spans="3:52" ht="12.75" hidden="1" customHeight="1" outlineLevel="1" x14ac:dyDescent="0.2">
      <c r="N242" s="85"/>
      <c r="O242" s="90"/>
      <c r="P242" s="90"/>
      <c r="Q242" s="115" t="str">
        <f>INDEX(g_lang_val,MATCH("tb_2_4_4",g_lang_key,0))</f>
        <v>Renter (FF4)</v>
      </c>
      <c r="R242" s="116"/>
      <c r="S242" s="119">
        <f ca="1">SUM(T242:BG242)</f>
        <v>0</v>
      </c>
      <c r="T242" s="114">
        <f t="shared" ref="T242" ca="1" si="1508">IF(T238="","",g_interest_FF4*(S241+(T239/2)-(T240/2)))</f>
        <v>0</v>
      </c>
      <c r="U242" s="114">
        <f t="shared" ref="U242" ca="1" si="1509">IF(U238="","",g_interest_FF4*(T241+(U239/2)-(U240/2)))</f>
        <v>0</v>
      </c>
      <c r="V242" s="114">
        <f t="shared" ref="V242" ca="1" si="1510">IF(V238="","",g_interest_FF4*(U241+(V239/2)-(V240/2)))</f>
        <v>0</v>
      </c>
      <c r="W242" s="114">
        <f t="shared" ref="W242" ca="1" si="1511">IF(W238="","",g_interest_FF4*(V241+(W239/2)-(W240/2)))</f>
        <v>0</v>
      </c>
      <c r="X242" s="114" t="str">
        <f t="shared" ref="X242" ca="1" si="1512">IF(X238="","",g_interest_FF4*(W241+(X239/2)-(X240/2)))</f>
        <v/>
      </c>
      <c r="Y242" s="114" t="str">
        <f t="shared" ref="Y242" ca="1" si="1513">IF(Y238="","",g_interest_FF4*(X241+(Y239/2)-(Y240/2)))</f>
        <v/>
      </c>
      <c r="Z242" s="114" t="str">
        <f t="shared" ref="Z242" ca="1" si="1514">IF(Z238="","",g_interest_FF4*(Y241+(Z239/2)-(Z240/2)))</f>
        <v/>
      </c>
      <c r="AA242" s="114" t="str">
        <f t="shared" ref="AA242" ca="1" si="1515">IF(AA238="","",g_interest_FF4*(Z241+(AA239/2)-(AA240/2)))</f>
        <v/>
      </c>
      <c r="AB242" s="114" t="str">
        <f t="shared" ref="AB242" ca="1" si="1516">IF(AB238="","",g_interest_FF4*(AA241+(AB239/2)-(AB240/2)))</f>
        <v/>
      </c>
      <c r="AC242" s="114" t="str">
        <f t="shared" ref="AC242" ca="1" si="1517">IF(AC238="","",g_interest_FF4*(AB241+(AC239/2)-(AC240/2)))</f>
        <v/>
      </c>
      <c r="AD242" s="114" t="str">
        <f t="shared" ref="AD242" ca="1" si="1518">IF(AD238="","",g_interest_FF4*(AC241+(AD239/2)-(AD240/2)))</f>
        <v/>
      </c>
      <c r="AE242" s="114" t="str">
        <f t="shared" ref="AE242" ca="1" si="1519">IF(AE238="","",g_interest_FF4*(AD241+(AE239/2)-(AE240/2)))</f>
        <v/>
      </c>
      <c r="AF242" s="114" t="str">
        <f t="shared" ref="AF242" ca="1" si="1520">IF(AF238="","",g_interest_FF4*(AE241+(AF239/2)-(AF240/2)))</f>
        <v/>
      </c>
      <c r="AG242" s="114" t="str">
        <f t="shared" ref="AG242" ca="1" si="1521">IF(AG238="","",g_interest_FF4*(AF241+(AG239/2)-(AG240/2)))</f>
        <v/>
      </c>
      <c r="AH242" s="114" t="str">
        <f t="shared" ref="AH242" ca="1" si="1522">IF(AH238="","",g_interest_FF4*(AG241+(AH239/2)-(AH240/2)))</f>
        <v/>
      </c>
      <c r="AI242" s="114" t="str">
        <f t="shared" ref="AI242" ca="1" si="1523">IF(AI238="","",g_interest_FF4*(AH241+(AI239/2)-(AI240/2)))</f>
        <v/>
      </c>
      <c r="AJ242" s="114" t="str">
        <f t="shared" ref="AJ242" ca="1" si="1524">IF(AJ238="","",g_interest_FF4*(AI241+(AJ239/2)-(AJ240/2)))</f>
        <v/>
      </c>
      <c r="AK242" s="114" t="str">
        <f t="shared" ref="AK242" ca="1" si="1525">IF(AK238="","",g_interest_FF4*(AJ241+(AK239/2)-(AK240/2)))</f>
        <v/>
      </c>
      <c r="AL242" s="114" t="str">
        <f t="shared" ref="AL242" ca="1" si="1526">IF(AL238="","",g_interest_FF4*(AK241+(AL239/2)-(AL240/2)))</f>
        <v/>
      </c>
      <c r="AM242" s="114" t="str">
        <f t="shared" ref="AM242" ca="1" si="1527">IF(AM238="","",g_interest_FF4*(AL241+(AM239/2)-(AM240/2)))</f>
        <v/>
      </c>
      <c r="AN242" s="114" t="str">
        <f t="shared" ref="AN242" ca="1" si="1528">IF(AN238="","",g_interest_FF4*(AM241+(AN239/2)-(AN240/2)))</f>
        <v/>
      </c>
      <c r="AO242" s="114" t="str">
        <f t="shared" ref="AO242" ca="1" si="1529">IF(AO238="","",g_interest_FF4*(AN241+(AO239/2)-(AO240/2)))</f>
        <v/>
      </c>
      <c r="AP242" s="114" t="str">
        <f t="shared" ref="AP242" ca="1" si="1530">IF(AP238="","",g_interest_FF4*(AO241+(AP239/2)-(AP240/2)))</f>
        <v/>
      </c>
      <c r="AQ242" s="114" t="str">
        <f t="shared" ref="AQ242" ca="1" si="1531">IF(AQ238="","",g_interest_FF4*(AP241+(AQ239/2)-(AQ240/2)))</f>
        <v/>
      </c>
      <c r="AR242" s="114" t="str">
        <f t="shared" ref="AR242" ca="1" si="1532">IF(AR238="","",g_interest_FF4*(AQ241+(AR239/2)-(AR240/2)))</f>
        <v/>
      </c>
      <c r="AS242" s="114" t="str">
        <f t="shared" ref="AS242" ca="1" si="1533">IF(AS238="","",g_interest_FF4*(AR241+(AS239/2)-(AS240/2)))</f>
        <v/>
      </c>
      <c r="AT242" s="114" t="str">
        <f t="shared" ref="AT242" ca="1" si="1534">IF(AT238="","",g_interest_FF4*(AS241+(AT239/2)-(AT240/2)))</f>
        <v/>
      </c>
      <c r="AU242" s="114" t="str">
        <f t="shared" ref="AU242" ca="1" si="1535">IF(AU238="","",g_interest_FF4*(AT241+(AU239/2)-(AU240/2)))</f>
        <v/>
      </c>
      <c r="AV242" s="114" t="str">
        <f t="shared" ref="AV242" ca="1" si="1536">IF(AV238="","",g_interest_FF4*(AU241+(AV239/2)-(AV240/2)))</f>
        <v/>
      </c>
      <c r="AW242" s="114" t="str">
        <f t="shared" ref="AW242" ca="1" si="1537">IF(AW238="","",g_interest_FF4*(AV241+(AW239/2)-(AW240/2)))</f>
        <v/>
      </c>
      <c r="AX242" s="90"/>
      <c r="AY242" s="90"/>
      <c r="AZ242" s="87"/>
    </row>
    <row r="243" spans="3:52" ht="12.75" hidden="1" customHeight="1" outlineLevel="1" x14ac:dyDescent="0.2">
      <c r="N243" s="85"/>
      <c r="O243" s="102"/>
      <c r="P243" s="102"/>
      <c r="Q243" s="118" t="str">
        <f>INDEX(g_assets_sc_1,20)</f>
        <v/>
      </c>
      <c r="R243" s="116"/>
      <c r="S243" s="119"/>
      <c r="T243" s="125">
        <f ca="1">T$157</f>
        <v>2026</v>
      </c>
      <c r="U243" s="125">
        <f t="shared" ref="U243:AW243" ca="1" si="1538">U$157</f>
        <v>2027</v>
      </c>
      <c r="V243" s="125">
        <f t="shared" ca="1" si="1538"/>
        <v>2028</v>
      </c>
      <c r="W243" s="125">
        <f t="shared" ca="1" si="1538"/>
        <v>2029</v>
      </c>
      <c r="X243" s="125" t="str">
        <f t="shared" ca="1" si="1538"/>
        <v/>
      </c>
      <c r="Y243" s="125" t="str">
        <f t="shared" ca="1" si="1538"/>
        <v/>
      </c>
      <c r="Z243" s="125" t="str">
        <f t="shared" ca="1" si="1538"/>
        <v/>
      </c>
      <c r="AA243" s="125" t="str">
        <f t="shared" ca="1" si="1538"/>
        <v/>
      </c>
      <c r="AB243" s="125" t="str">
        <f t="shared" ca="1" si="1538"/>
        <v/>
      </c>
      <c r="AC243" s="125" t="str">
        <f t="shared" ca="1" si="1538"/>
        <v/>
      </c>
      <c r="AD243" s="125" t="str">
        <f t="shared" ca="1" si="1538"/>
        <v/>
      </c>
      <c r="AE243" s="125" t="str">
        <f t="shared" ca="1" si="1538"/>
        <v/>
      </c>
      <c r="AF243" s="125" t="str">
        <f t="shared" ca="1" si="1538"/>
        <v/>
      </c>
      <c r="AG243" s="125" t="str">
        <f t="shared" ca="1" si="1538"/>
        <v/>
      </c>
      <c r="AH243" s="125" t="str">
        <f t="shared" ca="1" si="1538"/>
        <v/>
      </c>
      <c r="AI243" s="125" t="str">
        <f t="shared" ca="1" si="1538"/>
        <v/>
      </c>
      <c r="AJ243" s="125" t="str">
        <f t="shared" ca="1" si="1538"/>
        <v/>
      </c>
      <c r="AK243" s="125" t="str">
        <f t="shared" ca="1" si="1538"/>
        <v/>
      </c>
      <c r="AL243" s="125" t="str">
        <f t="shared" ca="1" si="1538"/>
        <v/>
      </c>
      <c r="AM243" s="125" t="str">
        <f t="shared" ca="1" si="1538"/>
        <v/>
      </c>
      <c r="AN243" s="125" t="str">
        <f t="shared" ca="1" si="1538"/>
        <v/>
      </c>
      <c r="AO243" s="125" t="str">
        <f t="shared" ca="1" si="1538"/>
        <v/>
      </c>
      <c r="AP243" s="125" t="str">
        <f t="shared" ca="1" si="1538"/>
        <v/>
      </c>
      <c r="AQ243" s="125" t="str">
        <f t="shared" ca="1" si="1538"/>
        <v/>
      </c>
      <c r="AR243" s="125" t="str">
        <f t="shared" ca="1" si="1538"/>
        <v/>
      </c>
      <c r="AS243" s="125" t="str">
        <f t="shared" ca="1" si="1538"/>
        <v/>
      </c>
      <c r="AT243" s="125" t="str">
        <f t="shared" ca="1" si="1538"/>
        <v/>
      </c>
      <c r="AU243" s="125" t="str">
        <f t="shared" ca="1" si="1538"/>
        <v/>
      </c>
      <c r="AV243" s="125" t="str">
        <f t="shared" ca="1" si="1538"/>
        <v/>
      </c>
      <c r="AW243" s="125" t="str">
        <f t="shared" ca="1" si="1538"/>
        <v/>
      </c>
      <c r="AX243" s="102"/>
      <c r="AY243" s="102"/>
      <c r="AZ243" s="87"/>
    </row>
    <row r="244" spans="3:52" ht="12.75" hidden="1" customHeight="1" outlineLevel="1" x14ac:dyDescent="0.2">
      <c r="C244" s="126">
        <f>INDEX(g_sc_1_assets_dates,G244)</f>
        <v>0</v>
      </c>
      <c r="G244" s="127">
        <v>18</v>
      </c>
      <c r="N244" s="85"/>
      <c r="O244" s="90"/>
      <c r="P244" s="90"/>
      <c r="Q244" s="115" t="str">
        <f>INDEX(g_lang_val,MATCH("tb_2_4_1",g_lang_key,0))</f>
        <v>Køb af anlægsaktiver</v>
      </c>
      <c r="R244" s="116"/>
      <c r="S244" s="119">
        <f ca="1">SUM(T244:BG244)</f>
        <v>0</v>
      </c>
      <c r="T244" s="114">
        <f ca="1">IF(T243="","",SUMPRODUCT(--(Leverancer!$C$28:$C$88=($G244+2)),Leverancer!D$28:D$88)/1000)</f>
        <v>0</v>
      </c>
      <c r="U244" s="114">
        <f ca="1">IF(U243="","",SUMPRODUCT(--(Leverancer!$C$28:$C$88=($G244+2)),Leverancer!E$28:E$88)/1000)</f>
        <v>0</v>
      </c>
      <c r="V244" s="114">
        <f ca="1">IF(V243="","",SUMPRODUCT(--(Leverancer!$C$28:$C$88=($G244+2)),Leverancer!F$28:F$88)/1000)</f>
        <v>0</v>
      </c>
      <c r="W244" s="114">
        <f ca="1">IF(W243="","",SUMPRODUCT(--(Leverancer!$C$28:$C$88=($G244+2)),Leverancer!G$28:G$88)/1000)</f>
        <v>0</v>
      </c>
      <c r="X244" s="114" t="str">
        <f ca="1">IF(X243="","",SUMPRODUCT(--(Leverancer!$C$28:$C$88=($G244+2)),Leverancer!H$28:H$88)/1000)</f>
        <v/>
      </c>
      <c r="Y244" s="114" t="str">
        <f ca="1">IF(Y243="","",SUMPRODUCT(--(Leverancer!$C$28:$C$88=($G244+2)),Leverancer!I$28:I$88)/1000)</f>
        <v/>
      </c>
      <c r="Z244" s="114" t="str">
        <f ca="1">IF(Z243="","",SUMPRODUCT(--(Leverancer!$C$28:$C$88=($G244+2)),Leverancer!J$28:J$88)/1000)</f>
        <v/>
      </c>
      <c r="AA244" s="114" t="str">
        <f ca="1">IF(AA243="","",SUMPRODUCT(--(Leverancer!$C$28:$C$88=($G244+2)),Leverancer!K$28:K$88)/1000)</f>
        <v/>
      </c>
      <c r="AB244" s="114" t="str">
        <f ca="1">IF(AB243="","",SUMPRODUCT(--(Leverancer!$C$28:$C$88=($G244+2)),Leverancer!L$28:L$88)/1000)</f>
        <v/>
      </c>
      <c r="AC244" s="114" t="str">
        <f ca="1">IF(AC243="","",SUMPRODUCT(--(Leverancer!$C$28:$C$88=($G244+2)),Leverancer!M$28:M$88)/1000)</f>
        <v/>
      </c>
      <c r="AD244" s="114" t="str">
        <f ca="1">IF(AD243="","",SUMPRODUCT(--(Leverancer!$C$28:$C$88=($G244+2)),Leverancer!N$28:N$88)/1000)</f>
        <v/>
      </c>
      <c r="AE244" s="114" t="str">
        <f ca="1">IF(AE243="","",SUMPRODUCT(--(Leverancer!$C$28:$C$88=($G244+2)),Leverancer!O$28:O$88)/1000)</f>
        <v/>
      </c>
      <c r="AF244" s="114" t="str">
        <f ca="1">IF(AF243="","",SUMPRODUCT(--(Leverancer!$C$28:$C$88=($G244+2)),Leverancer!P$28:P$88)/1000)</f>
        <v/>
      </c>
      <c r="AG244" s="114" t="str">
        <f ca="1">IF(AG243="","",SUMPRODUCT(--(Leverancer!$C$28:$C$88=($G244+2)),Leverancer!Q$28:Q$88)/1000)</f>
        <v/>
      </c>
      <c r="AH244" s="114" t="str">
        <f ca="1">IF(AH243="","",SUMPRODUCT(--(Leverancer!$C$28:$C$88=($G244+2)),Leverancer!R$28:R$88)/1000)</f>
        <v/>
      </c>
      <c r="AI244" s="114" t="str">
        <f ca="1">IF(AI243="","",SUMPRODUCT(--(Leverancer!$C$28:$C$88=($G244+2)),Leverancer!S$28:S$88)/1000)</f>
        <v/>
      </c>
      <c r="AJ244" s="114" t="str">
        <f ca="1">IF(AJ243="","",SUMPRODUCT(--(Leverancer!$C$28:$C$88=($G244+2)),Leverancer!T$28:T$88)/1000)</f>
        <v/>
      </c>
      <c r="AK244" s="114" t="str">
        <f ca="1">IF(AK243="","",SUMPRODUCT(--(Leverancer!$C$28:$C$88=($G244+2)),Leverancer!U$28:U$88)/1000)</f>
        <v/>
      </c>
      <c r="AL244" s="114" t="str">
        <f ca="1">IF(AL243="","",SUMPRODUCT(--(Leverancer!$C$28:$C$88=($G244+2)),Leverancer!V$28:V$88)/1000)</f>
        <v/>
      </c>
      <c r="AM244" s="114" t="str">
        <f ca="1">IF(AM243="","",SUMPRODUCT(--(Leverancer!$C$28:$C$88=($G244+2)),Leverancer!W$28:W$88)/1000)</f>
        <v/>
      </c>
      <c r="AN244" s="114" t="str">
        <f ca="1">IF(AN243="","",SUMPRODUCT(--(Leverancer!$C$28:$C$88=($G244+2)),Leverancer!X$28:X$88)/1000)</f>
        <v/>
      </c>
      <c r="AO244" s="114" t="str">
        <f ca="1">IF(AO243="","",SUMPRODUCT(--(Leverancer!$C$28:$C$88=($G244+2)),Leverancer!Y$28:Y$88)/1000)</f>
        <v/>
      </c>
      <c r="AP244" s="114" t="str">
        <f ca="1">IF(AP243="","",SUMPRODUCT(--(Leverancer!$C$28:$C$88=($G244+2)),Leverancer!Z$28:Z$88)/1000)</f>
        <v/>
      </c>
      <c r="AQ244" s="114" t="str">
        <f ca="1">IF(AQ243="","",SUMPRODUCT(--(Leverancer!$C$28:$C$88=($G244+2)),Leverancer!AA$28:AA$88)/1000)</f>
        <v/>
      </c>
      <c r="AR244" s="114" t="str">
        <f ca="1">IF(AR243="","",SUMPRODUCT(--(Leverancer!$C$28:$C$88=($G244+2)),Leverancer!AB$28:AB$88)/1000)</f>
        <v/>
      </c>
      <c r="AS244" s="114" t="str">
        <f ca="1">IF(AS243="","",SUMPRODUCT(--(Leverancer!$C$28:$C$88=($G244+2)),Leverancer!AC$28:AC$88)/1000)</f>
        <v/>
      </c>
      <c r="AT244" s="114" t="str">
        <f ca="1">IF(AT243="","",SUMPRODUCT(--(Leverancer!$C$28:$C$88=($G244+2)),Leverancer!AD$28:AD$88)/1000)</f>
        <v/>
      </c>
      <c r="AU244" s="114" t="str">
        <f ca="1">IF(AU243="","",SUMPRODUCT(--(Leverancer!$C$28:$C$88=($G244+2)),Leverancer!AE$28:AE$88)/1000)</f>
        <v/>
      </c>
      <c r="AV244" s="114" t="str">
        <f ca="1">IF(AV243="","",SUMPRODUCT(--(Leverancer!$C$28:$C$88=($G244+2)),Leverancer!AF$28:AF$88)/1000)</f>
        <v/>
      </c>
      <c r="AW244" s="114" t="str">
        <f ca="1">IF(AW243="","",SUMPRODUCT(--(Leverancer!$C$28:$C$88=($G244+2)),Leverancer!AG$28:AG$88)/1000)</f>
        <v/>
      </c>
      <c r="AX244" s="90"/>
      <c r="AY244" s="90"/>
      <c r="AZ244" s="87"/>
    </row>
    <row r="245" spans="3:52" ht="12.75" hidden="1" customHeight="1" outlineLevel="1" x14ac:dyDescent="0.2">
      <c r="C245" s="128">
        <f>IFERROR(YEAR(C244),"")</f>
        <v>1900</v>
      </c>
      <c r="D245" s="128">
        <f>IFERROR(MONTH(C244),"")</f>
        <v>1</v>
      </c>
      <c r="E245" s="128">
        <f>INDEX(g_sc_1_assets_years,G244)</f>
        <v>0</v>
      </c>
      <c r="N245" s="85"/>
      <c r="O245" s="90"/>
      <c r="P245" s="90"/>
      <c r="Q245" s="115" t="str">
        <f>INDEX(g_lang_val,MATCH("tb_2_4_2",g_lang_key,0))</f>
        <v>Afskrivninger</v>
      </c>
      <c r="R245" s="116"/>
      <c r="S245" s="119">
        <f ca="1">SUM(T245:BG245)</f>
        <v>0</v>
      </c>
      <c r="T245" s="114">
        <f t="shared" ref="T245" ca="1" si="1539">IF(T243="","",IF(T243&lt;$C245,0,IF(T243=$C245,T244/$C246*$E246+S246/$C246*$E246,IF(AND(T243&gt;$C245,T243&lt;ROUNDDOWN(($C245+($D245+$C246-1)/12),0)),(T244/2+S246)/($C246-$E246-12*(T243-$C245-1))*12,IF(AND($D246&lt;0,T243=ROUNDDOWN(($C245+($D245+$C246-1)/12),0)),S246+T244,IF(T243=ROUNDDOWN(($C245+($D245+$C246-1)/12),0),(T244+S246)/$C246*($D246+(T243-$C245-1)*12+$E246),IF(T243&gt;ROUNDDOWN(($C245+($D245+$C246)/12),0),0,0)))))))</f>
        <v>0</v>
      </c>
      <c r="U245" s="114">
        <f t="shared" ref="U245" ca="1" si="1540">IF(U243="","",IF(U243&lt;$C245,0,IF(U243=$C245,U244/$C246*$E246+T246/$C246*$E246,IF(AND(U243&gt;$C245,U243&lt;ROUNDDOWN(($C245+($D245+$C246-1)/12),0)),(U244/2+T246)/($C246-$E246-12*(U243-$C245-1))*12,IF(AND($D246&lt;0,U243=ROUNDDOWN(($C245+($D245+$C246-1)/12),0)),T246+U244,IF(U243=ROUNDDOWN(($C245+($D245+$C246-1)/12),0),(U244+T246)/$C246*($D246+(U243-$C245-1)*12+$E246),IF(U243&gt;ROUNDDOWN(($C245+($D245+$C246)/12),0),0,0)))))))</f>
        <v>0</v>
      </c>
      <c r="V245" s="114">
        <f t="shared" ref="V245" ca="1" si="1541">IF(V243="","",IF(V243&lt;$C245,0,IF(V243=$C245,V244/$C246*$E246+U246/$C246*$E246,IF(AND(V243&gt;$C245,V243&lt;ROUNDDOWN(($C245+($D245+$C246-1)/12),0)),(V244/2+U246)/($C246-$E246-12*(V243-$C245-1))*12,IF(AND($D246&lt;0,V243=ROUNDDOWN(($C245+($D245+$C246-1)/12),0)),U246+V244,IF(V243=ROUNDDOWN(($C245+($D245+$C246-1)/12),0),(V244+U246)/$C246*($D246+(V243-$C245-1)*12+$E246),IF(V243&gt;ROUNDDOWN(($C245+($D245+$C246)/12),0),0,0)))))))</f>
        <v>0</v>
      </c>
      <c r="W245" s="114">
        <f t="shared" ref="W245" ca="1" si="1542">IF(W243="","",IF(W243&lt;$C245,0,IF(W243=$C245,W244/$C246*$E246+V246/$C246*$E246,IF(AND(W243&gt;$C245,W243&lt;ROUNDDOWN(($C245+($D245+$C246-1)/12),0)),(W244/2+V246)/($C246-$E246-12*(W243-$C245-1))*12,IF(AND($D246&lt;0,W243=ROUNDDOWN(($C245+($D245+$C246-1)/12),0)),V246+W244,IF(W243=ROUNDDOWN(($C245+($D245+$C246-1)/12),0),(W244+V246)/$C246*($D246+(W243-$C245-1)*12+$E246),IF(W243&gt;ROUNDDOWN(($C245+($D245+$C246)/12),0),0,0)))))))</f>
        <v>0</v>
      </c>
      <c r="X245" s="114" t="str">
        <f t="shared" ref="X245" ca="1" si="1543">IF(X243="","",IF(X243&lt;$C245,0,IF(X243=$C245,X244/$C246*$E246+W246/$C246*$E246,IF(AND(X243&gt;$C245,X243&lt;ROUNDDOWN(($C245+($D245+$C246-1)/12),0)),(X244/2+W246)/($C246-$E246-12*(X243-$C245-1))*12,IF(AND($D246&lt;0,X243=ROUNDDOWN(($C245+($D245+$C246-1)/12),0)),W246+X244,IF(X243=ROUNDDOWN(($C245+($D245+$C246-1)/12),0),(X244+W246)/$C246*($D246+(X243-$C245-1)*12+$E246),IF(X243&gt;ROUNDDOWN(($C245+($D245+$C246)/12),0),0,0)))))))</f>
        <v/>
      </c>
      <c r="Y245" s="114" t="str">
        <f t="shared" ref="Y245" ca="1" si="1544">IF(Y243="","",IF(Y243&lt;$C245,0,IF(Y243=$C245,Y244/$C246*$E246+X246/$C246*$E246,IF(AND(Y243&gt;$C245,Y243&lt;ROUNDDOWN(($C245+($D245+$C246-1)/12),0)),(Y244/2+X246)/($C246-$E246-12*(Y243-$C245-1))*12,IF(AND($D246&lt;0,Y243=ROUNDDOWN(($C245+($D245+$C246-1)/12),0)),X246+Y244,IF(Y243=ROUNDDOWN(($C245+($D245+$C246-1)/12),0),(Y244+X246)/$C246*($D246+(Y243-$C245-1)*12+$E246),IF(Y243&gt;ROUNDDOWN(($C245+($D245+$C246)/12),0),0,0)))))))</f>
        <v/>
      </c>
      <c r="Z245" s="114" t="str">
        <f ca="1">IF(Z243="","",IF(Z243&lt;$C245,0,IF(Z243=$C245,Z244/$C246*$E246+Y246/$C246*$E246,IF(AND(Z243&gt;$C245,Z243&lt;ROUNDDOWN(($C245+($D245+$C246-1)/12),0)),(Z244/2+Y246)/($C246-$E246-12*(Z243-$C245-1))*12,IF(AND($D246&lt;0,Z243=ROUNDDOWN(($C245+($D245+$C246-1)/12),0)),Y246+Z244,IF(Z243=ROUNDDOWN(($C245+($D245+$C246-1)/12),0),(Z244+Y246)/$C246*($D246+(Z243-$C245-1)*12+$E246),IF(Z243&gt;ROUNDDOWN(($C245+($D245+$C246)/12),0),0,0)))))))</f>
        <v/>
      </c>
      <c r="AA245" s="114" t="str">
        <f t="shared" ref="AA245" ca="1" si="1545">IF(AA243="","",IF(AA243&lt;$C245,0,IF(AA243=$C245,AA244/$C246*$E246+Z246/$C246*$E246,IF(AND(AA243&gt;$C245,AA243&lt;ROUNDDOWN(($C245+($D245+$C246-1)/12),0)),(AA244/2+Z246)/($C246-$E246-12*(AA243-$C245-1))*12,IF(AND($D246&lt;0,AA243=ROUNDDOWN(($C245+($D245+$C246-1)/12),0)),Z246+AA244,IF(AA243=ROUNDDOWN(($C245+($D245+$C246-1)/12),0),(AA244+Z246)/$C246*($D246+(AA243-$C245-1)*12+$E246),IF(AA243&gt;ROUNDDOWN(($C245+($D245+$C246)/12),0),0,0)))))))</f>
        <v/>
      </c>
      <c r="AB245" s="114" t="str">
        <f t="shared" ref="AB245" ca="1" si="1546">IF(AB243="","",IF(AB243&lt;$C245,0,IF(AB243=$C245,AB244/$C246*$E246+AA246/$C246*$E246,IF(AND(AB243&gt;$C245,AB243&lt;ROUNDDOWN(($C245+($D245+$C246-1)/12),0)),(AB244/2+AA246)/($C246-$E246-12*(AB243-$C245-1))*12,IF(AND($D246&lt;0,AB243=ROUNDDOWN(($C245+($D245+$C246-1)/12),0)),AA246+AB244,IF(AB243=ROUNDDOWN(($C245+($D245+$C246-1)/12),0),(AB244+AA246)/$C246*($D246+(AB243-$C245-1)*12+$E246),IF(AB243&gt;ROUNDDOWN(($C245+($D245+$C246)/12),0),0,0)))))))</f>
        <v/>
      </c>
      <c r="AC245" s="114" t="str">
        <f t="shared" ref="AC245" ca="1" si="1547">IF(AC243="","",IF(AC243&lt;$C245,0,IF(AC243=$C245,AC244/$C246*$E246+AB246/$C246*$E246,IF(AND(AC243&gt;$C245,AC243&lt;ROUNDDOWN(($C245+($D245+$C246-1)/12),0)),(AC244/2+AB246)/($C246-$E246-12*(AC243-$C245-1))*12,IF(AND($D246&lt;0,AC243=ROUNDDOWN(($C245+($D245+$C246-1)/12),0)),AB246+AC244,IF(AC243=ROUNDDOWN(($C245+($D245+$C246-1)/12),0),(AC244+AB246)/$C246*($D246+(AC243-$C245-1)*12+$E246),IF(AC243&gt;ROUNDDOWN(($C245+($D245+$C246)/12),0),0,0)))))))</f>
        <v/>
      </c>
      <c r="AD245" s="114" t="str">
        <f t="shared" ref="AD245" ca="1" si="1548">IF(AD243="","",IF(AD243&lt;$C245,0,IF(AD243=$C245,AD244/$C246*$E246+AC246/$C246*$E246,IF(AND(AD243&gt;$C245,AD243&lt;ROUNDDOWN(($C245+($D245+$C246-1)/12),0)),(AD244/2+AC246)/($C246-$E246-12*(AD243-$C245-1))*12,IF(AND($D246&lt;0,AD243=ROUNDDOWN(($C245+($D245+$C246-1)/12),0)),AC246+AD244,IF(AD243=ROUNDDOWN(($C245+($D245+$C246-1)/12),0),(AD244+AC246)/$C246*($D246+(AD243-$C245-1)*12+$E246),IF(AD243&gt;ROUNDDOWN(($C245+($D245+$C246)/12),0),0,0)))))))</f>
        <v/>
      </c>
      <c r="AE245" s="114" t="str">
        <f t="shared" ref="AE245" ca="1" si="1549">IF(AE243="","",IF(AE243&lt;$C245,0,IF(AE243=$C245,AE244/$C246*$E246+AD246/$C246*$E246,IF(AND(AE243&gt;$C245,AE243&lt;ROUNDDOWN(($C245+($D245+$C246-1)/12),0)),(AE244/2+AD246)/($C246-$E246-12*(AE243-$C245-1))*12,IF(AND($D246&lt;0,AE243=ROUNDDOWN(($C245+($D245+$C246-1)/12),0)),AD246+AE244,IF(AE243=ROUNDDOWN(($C245+($D245+$C246-1)/12),0),(AE244+AD246)/$C246*($D246+(AE243-$C245-1)*12+$E246),IF(AE243&gt;ROUNDDOWN(($C245+($D245+$C246)/12),0),0,0)))))))</f>
        <v/>
      </c>
      <c r="AF245" s="114" t="str">
        <f t="shared" ref="AF245" ca="1" si="1550">IF(AF243="","",IF(AF243&lt;$C245,0,IF(AF243=$C245,AF244/$C246*$E246+AE246/$C246*$E246,IF(AND(AF243&gt;$C245,AF243&lt;ROUNDDOWN(($C245+($D245+$C246-1)/12),0)),(AF244/2+AE246)/($C246-$E246-12*(AF243-$C245-1))*12,IF(AND($D246&lt;0,AF243=ROUNDDOWN(($C245+($D245+$C246-1)/12),0)),AE246+AF244,IF(AF243=ROUNDDOWN(($C245+($D245+$C246-1)/12),0),(AF244+AE246)/$C246*($D246+(AF243-$C245-1)*12+$E246),IF(AF243&gt;ROUNDDOWN(($C245+($D245+$C246)/12),0),0,0)))))))</f>
        <v/>
      </c>
      <c r="AG245" s="114" t="str">
        <f t="shared" ref="AG245" ca="1" si="1551">IF(AG243="","",IF(AG243&lt;$C245,0,IF(AG243=$C245,AG244/$C246*$E246+AF246/$C246*$E246,IF(AND(AG243&gt;$C245,AG243&lt;ROUNDDOWN(($C245+($D245+$C246-1)/12),0)),(AG244/2+AF246)/($C246-$E246-12*(AG243-$C245-1))*12,IF(AND($D246&lt;0,AG243=ROUNDDOWN(($C245+($D245+$C246-1)/12),0)),AF246+AG244,IF(AG243=ROUNDDOWN(($C245+($D245+$C246-1)/12),0),(AG244+AF246)/$C246*($D246+(AG243-$C245-1)*12+$E246),IF(AG243&gt;ROUNDDOWN(($C245+($D245+$C246)/12),0),0,0)))))))</f>
        <v/>
      </c>
      <c r="AH245" s="114" t="str">
        <f t="shared" ref="AH245" ca="1" si="1552">IF(AH243="","",IF(AH243&lt;$C245,0,IF(AH243=$C245,AH244/$C246*$E246+AG246/$C246*$E246,IF(AND(AH243&gt;$C245,AH243&lt;ROUNDDOWN(($C245+($D245+$C246-1)/12),0)),(AH244/2+AG246)/($C246-$E246-12*(AH243-$C245-1))*12,IF(AND($D246&lt;0,AH243=ROUNDDOWN(($C245+($D245+$C246-1)/12),0)),AG246+AH244,IF(AH243=ROUNDDOWN(($C245+($D245+$C246-1)/12),0),(AH244+AG246)/$C246*($D246+(AH243-$C245-1)*12+$E246),IF(AH243&gt;ROUNDDOWN(($C245+($D245+$C246)/12),0),0,0)))))))</f>
        <v/>
      </c>
      <c r="AI245" s="114" t="str">
        <f t="shared" ref="AI245" ca="1" si="1553">IF(AI243="","",IF(AI243&lt;$C245,0,IF(AI243=$C245,AI244/$C246*$E246+AH246/$C246*$E246,IF(AND(AI243&gt;$C245,AI243&lt;ROUNDDOWN(($C245+($D245+$C246-1)/12),0)),(AI244/2+AH246)/($C246-$E246-12*(AI243-$C245-1))*12,IF(AND($D246&lt;0,AI243=ROUNDDOWN(($C245+($D245+$C246-1)/12),0)),AH246+AI244,IF(AI243=ROUNDDOWN(($C245+($D245+$C246-1)/12),0),(AI244+AH246)/$C246*($D246+(AI243-$C245-1)*12+$E246),IF(AI243&gt;ROUNDDOWN(($C245+($D245+$C246)/12),0),0,0)))))))</f>
        <v/>
      </c>
      <c r="AJ245" s="114" t="str">
        <f t="shared" ref="AJ245" ca="1" si="1554">IF(AJ243="","",IF(AJ243&lt;$C245,0,IF(AJ243=$C245,AJ244/$C246*$E246+AI246/$C246*$E246,IF(AND(AJ243&gt;$C245,AJ243&lt;ROUNDDOWN(($C245+($D245+$C246-1)/12),0)),(AJ244/2+AI246)/($C246-$E246-12*(AJ243-$C245-1))*12,IF(AND($D246&lt;0,AJ243=ROUNDDOWN(($C245+($D245+$C246-1)/12),0)),AI246+AJ244,IF(AJ243=ROUNDDOWN(($C245+($D245+$C246-1)/12),0),(AJ244+AI246)/$C246*($D246+(AJ243-$C245-1)*12+$E246),IF(AJ243&gt;ROUNDDOWN(($C245+($D245+$C246)/12),0),0,0)))))))</f>
        <v/>
      </c>
      <c r="AK245" s="114" t="str">
        <f t="shared" ref="AK245" ca="1" si="1555">IF(AK243="","",IF(AK243&lt;$C245,0,IF(AK243=$C245,AK244/$C246*$E246+AJ246/$C246*$E246,IF(AND(AK243&gt;$C245,AK243&lt;ROUNDDOWN(($C245+($D245+$C246-1)/12),0)),(AK244/2+AJ246)/($C246-$E246-12*(AK243-$C245-1))*12,IF(AND($D246&lt;0,AK243=ROUNDDOWN(($C245+($D245+$C246-1)/12),0)),AJ246+AK244,IF(AK243=ROUNDDOWN(($C245+($D245+$C246-1)/12),0),(AK244+AJ246)/$C246*($D246+(AK243-$C245-1)*12+$E246),IF(AK243&gt;ROUNDDOWN(($C245+($D245+$C246)/12),0),0,0)))))))</f>
        <v/>
      </c>
      <c r="AL245" s="114" t="str">
        <f t="shared" ref="AL245" ca="1" si="1556">IF(AL243="","",IF(AL243&lt;$C245,0,IF(AL243=$C245,AL244/$C246*$E246+AK246/$C246*$E246,IF(AND(AL243&gt;$C245,AL243&lt;ROUNDDOWN(($C245+($D245+$C246-1)/12),0)),(AL244/2+AK246)/($C246-$E246-12*(AL243-$C245-1))*12,IF(AND($D246&lt;0,AL243=ROUNDDOWN(($C245+($D245+$C246-1)/12),0)),AK246+AL244,IF(AL243=ROUNDDOWN(($C245+($D245+$C246-1)/12),0),(AL244+AK246)/$C246*($D246+(AL243-$C245-1)*12+$E246),IF(AL243&gt;ROUNDDOWN(($C245+($D245+$C246)/12),0),0,0)))))))</f>
        <v/>
      </c>
      <c r="AM245" s="114" t="str">
        <f t="shared" ref="AM245" ca="1" si="1557">IF(AM243="","",IF(AM243&lt;$C245,0,IF(AM243=$C245,AM244/$C246*$E246+AL246/$C246*$E246,IF(AND(AM243&gt;$C245,AM243&lt;ROUNDDOWN(($C245+($D245+$C246-1)/12),0)),(AM244/2+AL246)/($C246-$E246-12*(AM243-$C245-1))*12,IF(AND($D246&lt;0,AM243=ROUNDDOWN(($C245+($D245+$C246-1)/12),0)),AL246+AM244,IF(AM243=ROUNDDOWN(($C245+($D245+$C246-1)/12),0),(AM244+AL246)/$C246*($D246+(AM243-$C245-1)*12+$E246),IF(AM243&gt;ROUNDDOWN(($C245+($D245+$C246)/12),0),0,0)))))))</f>
        <v/>
      </c>
      <c r="AN245" s="114" t="str">
        <f t="shared" ref="AN245" ca="1" si="1558">IF(AN243="","",IF(AN243&lt;$C245,0,IF(AN243=$C245,AN244/$C246*$E246+AM246/$C246*$E246,IF(AND(AN243&gt;$C245,AN243&lt;ROUNDDOWN(($C245+($D245+$C246-1)/12),0)),(AN244/2+AM246)/($C246-$E246-12*(AN243-$C245-1))*12,IF(AND($D246&lt;0,AN243=ROUNDDOWN(($C245+($D245+$C246-1)/12),0)),AM246+AN244,IF(AN243=ROUNDDOWN(($C245+($D245+$C246-1)/12),0),(AN244+AM246)/$C246*($D246+(AN243-$C245-1)*12+$E246),IF(AN243&gt;ROUNDDOWN(($C245+($D245+$C246)/12),0),0,0)))))))</f>
        <v/>
      </c>
      <c r="AO245" s="114" t="str">
        <f t="shared" ref="AO245" ca="1" si="1559">IF(AO243="","",IF(AO243&lt;$C245,0,IF(AO243=$C245,AO244/$C246*$E246+AN246/$C246*$E246,IF(AND(AO243&gt;$C245,AO243&lt;ROUNDDOWN(($C245+($D245+$C246-1)/12),0)),(AO244/2+AN246)/($C246-$E246-12*(AO243-$C245-1))*12,IF(AND($D246&lt;0,AO243=ROUNDDOWN(($C245+($D245+$C246-1)/12),0)),AN246+AO244,IF(AO243=ROUNDDOWN(($C245+($D245+$C246-1)/12),0),(AO244+AN246)/$C246*($D246+(AO243-$C245-1)*12+$E246),IF(AO243&gt;ROUNDDOWN(($C245+($D245+$C246)/12),0),0,0)))))))</f>
        <v/>
      </c>
      <c r="AP245" s="114" t="str">
        <f t="shared" ref="AP245" ca="1" si="1560">IF(AP243="","",IF(AP243&lt;$C245,0,IF(AP243=$C245,AP244/$C246*$E246+AO246/$C246*$E246,IF(AND(AP243&gt;$C245,AP243&lt;ROUNDDOWN(($C245+($D245+$C246-1)/12),0)),(AP244/2+AO246)/($C246-$E246-12*(AP243-$C245-1))*12,IF(AND($D246&lt;0,AP243=ROUNDDOWN(($C245+($D245+$C246-1)/12),0)),AO246+AP244,IF(AP243=ROUNDDOWN(($C245+($D245+$C246-1)/12),0),(AP244+AO246)/$C246*($D246+(AP243-$C245-1)*12+$E246),IF(AP243&gt;ROUNDDOWN(($C245+($D245+$C246)/12),0),0,0)))))))</f>
        <v/>
      </c>
      <c r="AQ245" s="114" t="str">
        <f t="shared" ref="AQ245" ca="1" si="1561">IF(AQ243="","",IF(AQ243&lt;$C245,0,IF(AQ243=$C245,AQ244/$C246*$E246+AP246/$C246*$E246,IF(AND(AQ243&gt;$C245,AQ243&lt;ROUNDDOWN(($C245+($D245+$C246-1)/12),0)),(AQ244/2+AP246)/($C246-$E246-12*(AQ243-$C245-1))*12,IF(AND($D246&lt;0,AQ243=ROUNDDOWN(($C245+($D245+$C246-1)/12),0)),AP246+AQ244,IF(AQ243=ROUNDDOWN(($C245+($D245+$C246-1)/12),0),(AQ244+AP246)/$C246*($D246+(AQ243-$C245-1)*12+$E246),IF(AQ243&gt;ROUNDDOWN(($C245+($D245+$C246)/12),0),0,0)))))))</f>
        <v/>
      </c>
      <c r="AR245" s="114" t="str">
        <f t="shared" ref="AR245" ca="1" si="1562">IF(AR243="","",IF(AR243&lt;$C245,0,IF(AR243=$C245,AR244/$C246*$E246+AQ246/$C246*$E246,IF(AND(AR243&gt;$C245,AR243&lt;ROUNDDOWN(($C245+($D245+$C246-1)/12),0)),(AR244/2+AQ246)/($C246-$E246-12*(AR243-$C245-1))*12,IF(AND($D246&lt;0,AR243=ROUNDDOWN(($C245+($D245+$C246-1)/12),0)),AQ246+AR244,IF(AR243=ROUNDDOWN(($C245+($D245+$C246-1)/12),0),(AR244+AQ246)/$C246*($D246+(AR243-$C245-1)*12+$E246),IF(AR243&gt;ROUNDDOWN(($C245+($D245+$C246)/12),0),0,0)))))))</f>
        <v/>
      </c>
      <c r="AS245" s="114" t="str">
        <f t="shared" ref="AS245" ca="1" si="1563">IF(AS243="","",IF(AS243&lt;$C245,0,IF(AS243=$C245,AS244/$C246*$E246+AR246/$C246*$E246,IF(AND(AS243&gt;$C245,AS243&lt;ROUNDDOWN(($C245+($D245+$C246-1)/12),0)),(AS244/2+AR246)/($C246-$E246-12*(AS243-$C245-1))*12,IF(AND($D246&lt;0,AS243=ROUNDDOWN(($C245+($D245+$C246-1)/12),0)),AR246+AS244,IF(AS243=ROUNDDOWN(($C245+($D245+$C246-1)/12),0),(AS244+AR246)/$C246*($D246+(AS243-$C245-1)*12+$E246),IF(AS243&gt;ROUNDDOWN(($C245+($D245+$C246)/12),0),0,0)))))))</f>
        <v/>
      </c>
      <c r="AT245" s="114" t="str">
        <f t="shared" ref="AT245" ca="1" si="1564">IF(AT243="","",IF(AT243&lt;$C245,0,IF(AT243=$C245,AT244/$C246*$E246+AS246/$C246*$E246,IF(AND(AT243&gt;$C245,AT243&lt;ROUNDDOWN(($C245+($D245+$C246-1)/12),0)),(AT244/2+AS246)/($C246-$E246-12*(AT243-$C245-1))*12,IF(AND($D246&lt;0,AT243=ROUNDDOWN(($C245+($D245+$C246-1)/12),0)),AS246+AT244,IF(AT243=ROUNDDOWN(($C245+($D245+$C246-1)/12),0),(AT244+AS246)/$C246*($D246+(AT243-$C245-1)*12+$E246),IF(AT243&gt;ROUNDDOWN(($C245+($D245+$C246)/12),0),0,0)))))))</f>
        <v/>
      </c>
      <c r="AU245" s="114" t="str">
        <f t="shared" ref="AU245" ca="1" si="1565">IF(AU243="","",IF(AU243&lt;$C245,0,IF(AU243=$C245,AU244/$C246*$E246+AT246/$C246*$E246,IF(AND(AU243&gt;$C245,AU243&lt;ROUNDDOWN(($C245+($D245+$C246-1)/12),0)),(AU244/2+AT246)/($C246-$E246-12*(AU243-$C245-1))*12,IF(AND($D246&lt;0,AU243=ROUNDDOWN(($C245+($D245+$C246-1)/12),0)),AT246+AU244,IF(AU243=ROUNDDOWN(($C245+($D245+$C246-1)/12),0),(AU244+AT246)/$C246*($D246+(AU243-$C245-1)*12+$E246),IF(AU243&gt;ROUNDDOWN(($C245+($D245+$C246)/12),0),0,0)))))))</f>
        <v/>
      </c>
      <c r="AV245" s="114" t="str">
        <f t="shared" ref="AV245" ca="1" si="1566">IF(AV243="","",IF(AV243&lt;$C245,0,IF(AV243=$C245,AV244/$C246*$E246+AU246/$C246*$E246,IF(AND(AV243&gt;$C245,AV243&lt;ROUNDDOWN(($C245+($D245+$C246-1)/12),0)),(AV244/2+AU246)/($C246-$E246-12*(AV243-$C245-1))*12,IF(AND($D246&lt;0,AV243=ROUNDDOWN(($C245+($D245+$C246-1)/12),0)),AU246+AV244,IF(AV243=ROUNDDOWN(($C245+($D245+$C246-1)/12),0),(AV244+AU246)/$C246*($D246+(AV243-$C245-1)*12+$E246),IF(AV243&gt;ROUNDDOWN(($C245+($D245+$C246)/12),0),0,0)))))))</f>
        <v/>
      </c>
      <c r="AW245" s="114" t="str">
        <f t="shared" ref="AW245" ca="1" si="1567">IF(AW243="","",IF(AW243&lt;$C245,0,IF(AW243=$C245,AW244/$C246*$E246+AV246/$C246*$E246,IF(AND(AW243&gt;$C245,AW243&lt;ROUNDDOWN(($C245+($D245+$C246-1)/12),0)),(AW244/2+AV246)/($C246-$E246-12*(AW243-$C245-1))*12,IF(AND($D246&lt;0,AW243=ROUNDDOWN(($C245+($D245+$C246-1)/12),0)),AV246+AW244,IF(AW243=ROUNDDOWN(($C245+($D245+$C246-1)/12),0),(AW244+AV246)/$C246*($D246+(AW243-$C245-1)*12+$E246),IF(AW243&gt;ROUNDDOWN(($C245+($D245+$C246)/12),0),0,0)))))))</f>
        <v/>
      </c>
      <c r="AX245" s="90"/>
      <c r="AY245" s="90"/>
      <c r="AZ245" s="87"/>
    </row>
    <row r="246" spans="3:52" ht="12.75" hidden="1" customHeight="1" outlineLevel="1" x14ac:dyDescent="0.2">
      <c r="C246" s="128">
        <f>ROUNDUP((E245-ROUNDDOWN(E245,0))*12,0)+ROUNDDOWN(E245,0)*12</f>
        <v>0</v>
      </c>
      <c r="D246" s="128">
        <f>C246-E246-ROUNDDOWN(E245,0)*12</f>
        <v>-12</v>
      </c>
      <c r="E246" s="128">
        <f>13-MONTH(C244)</f>
        <v>12</v>
      </c>
      <c r="N246" s="85"/>
      <c r="O246" s="90"/>
      <c r="P246" s="90"/>
      <c r="Q246" s="115" t="str">
        <f>INDEX(g_lang_val,MATCH("tb_2_4_3",g_lang_key,0))</f>
        <v>FF4-gæld, ultimo året</v>
      </c>
      <c r="R246" s="116"/>
      <c r="S246" s="119"/>
      <c r="T246" s="114">
        <f t="shared" ref="T246" ca="1" si="1568">IF(T243="","",S246+T244-T245)</f>
        <v>0</v>
      </c>
      <c r="U246" s="114">
        <f t="shared" ref="U246" ca="1" si="1569">IF(U243="","",T246+U244-U245)</f>
        <v>0</v>
      </c>
      <c r="V246" s="114">
        <f t="shared" ref="V246" ca="1" si="1570">IF(V243="","",U246+V244-V245)</f>
        <v>0</v>
      </c>
      <c r="W246" s="114">
        <f t="shared" ref="W246" ca="1" si="1571">IF(W243="","",V246+W244-W245)</f>
        <v>0</v>
      </c>
      <c r="X246" s="114" t="str">
        <f t="shared" ref="X246" ca="1" si="1572">IF(X243="","",W246+X244-X245)</f>
        <v/>
      </c>
      <c r="Y246" s="114" t="str">
        <f t="shared" ref="Y246" ca="1" si="1573">IF(Y243="","",X246+Y244-Y245)</f>
        <v/>
      </c>
      <c r="Z246" s="114" t="str">
        <f t="shared" ref="Z246" ca="1" si="1574">IF(Z243="","",Y246+Z244-Z245)</f>
        <v/>
      </c>
      <c r="AA246" s="114" t="str">
        <f t="shared" ref="AA246" ca="1" si="1575">IF(AA243="","",Z246+AA244-AA245)</f>
        <v/>
      </c>
      <c r="AB246" s="114" t="str">
        <f t="shared" ref="AB246" ca="1" si="1576">IF(AB243="","",AA246+AB244-AB245)</f>
        <v/>
      </c>
      <c r="AC246" s="114" t="str">
        <f t="shared" ref="AC246" ca="1" si="1577">IF(AC243="","",AB246+AC244-AC245)</f>
        <v/>
      </c>
      <c r="AD246" s="114" t="str">
        <f t="shared" ref="AD246" ca="1" si="1578">IF(AD243="","",AC246+AD244-AD245)</f>
        <v/>
      </c>
      <c r="AE246" s="114" t="str">
        <f t="shared" ref="AE246" ca="1" si="1579">IF(AE243="","",AD246+AE244-AE245)</f>
        <v/>
      </c>
      <c r="AF246" s="114" t="str">
        <f t="shared" ref="AF246" ca="1" si="1580">IF(AF243="","",AE246+AF244-AF245)</f>
        <v/>
      </c>
      <c r="AG246" s="114" t="str">
        <f t="shared" ref="AG246" ca="1" si="1581">IF(AG243="","",AF246+AG244-AG245)</f>
        <v/>
      </c>
      <c r="AH246" s="114" t="str">
        <f t="shared" ref="AH246" ca="1" si="1582">IF(AH243="","",AG246+AH244-AH245)</f>
        <v/>
      </c>
      <c r="AI246" s="114" t="str">
        <f t="shared" ref="AI246" ca="1" si="1583">IF(AI243="","",AH246+AI244-AI245)</f>
        <v/>
      </c>
      <c r="AJ246" s="114" t="str">
        <f t="shared" ref="AJ246" ca="1" si="1584">IF(AJ243="","",AI246+AJ244-AJ245)</f>
        <v/>
      </c>
      <c r="AK246" s="114" t="str">
        <f t="shared" ref="AK246" ca="1" si="1585">IF(AK243="","",AJ246+AK244-AK245)</f>
        <v/>
      </c>
      <c r="AL246" s="114" t="str">
        <f t="shared" ref="AL246" ca="1" si="1586">IF(AL243="","",AK246+AL244-AL245)</f>
        <v/>
      </c>
      <c r="AM246" s="114" t="str">
        <f t="shared" ref="AM246" ca="1" si="1587">IF(AM243="","",AL246+AM244-AM245)</f>
        <v/>
      </c>
      <c r="AN246" s="114" t="str">
        <f t="shared" ref="AN246" ca="1" si="1588">IF(AN243="","",AM246+AN244-AN245)</f>
        <v/>
      </c>
      <c r="AO246" s="114" t="str">
        <f t="shared" ref="AO246" ca="1" si="1589">IF(AO243="","",AN246+AO244-AO245)</f>
        <v/>
      </c>
      <c r="AP246" s="114" t="str">
        <f t="shared" ref="AP246" ca="1" si="1590">IF(AP243="","",AO246+AP244-AP245)</f>
        <v/>
      </c>
      <c r="AQ246" s="114" t="str">
        <f t="shared" ref="AQ246" ca="1" si="1591">IF(AQ243="","",AP246+AQ244-AQ245)</f>
        <v/>
      </c>
      <c r="AR246" s="114" t="str">
        <f t="shared" ref="AR246" ca="1" si="1592">IF(AR243="","",AQ246+AR244-AR245)</f>
        <v/>
      </c>
      <c r="AS246" s="114" t="str">
        <f t="shared" ref="AS246" ca="1" si="1593">IF(AS243="","",AR246+AS244-AS245)</f>
        <v/>
      </c>
      <c r="AT246" s="114" t="str">
        <f t="shared" ref="AT246" ca="1" si="1594">IF(AT243="","",AS246+AT244-AT245)</f>
        <v/>
      </c>
      <c r="AU246" s="114" t="str">
        <f t="shared" ref="AU246" ca="1" si="1595">IF(AU243="","",AT246+AU244-AU245)</f>
        <v/>
      </c>
      <c r="AV246" s="114" t="str">
        <f t="shared" ref="AV246" ca="1" si="1596">IF(AV243="","",AU246+AV244-AV245)</f>
        <v/>
      </c>
      <c r="AW246" s="114" t="str">
        <f t="shared" ref="AW246" ca="1" si="1597">IF(AW243="","",AV246+AW244-AW245)</f>
        <v/>
      </c>
      <c r="AX246" s="90"/>
      <c r="AY246" s="90"/>
      <c r="AZ246" s="87"/>
    </row>
    <row r="247" spans="3:52" ht="12.75" hidden="1" customHeight="1" outlineLevel="1" x14ac:dyDescent="0.2">
      <c r="N247" s="85"/>
      <c r="O247" s="90"/>
      <c r="P247" s="90"/>
      <c r="Q247" s="115" t="str">
        <f>INDEX(g_lang_val,MATCH("tb_2_4_4",g_lang_key,0))</f>
        <v>Renter (FF4)</v>
      </c>
      <c r="R247" s="116"/>
      <c r="S247" s="119">
        <f ca="1">SUM(T247:BG247)</f>
        <v>0</v>
      </c>
      <c r="T247" s="114">
        <f t="shared" ref="T247" ca="1" si="1598">IF(T243="","",g_interest_FF4*(S246+(T244/2)-(T245/2)))</f>
        <v>0</v>
      </c>
      <c r="U247" s="114">
        <f t="shared" ref="U247" ca="1" si="1599">IF(U243="","",g_interest_FF4*(T246+(U244/2)-(U245/2)))</f>
        <v>0</v>
      </c>
      <c r="V247" s="114">
        <f t="shared" ref="V247" ca="1" si="1600">IF(V243="","",g_interest_FF4*(U246+(V244/2)-(V245/2)))</f>
        <v>0</v>
      </c>
      <c r="W247" s="114">
        <f t="shared" ref="W247" ca="1" si="1601">IF(W243="","",g_interest_FF4*(V246+(W244/2)-(W245/2)))</f>
        <v>0</v>
      </c>
      <c r="X247" s="114" t="str">
        <f t="shared" ref="X247" ca="1" si="1602">IF(X243="","",g_interest_FF4*(W246+(X244/2)-(X245/2)))</f>
        <v/>
      </c>
      <c r="Y247" s="114" t="str">
        <f t="shared" ref="Y247" ca="1" si="1603">IF(Y243="","",g_interest_FF4*(X246+(Y244/2)-(Y245/2)))</f>
        <v/>
      </c>
      <c r="Z247" s="114" t="str">
        <f t="shared" ref="Z247" ca="1" si="1604">IF(Z243="","",g_interest_FF4*(Y246+(Z244/2)-(Z245/2)))</f>
        <v/>
      </c>
      <c r="AA247" s="114" t="str">
        <f t="shared" ref="AA247" ca="1" si="1605">IF(AA243="","",g_interest_FF4*(Z246+(AA244/2)-(AA245/2)))</f>
        <v/>
      </c>
      <c r="AB247" s="114" t="str">
        <f t="shared" ref="AB247" ca="1" si="1606">IF(AB243="","",g_interest_FF4*(AA246+(AB244/2)-(AB245/2)))</f>
        <v/>
      </c>
      <c r="AC247" s="114" t="str">
        <f t="shared" ref="AC247" ca="1" si="1607">IF(AC243="","",g_interest_FF4*(AB246+(AC244/2)-(AC245/2)))</f>
        <v/>
      </c>
      <c r="AD247" s="114" t="str">
        <f t="shared" ref="AD247" ca="1" si="1608">IF(AD243="","",g_interest_FF4*(AC246+(AD244/2)-(AD245/2)))</f>
        <v/>
      </c>
      <c r="AE247" s="114" t="str">
        <f t="shared" ref="AE247" ca="1" si="1609">IF(AE243="","",g_interest_FF4*(AD246+(AE244/2)-(AE245/2)))</f>
        <v/>
      </c>
      <c r="AF247" s="114" t="str">
        <f t="shared" ref="AF247" ca="1" si="1610">IF(AF243="","",g_interest_FF4*(AE246+(AF244/2)-(AF245/2)))</f>
        <v/>
      </c>
      <c r="AG247" s="114" t="str">
        <f t="shared" ref="AG247" ca="1" si="1611">IF(AG243="","",g_interest_FF4*(AF246+(AG244/2)-(AG245/2)))</f>
        <v/>
      </c>
      <c r="AH247" s="114" t="str">
        <f t="shared" ref="AH247" ca="1" si="1612">IF(AH243="","",g_interest_FF4*(AG246+(AH244/2)-(AH245/2)))</f>
        <v/>
      </c>
      <c r="AI247" s="114" t="str">
        <f t="shared" ref="AI247" ca="1" si="1613">IF(AI243="","",g_interest_FF4*(AH246+(AI244/2)-(AI245/2)))</f>
        <v/>
      </c>
      <c r="AJ247" s="114" t="str">
        <f t="shared" ref="AJ247" ca="1" si="1614">IF(AJ243="","",g_interest_FF4*(AI246+(AJ244/2)-(AJ245/2)))</f>
        <v/>
      </c>
      <c r="AK247" s="114" t="str">
        <f t="shared" ref="AK247" ca="1" si="1615">IF(AK243="","",g_interest_FF4*(AJ246+(AK244/2)-(AK245/2)))</f>
        <v/>
      </c>
      <c r="AL247" s="114" t="str">
        <f t="shared" ref="AL247" ca="1" si="1616">IF(AL243="","",g_interest_FF4*(AK246+(AL244/2)-(AL245/2)))</f>
        <v/>
      </c>
      <c r="AM247" s="114" t="str">
        <f t="shared" ref="AM247" ca="1" si="1617">IF(AM243="","",g_interest_FF4*(AL246+(AM244/2)-(AM245/2)))</f>
        <v/>
      </c>
      <c r="AN247" s="114" t="str">
        <f t="shared" ref="AN247" ca="1" si="1618">IF(AN243="","",g_interest_FF4*(AM246+(AN244/2)-(AN245/2)))</f>
        <v/>
      </c>
      <c r="AO247" s="114" t="str">
        <f t="shared" ref="AO247" ca="1" si="1619">IF(AO243="","",g_interest_FF4*(AN246+(AO244/2)-(AO245/2)))</f>
        <v/>
      </c>
      <c r="AP247" s="114" t="str">
        <f t="shared" ref="AP247" ca="1" si="1620">IF(AP243="","",g_interest_FF4*(AO246+(AP244/2)-(AP245/2)))</f>
        <v/>
      </c>
      <c r="AQ247" s="114" t="str">
        <f t="shared" ref="AQ247" ca="1" si="1621">IF(AQ243="","",g_interest_FF4*(AP246+(AQ244/2)-(AQ245/2)))</f>
        <v/>
      </c>
      <c r="AR247" s="114" t="str">
        <f t="shared" ref="AR247" ca="1" si="1622">IF(AR243="","",g_interest_FF4*(AQ246+(AR244/2)-(AR245/2)))</f>
        <v/>
      </c>
      <c r="AS247" s="114" t="str">
        <f t="shared" ref="AS247" ca="1" si="1623">IF(AS243="","",g_interest_FF4*(AR246+(AS244/2)-(AS245/2)))</f>
        <v/>
      </c>
      <c r="AT247" s="114" t="str">
        <f t="shared" ref="AT247" ca="1" si="1624">IF(AT243="","",g_interest_FF4*(AS246+(AT244/2)-(AT245/2)))</f>
        <v/>
      </c>
      <c r="AU247" s="114" t="str">
        <f t="shared" ref="AU247" ca="1" si="1625">IF(AU243="","",g_interest_FF4*(AT246+(AU244/2)-(AU245/2)))</f>
        <v/>
      </c>
      <c r="AV247" s="114" t="str">
        <f t="shared" ref="AV247" ca="1" si="1626">IF(AV243="","",g_interest_FF4*(AU246+(AV244/2)-(AV245/2)))</f>
        <v/>
      </c>
      <c r="AW247" s="114" t="str">
        <f t="shared" ref="AW247" ca="1" si="1627">IF(AW243="","",g_interest_FF4*(AV246+(AW244/2)-(AW245/2)))</f>
        <v/>
      </c>
      <c r="AX247" s="90"/>
      <c r="AY247" s="90"/>
      <c r="AZ247" s="87"/>
    </row>
    <row r="248" spans="3:52" ht="12.75" hidden="1" customHeight="1" outlineLevel="1" x14ac:dyDescent="0.2">
      <c r="N248" s="85"/>
      <c r="O248" s="90"/>
      <c r="P248" s="90"/>
      <c r="Q248" s="118" t="str">
        <f>INDEX(g_assets_sc_1,21)</f>
        <v/>
      </c>
      <c r="R248" s="118"/>
      <c r="S248" s="113"/>
      <c r="T248" s="125">
        <f ca="1">T$157</f>
        <v>2026</v>
      </c>
      <c r="U248" s="125">
        <f t="shared" ref="U248:AW248" ca="1" si="1628">U$157</f>
        <v>2027</v>
      </c>
      <c r="V248" s="125">
        <f t="shared" ca="1" si="1628"/>
        <v>2028</v>
      </c>
      <c r="W248" s="125">
        <f t="shared" ca="1" si="1628"/>
        <v>2029</v>
      </c>
      <c r="X248" s="125" t="str">
        <f t="shared" ca="1" si="1628"/>
        <v/>
      </c>
      <c r="Y248" s="125" t="str">
        <f t="shared" ca="1" si="1628"/>
        <v/>
      </c>
      <c r="Z248" s="125" t="str">
        <f t="shared" ca="1" si="1628"/>
        <v/>
      </c>
      <c r="AA248" s="125" t="str">
        <f t="shared" ca="1" si="1628"/>
        <v/>
      </c>
      <c r="AB248" s="125" t="str">
        <f t="shared" ca="1" si="1628"/>
        <v/>
      </c>
      <c r="AC248" s="125" t="str">
        <f t="shared" ca="1" si="1628"/>
        <v/>
      </c>
      <c r="AD248" s="125" t="str">
        <f t="shared" ca="1" si="1628"/>
        <v/>
      </c>
      <c r="AE248" s="125" t="str">
        <f t="shared" ca="1" si="1628"/>
        <v/>
      </c>
      <c r="AF248" s="125" t="str">
        <f t="shared" ca="1" si="1628"/>
        <v/>
      </c>
      <c r="AG248" s="125" t="str">
        <f t="shared" ca="1" si="1628"/>
        <v/>
      </c>
      <c r="AH248" s="125" t="str">
        <f t="shared" ca="1" si="1628"/>
        <v/>
      </c>
      <c r="AI248" s="125" t="str">
        <f t="shared" ca="1" si="1628"/>
        <v/>
      </c>
      <c r="AJ248" s="125" t="str">
        <f t="shared" ca="1" si="1628"/>
        <v/>
      </c>
      <c r="AK248" s="125" t="str">
        <f t="shared" ca="1" si="1628"/>
        <v/>
      </c>
      <c r="AL248" s="125" t="str">
        <f t="shared" ca="1" si="1628"/>
        <v/>
      </c>
      <c r="AM248" s="125" t="str">
        <f t="shared" ca="1" si="1628"/>
        <v/>
      </c>
      <c r="AN248" s="125" t="str">
        <f t="shared" ca="1" si="1628"/>
        <v/>
      </c>
      <c r="AO248" s="125" t="str">
        <f t="shared" ca="1" si="1628"/>
        <v/>
      </c>
      <c r="AP248" s="125" t="str">
        <f t="shared" ca="1" si="1628"/>
        <v/>
      </c>
      <c r="AQ248" s="125" t="str">
        <f t="shared" ca="1" si="1628"/>
        <v/>
      </c>
      <c r="AR248" s="125" t="str">
        <f t="shared" ca="1" si="1628"/>
        <v/>
      </c>
      <c r="AS248" s="125" t="str">
        <f t="shared" ca="1" si="1628"/>
        <v/>
      </c>
      <c r="AT248" s="125" t="str">
        <f t="shared" ca="1" si="1628"/>
        <v/>
      </c>
      <c r="AU248" s="125" t="str">
        <f t="shared" ca="1" si="1628"/>
        <v/>
      </c>
      <c r="AV248" s="125" t="str">
        <f t="shared" ca="1" si="1628"/>
        <v/>
      </c>
      <c r="AW248" s="125" t="str">
        <f t="shared" ca="1" si="1628"/>
        <v/>
      </c>
      <c r="AX248" s="90"/>
      <c r="AY248" s="90"/>
      <c r="AZ248" s="87"/>
    </row>
    <row r="249" spans="3:52" ht="12.75" hidden="1" customHeight="1" outlineLevel="1" x14ac:dyDescent="0.2">
      <c r="C249" s="126">
        <f>INDEX(g_sc_1_assets_dates,G249)</f>
        <v>0</v>
      </c>
      <c r="G249" s="127">
        <v>19</v>
      </c>
      <c r="N249" s="85"/>
      <c r="O249" s="90"/>
      <c r="P249" s="90"/>
      <c r="Q249" s="115" t="str">
        <f>INDEX(g_lang_val,MATCH("tb_2_4_1",g_lang_key,0))</f>
        <v>Køb af anlægsaktiver</v>
      </c>
      <c r="R249" s="116"/>
      <c r="S249" s="119">
        <f ca="1">SUM(T249:BG249)</f>
        <v>0</v>
      </c>
      <c r="T249" s="114">
        <f ca="1">IF(T248="","",SUMPRODUCT(--(Leverancer!$C$28:$C$88=($G249+2)),Leverancer!D$28:D$88)/1000)</f>
        <v>0</v>
      </c>
      <c r="U249" s="114">
        <f ca="1">IF(U248="","",SUMPRODUCT(--(Leverancer!$C$28:$C$88=($G249+2)),Leverancer!E$28:E$88)/1000)</f>
        <v>0</v>
      </c>
      <c r="V249" s="114">
        <f ca="1">IF(V248="","",SUMPRODUCT(--(Leverancer!$C$28:$C$88=($G249+2)),Leverancer!F$28:F$88)/1000)</f>
        <v>0</v>
      </c>
      <c r="W249" s="114">
        <f ca="1">IF(W248="","",SUMPRODUCT(--(Leverancer!$C$28:$C$88=($G249+2)),Leverancer!G$28:G$88)/1000)</f>
        <v>0</v>
      </c>
      <c r="X249" s="114" t="str">
        <f ca="1">IF(X248="","",SUMPRODUCT(--(Leverancer!$C$28:$C$88=($G249+2)),Leverancer!H$28:H$88)/1000)</f>
        <v/>
      </c>
      <c r="Y249" s="114" t="str">
        <f ca="1">IF(Y248="","",SUMPRODUCT(--(Leverancer!$C$28:$C$88=($G249+2)),Leverancer!I$28:I$88)/1000)</f>
        <v/>
      </c>
      <c r="Z249" s="114" t="str">
        <f ca="1">IF(Z248="","",SUMPRODUCT(--(Leverancer!$C$28:$C$88=($G249+2)),Leverancer!J$28:J$88)/1000)</f>
        <v/>
      </c>
      <c r="AA249" s="114" t="str">
        <f ca="1">IF(AA248="","",SUMPRODUCT(--(Leverancer!$C$28:$C$88=($G249+2)),Leverancer!K$28:K$88)/1000)</f>
        <v/>
      </c>
      <c r="AB249" s="114" t="str">
        <f ca="1">IF(AB248="","",SUMPRODUCT(--(Leverancer!$C$28:$C$88=($G249+2)),Leverancer!L$28:L$88)/1000)</f>
        <v/>
      </c>
      <c r="AC249" s="114" t="str">
        <f ca="1">IF(AC248="","",SUMPRODUCT(--(Leverancer!$C$28:$C$88=($G249+2)),Leverancer!M$28:M$88)/1000)</f>
        <v/>
      </c>
      <c r="AD249" s="114" t="str">
        <f ca="1">IF(AD248="","",SUMPRODUCT(--(Leverancer!$C$28:$C$88=($G249+2)),Leverancer!N$28:N$88)/1000)</f>
        <v/>
      </c>
      <c r="AE249" s="114" t="str">
        <f ca="1">IF(AE248="","",SUMPRODUCT(--(Leverancer!$C$28:$C$88=($G249+2)),Leverancer!O$28:O$88)/1000)</f>
        <v/>
      </c>
      <c r="AF249" s="114" t="str">
        <f ca="1">IF(AF248="","",SUMPRODUCT(--(Leverancer!$C$28:$C$88=($G249+2)),Leverancer!P$28:P$88)/1000)</f>
        <v/>
      </c>
      <c r="AG249" s="114" t="str">
        <f ca="1">IF(AG248="","",SUMPRODUCT(--(Leverancer!$C$28:$C$88=($G249+2)),Leverancer!Q$28:Q$88)/1000)</f>
        <v/>
      </c>
      <c r="AH249" s="114" t="str">
        <f ca="1">IF(AH248="","",SUMPRODUCT(--(Leverancer!$C$28:$C$88=($G249+2)),Leverancer!R$28:R$88)/1000)</f>
        <v/>
      </c>
      <c r="AI249" s="114" t="str">
        <f ca="1">IF(AI248="","",SUMPRODUCT(--(Leverancer!$C$28:$C$88=($G249+2)),Leverancer!S$28:S$88)/1000)</f>
        <v/>
      </c>
      <c r="AJ249" s="114" t="str">
        <f ca="1">IF(AJ248="","",SUMPRODUCT(--(Leverancer!$C$28:$C$88=($G249+2)),Leverancer!T$28:T$88)/1000)</f>
        <v/>
      </c>
      <c r="AK249" s="114" t="str">
        <f ca="1">IF(AK248="","",SUMPRODUCT(--(Leverancer!$C$28:$C$88=($G249+2)),Leverancer!U$28:U$88)/1000)</f>
        <v/>
      </c>
      <c r="AL249" s="114" t="str">
        <f ca="1">IF(AL248="","",SUMPRODUCT(--(Leverancer!$C$28:$C$88=($G249+2)),Leverancer!V$28:V$88)/1000)</f>
        <v/>
      </c>
      <c r="AM249" s="114" t="str">
        <f ca="1">IF(AM248="","",SUMPRODUCT(--(Leverancer!$C$28:$C$88=($G249+2)),Leverancer!W$28:W$88)/1000)</f>
        <v/>
      </c>
      <c r="AN249" s="114" t="str">
        <f ca="1">IF(AN248="","",SUMPRODUCT(--(Leverancer!$C$28:$C$88=($G249+2)),Leverancer!X$28:X$88)/1000)</f>
        <v/>
      </c>
      <c r="AO249" s="114" t="str">
        <f ca="1">IF(AO248="","",SUMPRODUCT(--(Leverancer!$C$28:$C$88=($G249+2)),Leverancer!Y$28:Y$88)/1000)</f>
        <v/>
      </c>
      <c r="AP249" s="114" t="str">
        <f ca="1">IF(AP248="","",SUMPRODUCT(--(Leverancer!$C$28:$C$88=($G249+2)),Leverancer!Z$28:Z$88)/1000)</f>
        <v/>
      </c>
      <c r="AQ249" s="114" t="str">
        <f ca="1">IF(AQ248="","",SUMPRODUCT(--(Leverancer!$C$28:$C$88=($G249+2)),Leverancer!AA$28:AA$88)/1000)</f>
        <v/>
      </c>
      <c r="AR249" s="114" t="str">
        <f ca="1">IF(AR248="","",SUMPRODUCT(--(Leverancer!$C$28:$C$88=($G249+2)),Leverancer!AB$28:AB$88)/1000)</f>
        <v/>
      </c>
      <c r="AS249" s="114" t="str">
        <f ca="1">IF(AS248="","",SUMPRODUCT(--(Leverancer!$C$28:$C$88=($G249+2)),Leverancer!AC$28:AC$88)/1000)</f>
        <v/>
      </c>
      <c r="AT249" s="114" t="str">
        <f ca="1">IF(AT248="","",SUMPRODUCT(--(Leverancer!$C$28:$C$88=($G249+2)),Leverancer!AD$28:AD$88)/1000)</f>
        <v/>
      </c>
      <c r="AU249" s="114" t="str">
        <f ca="1">IF(AU248="","",SUMPRODUCT(--(Leverancer!$C$28:$C$88=($G249+2)),Leverancer!AE$28:AE$88)/1000)</f>
        <v/>
      </c>
      <c r="AV249" s="114" t="str">
        <f ca="1">IF(AV248="","",SUMPRODUCT(--(Leverancer!$C$28:$C$88=($G249+2)),Leverancer!AF$28:AF$88)/1000)</f>
        <v/>
      </c>
      <c r="AW249" s="114" t="str">
        <f ca="1">IF(AW248="","",SUMPRODUCT(--(Leverancer!$C$28:$C$88=($G249+2)),Leverancer!AG$28:AG$88)/1000)</f>
        <v/>
      </c>
      <c r="AX249" s="90"/>
      <c r="AY249" s="90"/>
      <c r="AZ249" s="87"/>
    </row>
    <row r="250" spans="3:52" ht="12.75" hidden="1" customHeight="1" outlineLevel="1" x14ac:dyDescent="0.2">
      <c r="C250" s="128">
        <f>IFERROR(YEAR(C249),"")</f>
        <v>1900</v>
      </c>
      <c r="D250" s="128">
        <f>IFERROR(MONTH(C249),"")</f>
        <v>1</v>
      </c>
      <c r="E250" s="128">
        <f>INDEX(g_sc_1_assets_years,G249)</f>
        <v>0</v>
      </c>
      <c r="N250" s="85"/>
      <c r="O250" s="90"/>
      <c r="P250" s="90"/>
      <c r="Q250" s="115" t="str">
        <f>INDEX(g_lang_val,MATCH("tb_2_4_2",g_lang_key,0))</f>
        <v>Afskrivninger</v>
      </c>
      <c r="R250" s="116"/>
      <c r="S250" s="119">
        <f ca="1">SUM(T250:BG250)</f>
        <v>0</v>
      </c>
      <c r="T250" s="114">
        <f t="shared" ref="T250" ca="1" si="1629">IF(T248="","",IF(T248&lt;$C250,0,IF(T248=$C250,T249/$C251*$E251+S251/$C251*$E251,IF(AND(T248&gt;$C250,T248&lt;ROUNDDOWN(($C250+($D250+$C251-1)/12),0)),(T249/2+S251)/($C251-$E251-12*(T248-$C250-1))*12,IF(AND($D251&lt;0,T248=ROUNDDOWN(($C250+($D250+$C251-1)/12),0)),S251+T249,IF(T248=ROUNDDOWN(($C250+($D250+$C251-1)/12),0),(T249+S251)/$C251*($D251+(T248-$C250-1)*12+$E251),IF(T248&gt;ROUNDDOWN(($C250+($D250+$C251)/12),0),0,0)))))))</f>
        <v>0</v>
      </c>
      <c r="U250" s="114">
        <f t="shared" ref="U250" ca="1" si="1630">IF(U248="","",IF(U248&lt;$C250,0,IF(U248=$C250,U249/$C251*$E251+T251/$C251*$E251,IF(AND(U248&gt;$C250,U248&lt;ROUNDDOWN(($C250+($D250+$C251-1)/12),0)),(U249/2+T251)/($C251-$E251-12*(U248-$C250-1))*12,IF(AND($D251&lt;0,U248=ROUNDDOWN(($C250+($D250+$C251-1)/12),0)),T251+U249,IF(U248=ROUNDDOWN(($C250+($D250+$C251-1)/12),0),(U249+T251)/$C251*($D251+(U248-$C250-1)*12+$E251),IF(U248&gt;ROUNDDOWN(($C250+($D250+$C251)/12),0),0,0)))))))</f>
        <v>0</v>
      </c>
      <c r="V250" s="114">
        <f t="shared" ref="V250" ca="1" si="1631">IF(V248="","",IF(V248&lt;$C250,0,IF(V248=$C250,V249/$C251*$E251+U251/$C251*$E251,IF(AND(V248&gt;$C250,V248&lt;ROUNDDOWN(($C250+($D250+$C251-1)/12),0)),(V249/2+U251)/($C251-$E251-12*(V248-$C250-1))*12,IF(AND($D251&lt;0,V248=ROUNDDOWN(($C250+($D250+$C251-1)/12),0)),U251+V249,IF(V248=ROUNDDOWN(($C250+($D250+$C251-1)/12),0),(V249+U251)/$C251*($D251+(V248-$C250-1)*12+$E251),IF(V248&gt;ROUNDDOWN(($C250+($D250+$C251)/12),0),0,0)))))))</f>
        <v>0</v>
      </c>
      <c r="W250" s="114">
        <f t="shared" ref="W250" ca="1" si="1632">IF(W248="","",IF(W248&lt;$C250,0,IF(W248=$C250,W249/$C251*$E251+V251/$C251*$E251,IF(AND(W248&gt;$C250,W248&lt;ROUNDDOWN(($C250+($D250+$C251-1)/12),0)),(W249/2+V251)/($C251-$E251-12*(W248-$C250-1))*12,IF(AND($D251&lt;0,W248=ROUNDDOWN(($C250+($D250+$C251-1)/12),0)),V251+W249,IF(W248=ROUNDDOWN(($C250+($D250+$C251-1)/12),0),(W249+V251)/$C251*($D251+(W248-$C250-1)*12+$E251),IF(W248&gt;ROUNDDOWN(($C250+($D250+$C251)/12),0),0,0)))))))</f>
        <v>0</v>
      </c>
      <c r="X250" s="114" t="str">
        <f t="shared" ref="X250" ca="1" si="1633">IF(X248="","",IF(X248&lt;$C250,0,IF(X248=$C250,X249/$C251*$E251+W251/$C251*$E251,IF(AND(X248&gt;$C250,X248&lt;ROUNDDOWN(($C250+($D250+$C251-1)/12),0)),(X249/2+W251)/($C251-$E251-12*(X248-$C250-1))*12,IF(AND($D251&lt;0,X248=ROUNDDOWN(($C250+($D250+$C251-1)/12),0)),W251+X249,IF(X248=ROUNDDOWN(($C250+($D250+$C251-1)/12),0),(X249+W251)/$C251*($D251+(X248-$C250-1)*12+$E251),IF(X248&gt;ROUNDDOWN(($C250+($D250+$C251)/12),0),0,0)))))))</f>
        <v/>
      </c>
      <c r="Y250" s="114" t="str">
        <f t="shared" ref="Y250" ca="1" si="1634">IF(Y248="","",IF(Y248&lt;$C250,0,IF(Y248=$C250,Y249/$C251*$E251+X251/$C251*$E251,IF(AND(Y248&gt;$C250,Y248&lt;ROUNDDOWN(($C250+($D250+$C251-1)/12),0)),(Y249/2+X251)/($C251-$E251-12*(Y248-$C250-1))*12,IF(AND($D251&lt;0,Y248=ROUNDDOWN(($C250+($D250+$C251-1)/12),0)),X251+Y249,IF(Y248=ROUNDDOWN(($C250+($D250+$C251-1)/12),0),(Y249+X251)/$C251*($D251+(Y248-$C250-1)*12+$E251),IF(Y248&gt;ROUNDDOWN(($C250+($D250+$C251)/12),0),0,0)))))))</f>
        <v/>
      </c>
      <c r="Z250" s="114" t="str">
        <f ca="1">IF(Z248="","",IF(Z248&lt;$C250,0,IF(Z248=$C250,Z249/$C251*$E251+Y251/$C251*$E251,IF(AND(Z248&gt;$C250,Z248&lt;ROUNDDOWN(($C250+($D250+$C251-1)/12),0)),(Z249/2+Y251)/($C251-$E251-12*(Z248-$C250-1))*12,IF(AND($D251&lt;0,Z248=ROUNDDOWN(($C250+($D250+$C251-1)/12),0)),Y251+Z249,IF(Z248=ROUNDDOWN(($C250+($D250+$C251-1)/12),0),(Z249+Y251)/$C251*($D251+(Z248-$C250-1)*12+$E251),IF(Z248&gt;ROUNDDOWN(($C250+($D250+$C251)/12),0),0,0)))))))</f>
        <v/>
      </c>
      <c r="AA250" s="114" t="str">
        <f t="shared" ref="AA250" ca="1" si="1635">IF(AA248="","",IF(AA248&lt;$C250,0,IF(AA248=$C250,AA249/$C251*$E251+Z251/$C251*$E251,IF(AND(AA248&gt;$C250,AA248&lt;ROUNDDOWN(($C250+($D250+$C251-1)/12),0)),(AA249/2+Z251)/($C251-$E251-12*(AA248-$C250-1))*12,IF(AND($D251&lt;0,AA248=ROUNDDOWN(($C250+($D250+$C251-1)/12),0)),Z251+AA249,IF(AA248=ROUNDDOWN(($C250+($D250+$C251-1)/12),0),(AA249+Z251)/$C251*($D251+(AA248-$C250-1)*12+$E251),IF(AA248&gt;ROUNDDOWN(($C250+($D250+$C251)/12),0),0,0)))))))</f>
        <v/>
      </c>
      <c r="AB250" s="114" t="str">
        <f t="shared" ref="AB250" ca="1" si="1636">IF(AB248="","",IF(AB248&lt;$C250,0,IF(AB248=$C250,AB249/$C251*$E251+AA251/$C251*$E251,IF(AND(AB248&gt;$C250,AB248&lt;ROUNDDOWN(($C250+($D250+$C251-1)/12),0)),(AB249/2+AA251)/($C251-$E251-12*(AB248-$C250-1))*12,IF(AND($D251&lt;0,AB248=ROUNDDOWN(($C250+($D250+$C251-1)/12),0)),AA251+AB249,IF(AB248=ROUNDDOWN(($C250+($D250+$C251-1)/12),0),(AB249+AA251)/$C251*($D251+(AB248-$C250-1)*12+$E251),IF(AB248&gt;ROUNDDOWN(($C250+($D250+$C251)/12),0),0,0)))))))</f>
        <v/>
      </c>
      <c r="AC250" s="114" t="str">
        <f t="shared" ref="AC250" ca="1" si="1637">IF(AC248="","",IF(AC248&lt;$C250,0,IF(AC248=$C250,AC249/$C251*$E251+AB251/$C251*$E251,IF(AND(AC248&gt;$C250,AC248&lt;ROUNDDOWN(($C250+($D250+$C251-1)/12),0)),(AC249/2+AB251)/($C251-$E251-12*(AC248-$C250-1))*12,IF(AND($D251&lt;0,AC248=ROUNDDOWN(($C250+($D250+$C251-1)/12),0)),AB251+AC249,IF(AC248=ROUNDDOWN(($C250+($D250+$C251-1)/12),0),(AC249+AB251)/$C251*($D251+(AC248-$C250-1)*12+$E251),IF(AC248&gt;ROUNDDOWN(($C250+($D250+$C251)/12),0),0,0)))))))</f>
        <v/>
      </c>
      <c r="AD250" s="114" t="str">
        <f t="shared" ref="AD250" ca="1" si="1638">IF(AD248="","",IF(AD248&lt;$C250,0,IF(AD248=$C250,AD249/$C251*$E251+AC251/$C251*$E251,IF(AND(AD248&gt;$C250,AD248&lt;ROUNDDOWN(($C250+($D250+$C251-1)/12),0)),(AD249/2+AC251)/($C251-$E251-12*(AD248-$C250-1))*12,IF(AND($D251&lt;0,AD248=ROUNDDOWN(($C250+($D250+$C251-1)/12),0)),AC251+AD249,IF(AD248=ROUNDDOWN(($C250+($D250+$C251-1)/12),0),(AD249+AC251)/$C251*($D251+(AD248-$C250-1)*12+$E251),IF(AD248&gt;ROUNDDOWN(($C250+($D250+$C251)/12),0),0,0)))))))</f>
        <v/>
      </c>
      <c r="AE250" s="114" t="str">
        <f t="shared" ref="AE250" ca="1" si="1639">IF(AE248="","",IF(AE248&lt;$C250,0,IF(AE248=$C250,AE249/$C251*$E251+AD251/$C251*$E251,IF(AND(AE248&gt;$C250,AE248&lt;ROUNDDOWN(($C250+($D250+$C251-1)/12),0)),(AE249/2+AD251)/($C251-$E251-12*(AE248-$C250-1))*12,IF(AND($D251&lt;0,AE248=ROUNDDOWN(($C250+($D250+$C251-1)/12),0)),AD251+AE249,IF(AE248=ROUNDDOWN(($C250+($D250+$C251-1)/12),0),(AE249+AD251)/$C251*($D251+(AE248-$C250-1)*12+$E251),IF(AE248&gt;ROUNDDOWN(($C250+($D250+$C251)/12),0),0,0)))))))</f>
        <v/>
      </c>
      <c r="AF250" s="114" t="str">
        <f t="shared" ref="AF250" ca="1" si="1640">IF(AF248="","",IF(AF248&lt;$C250,0,IF(AF248=$C250,AF249/$C251*$E251+AE251/$C251*$E251,IF(AND(AF248&gt;$C250,AF248&lt;ROUNDDOWN(($C250+($D250+$C251-1)/12),0)),(AF249/2+AE251)/($C251-$E251-12*(AF248-$C250-1))*12,IF(AND($D251&lt;0,AF248=ROUNDDOWN(($C250+($D250+$C251-1)/12),0)),AE251+AF249,IF(AF248=ROUNDDOWN(($C250+($D250+$C251-1)/12),0),(AF249+AE251)/$C251*($D251+(AF248-$C250-1)*12+$E251),IF(AF248&gt;ROUNDDOWN(($C250+($D250+$C251)/12),0),0,0)))))))</f>
        <v/>
      </c>
      <c r="AG250" s="114" t="str">
        <f t="shared" ref="AG250" ca="1" si="1641">IF(AG248="","",IF(AG248&lt;$C250,0,IF(AG248=$C250,AG249/$C251*$E251+AF251/$C251*$E251,IF(AND(AG248&gt;$C250,AG248&lt;ROUNDDOWN(($C250+($D250+$C251-1)/12),0)),(AG249/2+AF251)/($C251-$E251-12*(AG248-$C250-1))*12,IF(AND($D251&lt;0,AG248=ROUNDDOWN(($C250+($D250+$C251-1)/12),0)),AF251+AG249,IF(AG248=ROUNDDOWN(($C250+($D250+$C251-1)/12),0),(AG249+AF251)/$C251*($D251+(AG248-$C250-1)*12+$E251),IF(AG248&gt;ROUNDDOWN(($C250+($D250+$C251)/12),0),0,0)))))))</f>
        <v/>
      </c>
      <c r="AH250" s="114" t="str">
        <f t="shared" ref="AH250" ca="1" si="1642">IF(AH248="","",IF(AH248&lt;$C250,0,IF(AH248=$C250,AH249/$C251*$E251+AG251/$C251*$E251,IF(AND(AH248&gt;$C250,AH248&lt;ROUNDDOWN(($C250+($D250+$C251-1)/12),0)),(AH249/2+AG251)/($C251-$E251-12*(AH248-$C250-1))*12,IF(AND($D251&lt;0,AH248=ROUNDDOWN(($C250+($D250+$C251-1)/12),0)),AG251+AH249,IF(AH248=ROUNDDOWN(($C250+($D250+$C251-1)/12),0),(AH249+AG251)/$C251*($D251+(AH248-$C250-1)*12+$E251),IF(AH248&gt;ROUNDDOWN(($C250+($D250+$C251)/12),0),0,0)))))))</f>
        <v/>
      </c>
      <c r="AI250" s="114" t="str">
        <f t="shared" ref="AI250" ca="1" si="1643">IF(AI248="","",IF(AI248&lt;$C250,0,IF(AI248=$C250,AI249/$C251*$E251+AH251/$C251*$E251,IF(AND(AI248&gt;$C250,AI248&lt;ROUNDDOWN(($C250+($D250+$C251-1)/12),0)),(AI249/2+AH251)/($C251-$E251-12*(AI248-$C250-1))*12,IF(AND($D251&lt;0,AI248=ROUNDDOWN(($C250+($D250+$C251-1)/12),0)),AH251+AI249,IF(AI248=ROUNDDOWN(($C250+($D250+$C251-1)/12),0),(AI249+AH251)/$C251*($D251+(AI248-$C250-1)*12+$E251),IF(AI248&gt;ROUNDDOWN(($C250+($D250+$C251)/12),0),0,0)))))))</f>
        <v/>
      </c>
      <c r="AJ250" s="114" t="str">
        <f t="shared" ref="AJ250" ca="1" si="1644">IF(AJ248="","",IF(AJ248&lt;$C250,0,IF(AJ248=$C250,AJ249/$C251*$E251+AI251/$C251*$E251,IF(AND(AJ248&gt;$C250,AJ248&lt;ROUNDDOWN(($C250+($D250+$C251-1)/12),0)),(AJ249/2+AI251)/($C251-$E251-12*(AJ248-$C250-1))*12,IF(AND($D251&lt;0,AJ248=ROUNDDOWN(($C250+($D250+$C251-1)/12),0)),AI251+AJ249,IF(AJ248=ROUNDDOWN(($C250+($D250+$C251-1)/12),0),(AJ249+AI251)/$C251*($D251+(AJ248-$C250-1)*12+$E251),IF(AJ248&gt;ROUNDDOWN(($C250+($D250+$C251)/12),0),0,0)))))))</f>
        <v/>
      </c>
      <c r="AK250" s="114" t="str">
        <f t="shared" ref="AK250" ca="1" si="1645">IF(AK248="","",IF(AK248&lt;$C250,0,IF(AK248=$C250,AK249/$C251*$E251+AJ251/$C251*$E251,IF(AND(AK248&gt;$C250,AK248&lt;ROUNDDOWN(($C250+($D250+$C251-1)/12),0)),(AK249/2+AJ251)/($C251-$E251-12*(AK248-$C250-1))*12,IF(AND($D251&lt;0,AK248=ROUNDDOWN(($C250+($D250+$C251-1)/12),0)),AJ251+AK249,IF(AK248=ROUNDDOWN(($C250+($D250+$C251-1)/12),0),(AK249+AJ251)/$C251*($D251+(AK248-$C250-1)*12+$E251),IF(AK248&gt;ROUNDDOWN(($C250+($D250+$C251)/12),0),0,0)))))))</f>
        <v/>
      </c>
      <c r="AL250" s="114" t="str">
        <f t="shared" ref="AL250" ca="1" si="1646">IF(AL248="","",IF(AL248&lt;$C250,0,IF(AL248=$C250,AL249/$C251*$E251+AK251/$C251*$E251,IF(AND(AL248&gt;$C250,AL248&lt;ROUNDDOWN(($C250+($D250+$C251-1)/12),0)),(AL249/2+AK251)/($C251-$E251-12*(AL248-$C250-1))*12,IF(AND($D251&lt;0,AL248=ROUNDDOWN(($C250+($D250+$C251-1)/12),0)),AK251+AL249,IF(AL248=ROUNDDOWN(($C250+($D250+$C251-1)/12),0),(AL249+AK251)/$C251*($D251+(AL248-$C250-1)*12+$E251),IF(AL248&gt;ROUNDDOWN(($C250+($D250+$C251)/12),0),0,0)))))))</f>
        <v/>
      </c>
      <c r="AM250" s="114" t="str">
        <f t="shared" ref="AM250" ca="1" si="1647">IF(AM248="","",IF(AM248&lt;$C250,0,IF(AM248=$C250,AM249/$C251*$E251+AL251/$C251*$E251,IF(AND(AM248&gt;$C250,AM248&lt;ROUNDDOWN(($C250+($D250+$C251-1)/12),0)),(AM249/2+AL251)/($C251-$E251-12*(AM248-$C250-1))*12,IF(AND($D251&lt;0,AM248=ROUNDDOWN(($C250+($D250+$C251-1)/12),0)),AL251+AM249,IF(AM248=ROUNDDOWN(($C250+($D250+$C251-1)/12),0),(AM249+AL251)/$C251*($D251+(AM248-$C250-1)*12+$E251),IF(AM248&gt;ROUNDDOWN(($C250+($D250+$C251)/12),0),0,0)))))))</f>
        <v/>
      </c>
      <c r="AN250" s="114" t="str">
        <f t="shared" ref="AN250" ca="1" si="1648">IF(AN248="","",IF(AN248&lt;$C250,0,IF(AN248=$C250,AN249/$C251*$E251+AM251/$C251*$E251,IF(AND(AN248&gt;$C250,AN248&lt;ROUNDDOWN(($C250+($D250+$C251-1)/12),0)),(AN249/2+AM251)/($C251-$E251-12*(AN248-$C250-1))*12,IF(AND($D251&lt;0,AN248=ROUNDDOWN(($C250+($D250+$C251-1)/12),0)),AM251+AN249,IF(AN248=ROUNDDOWN(($C250+($D250+$C251-1)/12),0),(AN249+AM251)/$C251*($D251+(AN248-$C250-1)*12+$E251),IF(AN248&gt;ROUNDDOWN(($C250+($D250+$C251)/12),0),0,0)))))))</f>
        <v/>
      </c>
      <c r="AO250" s="114" t="str">
        <f t="shared" ref="AO250" ca="1" si="1649">IF(AO248="","",IF(AO248&lt;$C250,0,IF(AO248=$C250,AO249/$C251*$E251+AN251/$C251*$E251,IF(AND(AO248&gt;$C250,AO248&lt;ROUNDDOWN(($C250+($D250+$C251-1)/12),0)),(AO249/2+AN251)/($C251-$E251-12*(AO248-$C250-1))*12,IF(AND($D251&lt;0,AO248=ROUNDDOWN(($C250+($D250+$C251-1)/12),0)),AN251+AO249,IF(AO248=ROUNDDOWN(($C250+($D250+$C251-1)/12),0),(AO249+AN251)/$C251*($D251+(AO248-$C250-1)*12+$E251),IF(AO248&gt;ROUNDDOWN(($C250+($D250+$C251)/12),0),0,0)))))))</f>
        <v/>
      </c>
      <c r="AP250" s="114" t="str">
        <f t="shared" ref="AP250" ca="1" si="1650">IF(AP248="","",IF(AP248&lt;$C250,0,IF(AP248=$C250,AP249/$C251*$E251+AO251/$C251*$E251,IF(AND(AP248&gt;$C250,AP248&lt;ROUNDDOWN(($C250+($D250+$C251-1)/12),0)),(AP249/2+AO251)/($C251-$E251-12*(AP248-$C250-1))*12,IF(AND($D251&lt;0,AP248=ROUNDDOWN(($C250+($D250+$C251-1)/12),0)),AO251+AP249,IF(AP248=ROUNDDOWN(($C250+($D250+$C251-1)/12),0),(AP249+AO251)/$C251*($D251+(AP248-$C250-1)*12+$E251),IF(AP248&gt;ROUNDDOWN(($C250+($D250+$C251)/12),0),0,0)))))))</f>
        <v/>
      </c>
      <c r="AQ250" s="114" t="str">
        <f t="shared" ref="AQ250" ca="1" si="1651">IF(AQ248="","",IF(AQ248&lt;$C250,0,IF(AQ248=$C250,AQ249/$C251*$E251+AP251/$C251*$E251,IF(AND(AQ248&gt;$C250,AQ248&lt;ROUNDDOWN(($C250+($D250+$C251-1)/12),0)),(AQ249/2+AP251)/($C251-$E251-12*(AQ248-$C250-1))*12,IF(AND($D251&lt;0,AQ248=ROUNDDOWN(($C250+($D250+$C251-1)/12),0)),AP251+AQ249,IF(AQ248=ROUNDDOWN(($C250+($D250+$C251-1)/12),0),(AQ249+AP251)/$C251*($D251+(AQ248-$C250-1)*12+$E251),IF(AQ248&gt;ROUNDDOWN(($C250+($D250+$C251)/12),0),0,0)))))))</f>
        <v/>
      </c>
      <c r="AR250" s="114" t="str">
        <f t="shared" ref="AR250" ca="1" si="1652">IF(AR248="","",IF(AR248&lt;$C250,0,IF(AR248=$C250,AR249/$C251*$E251+AQ251/$C251*$E251,IF(AND(AR248&gt;$C250,AR248&lt;ROUNDDOWN(($C250+($D250+$C251-1)/12),0)),(AR249/2+AQ251)/($C251-$E251-12*(AR248-$C250-1))*12,IF(AND($D251&lt;0,AR248=ROUNDDOWN(($C250+($D250+$C251-1)/12),0)),AQ251+AR249,IF(AR248=ROUNDDOWN(($C250+($D250+$C251-1)/12),0),(AR249+AQ251)/$C251*($D251+(AR248-$C250-1)*12+$E251),IF(AR248&gt;ROUNDDOWN(($C250+($D250+$C251)/12),0),0,0)))))))</f>
        <v/>
      </c>
      <c r="AS250" s="114" t="str">
        <f t="shared" ref="AS250" ca="1" si="1653">IF(AS248="","",IF(AS248&lt;$C250,0,IF(AS248=$C250,AS249/$C251*$E251+AR251/$C251*$E251,IF(AND(AS248&gt;$C250,AS248&lt;ROUNDDOWN(($C250+($D250+$C251-1)/12),0)),(AS249/2+AR251)/($C251-$E251-12*(AS248-$C250-1))*12,IF(AND($D251&lt;0,AS248=ROUNDDOWN(($C250+($D250+$C251-1)/12),0)),AR251+AS249,IF(AS248=ROUNDDOWN(($C250+($D250+$C251-1)/12),0),(AS249+AR251)/$C251*($D251+(AS248-$C250-1)*12+$E251),IF(AS248&gt;ROUNDDOWN(($C250+($D250+$C251)/12),0),0,0)))))))</f>
        <v/>
      </c>
      <c r="AT250" s="114" t="str">
        <f t="shared" ref="AT250" ca="1" si="1654">IF(AT248="","",IF(AT248&lt;$C250,0,IF(AT248=$C250,AT249/$C251*$E251+AS251/$C251*$E251,IF(AND(AT248&gt;$C250,AT248&lt;ROUNDDOWN(($C250+($D250+$C251-1)/12),0)),(AT249/2+AS251)/($C251-$E251-12*(AT248-$C250-1))*12,IF(AND($D251&lt;0,AT248=ROUNDDOWN(($C250+($D250+$C251-1)/12),0)),AS251+AT249,IF(AT248=ROUNDDOWN(($C250+($D250+$C251-1)/12),0),(AT249+AS251)/$C251*($D251+(AT248-$C250-1)*12+$E251),IF(AT248&gt;ROUNDDOWN(($C250+($D250+$C251)/12),0),0,0)))))))</f>
        <v/>
      </c>
      <c r="AU250" s="114" t="str">
        <f t="shared" ref="AU250" ca="1" si="1655">IF(AU248="","",IF(AU248&lt;$C250,0,IF(AU248=$C250,AU249/$C251*$E251+AT251/$C251*$E251,IF(AND(AU248&gt;$C250,AU248&lt;ROUNDDOWN(($C250+($D250+$C251-1)/12),0)),(AU249/2+AT251)/($C251-$E251-12*(AU248-$C250-1))*12,IF(AND($D251&lt;0,AU248=ROUNDDOWN(($C250+($D250+$C251-1)/12),0)),AT251+AU249,IF(AU248=ROUNDDOWN(($C250+($D250+$C251-1)/12),0),(AU249+AT251)/$C251*($D251+(AU248-$C250-1)*12+$E251),IF(AU248&gt;ROUNDDOWN(($C250+($D250+$C251)/12),0),0,0)))))))</f>
        <v/>
      </c>
      <c r="AV250" s="114" t="str">
        <f t="shared" ref="AV250" ca="1" si="1656">IF(AV248="","",IF(AV248&lt;$C250,0,IF(AV248=$C250,AV249/$C251*$E251+AU251/$C251*$E251,IF(AND(AV248&gt;$C250,AV248&lt;ROUNDDOWN(($C250+($D250+$C251-1)/12),0)),(AV249/2+AU251)/($C251-$E251-12*(AV248-$C250-1))*12,IF(AND($D251&lt;0,AV248=ROUNDDOWN(($C250+($D250+$C251-1)/12),0)),AU251+AV249,IF(AV248=ROUNDDOWN(($C250+($D250+$C251-1)/12),0),(AV249+AU251)/$C251*($D251+(AV248-$C250-1)*12+$E251),IF(AV248&gt;ROUNDDOWN(($C250+($D250+$C251)/12),0),0,0)))))))</f>
        <v/>
      </c>
      <c r="AW250" s="114" t="str">
        <f t="shared" ref="AW250" ca="1" si="1657">IF(AW248="","",IF(AW248&lt;$C250,0,IF(AW248=$C250,AW249/$C251*$E251+AV251/$C251*$E251,IF(AND(AW248&gt;$C250,AW248&lt;ROUNDDOWN(($C250+($D250+$C251-1)/12),0)),(AW249/2+AV251)/($C251-$E251-12*(AW248-$C250-1))*12,IF(AND($D251&lt;0,AW248=ROUNDDOWN(($C250+($D250+$C251-1)/12),0)),AV251+AW249,IF(AW248=ROUNDDOWN(($C250+($D250+$C251-1)/12),0),(AW249+AV251)/$C251*($D251+(AW248-$C250-1)*12+$E251),IF(AW248&gt;ROUNDDOWN(($C250+($D250+$C251)/12),0),0,0)))))))</f>
        <v/>
      </c>
      <c r="AX250" s="90"/>
      <c r="AY250" s="90"/>
      <c r="AZ250" s="87"/>
    </row>
    <row r="251" spans="3:52" ht="12.75" hidden="1" customHeight="1" outlineLevel="1" x14ac:dyDescent="0.2">
      <c r="C251" s="128">
        <f>ROUNDUP((E250-ROUNDDOWN(E250,0))*12,0)+ROUNDDOWN(E250,0)*12</f>
        <v>0</v>
      </c>
      <c r="D251" s="128">
        <f>C251-E251-ROUNDDOWN(E250,0)*12</f>
        <v>-12</v>
      </c>
      <c r="E251" s="128">
        <f>13-MONTH(C249)</f>
        <v>12</v>
      </c>
      <c r="N251" s="85"/>
      <c r="O251" s="90"/>
      <c r="P251" s="90"/>
      <c r="Q251" s="115" t="str">
        <f>INDEX(g_lang_val,MATCH("tb_2_4_3",g_lang_key,0))</f>
        <v>FF4-gæld, ultimo året</v>
      </c>
      <c r="R251" s="116"/>
      <c r="S251" s="119"/>
      <c r="T251" s="114">
        <f t="shared" ref="T251" ca="1" si="1658">IF(T248="","",S251+T249-T250)</f>
        <v>0</v>
      </c>
      <c r="U251" s="114">
        <f t="shared" ref="U251" ca="1" si="1659">IF(U248="","",T251+U249-U250)</f>
        <v>0</v>
      </c>
      <c r="V251" s="114">
        <f t="shared" ref="V251" ca="1" si="1660">IF(V248="","",U251+V249-V250)</f>
        <v>0</v>
      </c>
      <c r="W251" s="114">
        <f t="shared" ref="W251" ca="1" si="1661">IF(W248="","",V251+W249-W250)</f>
        <v>0</v>
      </c>
      <c r="X251" s="114" t="str">
        <f t="shared" ref="X251" ca="1" si="1662">IF(X248="","",W251+X249-X250)</f>
        <v/>
      </c>
      <c r="Y251" s="114" t="str">
        <f t="shared" ref="Y251" ca="1" si="1663">IF(Y248="","",X251+Y249-Y250)</f>
        <v/>
      </c>
      <c r="Z251" s="114" t="str">
        <f t="shared" ref="Z251" ca="1" si="1664">IF(Z248="","",Y251+Z249-Z250)</f>
        <v/>
      </c>
      <c r="AA251" s="114" t="str">
        <f t="shared" ref="AA251" ca="1" si="1665">IF(AA248="","",Z251+AA249-AA250)</f>
        <v/>
      </c>
      <c r="AB251" s="114" t="str">
        <f t="shared" ref="AB251" ca="1" si="1666">IF(AB248="","",AA251+AB249-AB250)</f>
        <v/>
      </c>
      <c r="AC251" s="114" t="str">
        <f t="shared" ref="AC251" ca="1" si="1667">IF(AC248="","",AB251+AC249-AC250)</f>
        <v/>
      </c>
      <c r="AD251" s="114" t="str">
        <f t="shared" ref="AD251" ca="1" si="1668">IF(AD248="","",AC251+AD249-AD250)</f>
        <v/>
      </c>
      <c r="AE251" s="114" t="str">
        <f t="shared" ref="AE251" ca="1" si="1669">IF(AE248="","",AD251+AE249-AE250)</f>
        <v/>
      </c>
      <c r="AF251" s="114" t="str">
        <f t="shared" ref="AF251" ca="1" si="1670">IF(AF248="","",AE251+AF249-AF250)</f>
        <v/>
      </c>
      <c r="AG251" s="114" t="str">
        <f t="shared" ref="AG251" ca="1" si="1671">IF(AG248="","",AF251+AG249-AG250)</f>
        <v/>
      </c>
      <c r="AH251" s="114" t="str">
        <f t="shared" ref="AH251" ca="1" si="1672">IF(AH248="","",AG251+AH249-AH250)</f>
        <v/>
      </c>
      <c r="AI251" s="114" t="str">
        <f t="shared" ref="AI251" ca="1" si="1673">IF(AI248="","",AH251+AI249-AI250)</f>
        <v/>
      </c>
      <c r="AJ251" s="114" t="str">
        <f t="shared" ref="AJ251" ca="1" si="1674">IF(AJ248="","",AI251+AJ249-AJ250)</f>
        <v/>
      </c>
      <c r="AK251" s="114" t="str">
        <f t="shared" ref="AK251" ca="1" si="1675">IF(AK248="","",AJ251+AK249-AK250)</f>
        <v/>
      </c>
      <c r="AL251" s="114" t="str">
        <f t="shared" ref="AL251" ca="1" si="1676">IF(AL248="","",AK251+AL249-AL250)</f>
        <v/>
      </c>
      <c r="AM251" s="114" t="str">
        <f t="shared" ref="AM251" ca="1" si="1677">IF(AM248="","",AL251+AM249-AM250)</f>
        <v/>
      </c>
      <c r="AN251" s="114" t="str">
        <f t="shared" ref="AN251" ca="1" si="1678">IF(AN248="","",AM251+AN249-AN250)</f>
        <v/>
      </c>
      <c r="AO251" s="114" t="str">
        <f t="shared" ref="AO251" ca="1" si="1679">IF(AO248="","",AN251+AO249-AO250)</f>
        <v/>
      </c>
      <c r="AP251" s="114" t="str">
        <f t="shared" ref="AP251" ca="1" si="1680">IF(AP248="","",AO251+AP249-AP250)</f>
        <v/>
      </c>
      <c r="AQ251" s="114" t="str">
        <f t="shared" ref="AQ251" ca="1" si="1681">IF(AQ248="","",AP251+AQ249-AQ250)</f>
        <v/>
      </c>
      <c r="AR251" s="114" t="str">
        <f t="shared" ref="AR251" ca="1" si="1682">IF(AR248="","",AQ251+AR249-AR250)</f>
        <v/>
      </c>
      <c r="AS251" s="114" t="str">
        <f t="shared" ref="AS251" ca="1" si="1683">IF(AS248="","",AR251+AS249-AS250)</f>
        <v/>
      </c>
      <c r="AT251" s="114" t="str">
        <f t="shared" ref="AT251" ca="1" si="1684">IF(AT248="","",AS251+AT249-AT250)</f>
        <v/>
      </c>
      <c r="AU251" s="114" t="str">
        <f t="shared" ref="AU251" ca="1" si="1685">IF(AU248="","",AT251+AU249-AU250)</f>
        <v/>
      </c>
      <c r="AV251" s="114" t="str">
        <f t="shared" ref="AV251" ca="1" si="1686">IF(AV248="","",AU251+AV249-AV250)</f>
        <v/>
      </c>
      <c r="AW251" s="114" t="str">
        <f t="shared" ref="AW251" ca="1" si="1687">IF(AW248="","",AV251+AW249-AW250)</f>
        <v/>
      </c>
      <c r="AX251" s="90"/>
      <c r="AY251" s="90"/>
      <c r="AZ251" s="87"/>
    </row>
    <row r="252" spans="3:52" ht="12.75" hidden="1" customHeight="1" outlineLevel="1" x14ac:dyDescent="0.2">
      <c r="N252" s="85"/>
      <c r="O252" s="90"/>
      <c r="P252" s="90"/>
      <c r="Q252" s="115" t="str">
        <f>INDEX(g_lang_val,MATCH("tb_2_4_4",g_lang_key,0))</f>
        <v>Renter (FF4)</v>
      </c>
      <c r="R252" s="116"/>
      <c r="S252" s="119">
        <f ca="1">SUM(T252:BG252)</f>
        <v>0</v>
      </c>
      <c r="T252" s="114">
        <f t="shared" ref="T252" ca="1" si="1688">IF(T248="","",g_interest_FF4*(S251+(T249/2)-(T250/2)))</f>
        <v>0</v>
      </c>
      <c r="U252" s="114">
        <f t="shared" ref="U252" ca="1" si="1689">IF(U248="","",g_interest_FF4*(T251+(U249/2)-(U250/2)))</f>
        <v>0</v>
      </c>
      <c r="V252" s="114">
        <f t="shared" ref="V252" ca="1" si="1690">IF(V248="","",g_interest_FF4*(U251+(V249/2)-(V250/2)))</f>
        <v>0</v>
      </c>
      <c r="W252" s="114">
        <f t="shared" ref="W252" ca="1" si="1691">IF(W248="","",g_interest_FF4*(V251+(W249/2)-(W250/2)))</f>
        <v>0</v>
      </c>
      <c r="X252" s="114" t="str">
        <f t="shared" ref="X252" ca="1" si="1692">IF(X248="","",g_interest_FF4*(W251+(X249/2)-(X250/2)))</f>
        <v/>
      </c>
      <c r="Y252" s="114" t="str">
        <f t="shared" ref="Y252" ca="1" si="1693">IF(Y248="","",g_interest_FF4*(X251+(Y249/2)-(Y250/2)))</f>
        <v/>
      </c>
      <c r="Z252" s="114" t="str">
        <f t="shared" ref="Z252" ca="1" si="1694">IF(Z248="","",g_interest_FF4*(Y251+(Z249/2)-(Z250/2)))</f>
        <v/>
      </c>
      <c r="AA252" s="114" t="str">
        <f t="shared" ref="AA252" ca="1" si="1695">IF(AA248="","",g_interest_FF4*(Z251+(AA249/2)-(AA250/2)))</f>
        <v/>
      </c>
      <c r="AB252" s="114" t="str">
        <f t="shared" ref="AB252" ca="1" si="1696">IF(AB248="","",g_interest_FF4*(AA251+(AB249/2)-(AB250/2)))</f>
        <v/>
      </c>
      <c r="AC252" s="114" t="str">
        <f t="shared" ref="AC252" ca="1" si="1697">IF(AC248="","",g_interest_FF4*(AB251+(AC249/2)-(AC250/2)))</f>
        <v/>
      </c>
      <c r="AD252" s="114" t="str">
        <f t="shared" ref="AD252" ca="1" si="1698">IF(AD248="","",g_interest_FF4*(AC251+(AD249/2)-(AD250/2)))</f>
        <v/>
      </c>
      <c r="AE252" s="114" t="str">
        <f t="shared" ref="AE252" ca="1" si="1699">IF(AE248="","",g_interest_FF4*(AD251+(AE249/2)-(AE250/2)))</f>
        <v/>
      </c>
      <c r="AF252" s="114" t="str">
        <f t="shared" ref="AF252" ca="1" si="1700">IF(AF248="","",g_interest_FF4*(AE251+(AF249/2)-(AF250/2)))</f>
        <v/>
      </c>
      <c r="AG252" s="114" t="str">
        <f t="shared" ref="AG252" ca="1" si="1701">IF(AG248="","",g_interest_FF4*(AF251+(AG249/2)-(AG250/2)))</f>
        <v/>
      </c>
      <c r="AH252" s="114" t="str">
        <f t="shared" ref="AH252" ca="1" si="1702">IF(AH248="","",g_interest_FF4*(AG251+(AH249/2)-(AH250/2)))</f>
        <v/>
      </c>
      <c r="AI252" s="114" t="str">
        <f t="shared" ref="AI252" ca="1" si="1703">IF(AI248="","",g_interest_FF4*(AH251+(AI249/2)-(AI250/2)))</f>
        <v/>
      </c>
      <c r="AJ252" s="114" t="str">
        <f t="shared" ref="AJ252" ca="1" si="1704">IF(AJ248="","",g_interest_FF4*(AI251+(AJ249/2)-(AJ250/2)))</f>
        <v/>
      </c>
      <c r="AK252" s="114" t="str">
        <f t="shared" ref="AK252" ca="1" si="1705">IF(AK248="","",g_interest_FF4*(AJ251+(AK249/2)-(AK250/2)))</f>
        <v/>
      </c>
      <c r="AL252" s="114" t="str">
        <f t="shared" ref="AL252" ca="1" si="1706">IF(AL248="","",g_interest_FF4*(AK251+(AL249/2)-(AL250/2)))</f>
        <v/>
      </c>
      <c r="AM252" s="114" t="str">
        <f t="shared" ref="AM252" ca="1" si="1707">IF(AM248="","",g_interest_FF4*(AL251+(AM249/2)-(AM250/2)))</f>
        <v/>
      </c>
      <c r="AN252" s="114" t="str">
        <f t="shared" ref="AN252" ca="1" si="1708">IF(AN248="","",g_interest_FF4*(AM251+(AN249/2)-(AN250/2)))</f>
        <v/>
      </c>
      <c r="AO252" s="114" t="str">
        <f t="shared" ref="AO252" ca="1" si="1709">IF(AO248="","",g_interest_FF4*(AN251+(AO249/2)-(AO250/2)))</f>
        <v/>
      </c>
      <c r="AP252" s="114" t="str">
        <f t="shared" ref="AP252" ca="1" si="1710">IF(AP248="","",g_interest_FF4*(AO251+(AP249/2)-(AP250/2)))</f>
        <v/>
      </c>
      <c r="AQ252" s="114" t="str">
        <f t="shared" ref="AQ252" ca="1" si="1711">IF(AQ248="","",g_interest_FF4*(AP251+(AQ249/2)-(AQ250/2)))</f>
        <v/>
      </c>
      <c r="AR252" s="114" t="str">
        <f t="shared" ref="AR252" ca="1" si="1712">IF(AR248="","",g_interest_FF4*(AQ251+(AR249/2)-(AR250/2)))</f>
        <v/>
      </c>
      <c r="AS252" s="114" t="str">
        <f t="shared" ref="AS252" ca="1" si="1713">IF(AS248="","",g_interest_FF4*(AR251+(AS249/2)-(AS250/2)))</f>
        <v/>
      </c>
      <c r="AT252" s="114" t="str">
        <f t="shared" ref="AT252" ca="1" si="1714">IF(AT248="","",g_interest_FF4*(AS251+(AT249/2)-(AT250/2)))</f>
        <v/>
      </c>
      <c r="AU252" s="114" t="str">
        <f t="shared" ref="AU252" ca="1" si="1715">IF(AU248="","",g_interest_FF4*(AT251+(AU249/2)-(AU250/2)))</f>
        <v/>
      </c>
      <c r="AV252" s="114" t="str">
        <f t="shared" ref="AV252" ca="1" si="1716">IF(AV248="","",g_interest_FF4*(AU251+(AV249/2)-(AV250/2)))</f>
        <v/>
      </c>
      <c r="AW252" s="114" t="str">
        <f t="shared" ref="AW252" ca="1" si="1717">IF(AW248="","",g_interest_FF4*(AV251+(AW249/2)-(AW250/2)))</f>
        <v/>
      </c>
      <c r="AX252" s="90"/>
      <c r="AY252" s="90"/>
      <c r="AZ252" s="87"/>
    </row>
    <row r="253" spans="3:52" ht="12.75" hidden="1" customHeight="1" outlineLevel="1" x14ac:dyDescent="0.2">
      <c r="N253" s="85"/>
      <c r="O253" s="90"/>
      <c r="P253" s="90"/>
      <c r="Q253" s="118" t="str">
        <f>INDEX(g_assets_sc_1,22)</f>
        <v/>
      </c>
      <c r="R253" s="118"/>
      <c r="S253" s="113"/>
      <c r="T253" s="125">
        <f ca="1">T$157</f>
        <v>2026</v>
      </c>
      <c r="U253" s="125">
        <f t="shared" ref="U253:AW253" ca="1" si="1718">U$157</f>
        <v>2027</v>
      </c>
      <c r="V253" s="125">
        <f t="shared" ca="1" si="1718"/>
        <v>2028</v>
      </c>
      <c r="W253" s="125">
        <f t="shared" ca="1" si="1718"/>
        <v>2029</v>
      </c>
      <c r="X253" s="125" t="str">
        <f t="shared" ca="1" si="1718"/>
        <v/>
      </c>
      <c r="Y253" s="125" t="str">
        <f t="shared" ca="1" si="1718"/>
        <v/>
      </c>
      <c r="Z253" s="125" t="str">
        <f t="shared" ca="1" si="1718"/>
        <v/>
      </c>
      <c r="AA253" s="125" t="str">
        <f t="shared" ca="1" si="1718"/>
        <v/>
      </c>
      <c r="AB253" s="125" t="str">
        <f t="shared" ca="1" si="1718"/>
        <v/>
      </c>
      <c r="AC253" s="125" t="str">
        <f t="shared" ca="1" si="1718"/>
        <v/>
      </c>
      <c r="AD253" s="125" t="str">
        <f t="shared" ca="1" si="1718"/>
        <v/>
      </c>
      <c r="AE253" s="125" t="str">
        <f t="shared" ca="1" si="1718"/>
        <v/>
      </c>
      <c r="AF253" s="125" t="str">
        <f t="shared" ca="1" si="1718"/>
        <v/>
      </c>
      <c r="AG253" s="125" t="str">
        <f t="shared" ca="1" si="1718"/>
        <v/>
      </c>
      <c r="AH253" s="125" t="str">
        <f t="shared" ca="1" si="1718"/>
        <v/>
      </c>
      <c r="AI253" s="125" t="str">
        <f t="shared" ca="1" si="1718"/>
        <v/>
      </c>
      <c r="AJ253" s="125" t="str">
        <f t="shared" ca="1" si="1718"/>
        <v/>
      </c>
      <c r="AK253" s="125" t="str">
        <f t="shared" ca="1" si="1718"/>
        <v/>
      </c>
      <c r="AL253" s="125" t="str">
        <f t="shared" ca="1" si="1718"/>
        <v/>
      </c>
      <c r="AM253" s="125" t="str">
        <f t="shared" ca="1" si="1718"/>
        <v/>
      </c>
      <c r="AN253" s="125" t="str">
        <f t="shared" ca="1" si="1718"/>
        <v/>
      </c>
      <c r="AO253" s="125" t="str">
        <f t="shared" ca="1" si="1718"/>
        <v/>
      </c>
      <c r="AP253" s="125" t="str">
        <f t="shared" ca="1" si="1718"/>
        <v/>
      </c>
      <c r="AQ253" s="125" t="str">
        <f t="shared" ca="1" si="1718"/>
        <v/>
      </c>
      <c r="AR253" s="125" t="str">
        <f t="shared" ca="1" si="1718"/>
        <v/>
      </c>
      <c r="AS253" s="125" t="str">
        <f t="shared" ca="1" si="1718"/>
        <v/>
      </c>
      <c r="AT253" s="125" t="str">
        <f t="shared" ca="1" si="1718"/>
        <v/>
      </c>
      <c r="AU253" s="125" t="str">
        <f t="shared" ca="1" si="1718"/>
        <v/>
      </c>
      <c r="AV253" s="125" t="str">
        <f t="shared" ca="1" si="1718"/>
        <v/>
      </c>
      <c r="AW253" s="125" t="str">
        <f t="shared" ca="1" si="1718"/>
        <v/>
      </c>
      <c r="AX253" s="90"/>
      <c r="AY253" s="90"/>
      <c r="AZ253" s="87"/>
    </row>
    <row r="254" spans="3:52" ht="12.75" hidden="1" customHeight="1" outlineLevel="1" x14ac:dyDescent="0.2">
      <c r="C254" s="126">
        <f>INDEX(g_sc_1_assets_dates,G254)</f>
        <v>0</v>
      </c>
      <c r="G254" s="127">
        <v>20</v>
      </c>
      <c r="N254" s="85"/>
      <c r="O254" s="90"/>
      <c r="P254" s="90"/>
      <c r="Q254" s="115" t="str">
        <f>INDEX(g_lang_val,MATCH("tb_2_4_1",g_lang_key,0))</f>
        <v>Køb af anlægsaktiver</v>
      </c>
      <c r="R254" s="116"/>
      <c r="S254" s="119">
        <f ca="1">SUM(T254:BG254)</f>
        <v>0</v>
      </c>
      <c r="T254" s="114">
        <f ca="1">IF(T253="","",SUMPRODUCT(--(Leverancer!$C$28:$C$88=($G254+2)),Leverancer!D$28:D$88)/1000)</f>
        <v>0</v>
      </c>
      <c r="U254" s="114">
        <f ca="1">IF(U253="","",SUMPRODUCT(--(Leverancer!$C$28:$C$88=($G254+2)),Leverancer!E$28:E$88)/1000)</f>
        <v>0</v>
      </c>
      <c r="V254" s="114">
        <f ca="1">IF(V253="","",SUMPRODUCT(--(Leverancer!$C$28:$C$88=($G254+2)),Leverancer!F$28:F$88)/1000)</f>
        <v>0</v>
      </c>
      <c r="W254" s="114">
        <f ca="1">IF(W253="","",SUMPRODUCT(--(Leverancer!$C$28:$C$88=($G254+2)),Leverancer!G$28:G$88)/1000)</f>
        <v>0</v>
      </c>
      <c r="X254" s="114" t="str">
        <f ca="1">IF(X253="","",SUMPRODUCT(--(Leverancer!$C$28:$C$88=($G254+2)),Leverancer!H$28:H$88)/1000)</f>
        <v/>
      </c>
      <c r="Y254" s="114" t="str">
        <f ca="1">IF(Y253="","",SUMPRODUCT(--(Leverancer!$C$28:$C$88=($G254+2)),Leverancer!I$28:I$88)/1000)</f>
        <v/>
      </c>
      <c r="Z254" s="114" t="str">
        <f ca="1">IF(Z253="","",SUMPRODUCT(--(Leverancer!$C$28:$C$88=($G254+2)),Leverancer!J$28:J$88)/1000)</f>
        <v/>
      </c>
      <c r="AA254" s="114" t="str">
        <f ca="1">IF(AA253="","",SUMPRODUCT(--(Leverancer!$C$28:$C$88=($G254+2)),Leverancer!K$28:K$88)/1000)</f>
        <v/>
      </c>
      <c r="AB254" s="114" t="str">
        <f ca="1">IF(AB253="","",SUMPRODUCT(--(Leverancer!$C$28:$C$88=($G254+2)),Leverancer!L$28:L$88)/1000)</f>
        <v/>
      </c>
      <c r="AC254" s="114" t="str">
        <f ca="1">IF(AC253="","",SUMPRODUCT(--(Leverancer!$C$28:$C$88=($G254+2)),Leverancer!M$28:M$88)/1000)</f>
        <v/>
      </c>
      <c r="AD254" s="114" t="str">
        <f ca="1">IF(AD253="","",SUMPRODUCT(--(Leverancer!$C$28:$C$88=($G254+2)),Leverancer!N$28:N$88)/1000)</f>
        <v/>
      </c>
      <c r="AE254" s="114" t="str">
        <f ca="1">IF(AE253="","",SUMPRODUCT(--(Leverancer!$C$28:$C$88=($G254+2)),Leverancer!O$28:O$88)/1000)</f>
        <v/>
      </c>
      <c r="AF254" s="114" t="str">
        <f ca="1">IF(AF253="","",SUMPRODUCT(--(Leverancer!$C$28:$C$88=($G254+2)),Leverancer!P$28:P$88)/1000)</f>
        <v/>
      </c>
      <c r="AG254" s="114" t="str">
        <f ca="1">IF(AG253="","",SUMPRODUCT(--(Leverancer!$C$28:$C$88=($G254+2)),Leverancer!Q$28:Q$88)/1000)</f>
        <v/>
      </c>
      <c r="AH254" s="114" t="str">
        <f ca="1">IF(AH253="","",SUMPRODUCT(--(Leverancer!$C$28:$C$88=($G254+2)),Leverancer!R$28:R$88)/1000)</f>
        <v/>
      </c>
      <c r="AI254" s="114" t="str">
        <f ca="1">IF(AI253="","",SUMPRODUCT(--(Leverancer!$C$28:$C$88=($G254+2)),Leverancer!S$28:S$88)/1000)</f>
        <v/>
      </c>
      <c r="AJ254" s="114" t="str">
        <f ca="1">IF(AJ253="","",SUMPRODUCT(--(Leverancer!$C$28:$C$88=($G254+2)),Leverancer!T$28:T$88)/1000)</f>
        <v/>
      </c>
      <c r="AK254" s="114" t="str">
        <f ca="1">IF(AK253="","",SUMPRODUCT(--(Leverancer!$C$28:$C$88=($G254+2)),Leverancer!U$28:U$88)/1000)</f>
        <v/>
      </c>
      <c r="AL254" s="114" t="str">
        <f ca="1">IF(AL253="","",SUMPRODUCT(--(Leverancer!$C$28:$C$88=($G254+2)),Leverancer!V$28:V$88)/1000)</f>
        <v/>
      </c>
      <c r="AM254" s="114" t="str">
        <f ca="1">IF(AM253="","",SUMPRODUCT(--(Leverancer!$C$28:$C$88=($G254+2)),Leverancer!W$28:W$88)/1000)</f>
        <v/>
      </c>
      <c r="AN254" s="114" t="str">
        <f ca="1">IF(AN253="","",SUMPRODUCT(--(Leverancer!$C$28:$C$88=($G254+2)),Leverancer!X$28:X$88)/1000)</f>
        <v/>
      </c>
      <c r="AO254" s="114" t="str">
        <f ca="1">IF(AO253="","",SUMPRODUCT(--(Leverancer!$C$28:$C$88=($G254+2)),Leverancer!Y$28:Y$88)/1000)</f>
        <v/>
      </c>
      <c r="AP254" s="114" t="str">
        <f ca="1">IF(AP253="","",SUMPRODUCT(--(Leverancer!$C$28:$C$88=($G254+2)),Leverancer!Z$28:Z$88)/1000)</f>
        <v/>
      </c>
      <c r="AQ254" s="114" t="str">
        <f ca="1">IF(AQ253="","",SUMPRODUCT(--(Leverancer!$C$28:$C$88=($G254+2)),Leverancer!AA$28:AA$88)/1000)</f>
        <v/>
      </c>
      <c r="AR254" s="114" t="str">
        <f ca="1">IF(AR253="","",SUMPRODUCT(--(Leverancer!$C$28:$C$88=($G254+2)),Leverancer!AB$28:AB$88)/1000)</f>
        <v/>
      </c>
      <c r="AS254" s="114" t="str">
        <f ca="1">IF(AS253="","",SUMPRODUCT(--(Leverancer!$C$28:$C$88=($G254+2)),Leverancer!AC$28:AC$88)/1000)</f>
        <v/>
      </c>
      <c r="AT254" s="114" t="str">
        <f ca="1">IF(AT253="","",SUMPRODUCT(--(Leverancer!$C$28:$C$88=($G254+2)),Leverancer!AD$28:AD$88)/1000)</f>
        <v/>
      </c>
      <c r="AU254" s="114" t="str">
        <f ca="1">IF(AU253="","",SUMPRODUCT(--(Leverancer!$C$28:$C$88=($G254+2)),Leverancer!AE$28:AE$88)/1000)</f>
        <v/>
      </c>
      <c r="AV254" s="114" t="str">
        <f ca="1">IF(AV253="","",SUMPRODUCT(--(Leverancer!$C$28:$C$88=($G254+2)),Leverancer!AF$28:AF$88)/1000)</f>
        <v/>
      </c>
      <c r="AW254" s="114" t="str">
        <f ca="1">IF(AW253="","",SUMPRODUCT(--(Leverancer!$C$28:$C$88=($G254+2)),Leverancer!AG$28:AG$88)/1000)</f>
        <v/>
      </c>
      <c r="AX254" s="90"/>
      <c r="AY254" s="90"/>
      <c r="AZ254" s="87"/>
    </row>
    <row r="255" spans="3:52" ht="12.75" hidden="1" customHeight="1" outlineLevel="1" x14ac:dyDescent="0.2">
      <c r="C255" s="128">
        <f>IFERROR(YEAR(C254),"")</f>
        <v>1900</v>
      </c>
      <c r="D255" s="128">
        <f>IFERROR(MONTH(C254),"")</f>
        <v>1</v>
      </c>
      <c r="E255" s="128">
        <f>INDEX(g_sc_1_assets_years,G254)</f>
        <v>0</v>
      </c>
      <c r="N255" s="85"/>
      <c r="O255" s="90"/>
      <c r="P255" s="90"/>
      <c r="Q255" s="115" t="str">
        <f>INDEX(g_lang_val,MATCH("tb_2_4_2",g_lang_key,0))</f>
        <v>Afskrivninger</v>
      </c>
      <c r="R255" s="116"/>
      <c r="S255" s="119">
        <f ca="1">SUM(T255:BG255)</f>
        <v>0</v>
      </c>
      <c r="T255" s="114">
        <f t="shared" ref="T255" ca="1" si="1719">IF(T253="","",IF(T253&lt;$C255,0,IF(T253=$C255,T254/$C256*$E256+S256/$C256*$E256,IF(AND(T253&gt;$C255,T253&lt;ROUNDDOWN(($C255+($D255+$C256-1)/12),0)),(T254/2+S256)/($C256-$E256-12*(T253-$C255-1))*12,IF(AND($D256&lt;0,T253=ROUNDDOWN(($C255+($D255+$C256-1)/12),0)),S256+T254,IF(T253=ROUNDDOWN(($C255+($D255+$C256-1)/12),0),(T254+S256)/$C256*($D256+(T253-$C255-1)*12+$E256),IF(T253&gt;ROUNDDOWN(($C255+($D255+$C256)/12),0),0,0)))))))</f>
        <v>0</v>
      </c>
      <c r="U255" s="114">
        <f t="shared" ref="U255" ca="1" si="1720">IF(U253="","",IF(U253&lt;$C255,0,IF(U253=$C255,U254/$C256*$E256+T256/$C256*$E256,IF(AND(U253&gt;$C255,U253&lt;ROUNDDOWN(($C255+($D255+$C256-1)/12),0)),(U254/2+T256)/($C256-$E256-12*(U253-$C255-1))*12,IF(AND($D256&lt;0,U253=ROUNDDOWN(($C255+($D255+$C256-1)/12),0)),T256+U254,IF(U253=ROUNDDOWN(($C255+($D255+$C256-1)/12),0),(U254+T256)/$C256*($D256+(U253-$C255-1)*12+$E256),IF(U253&gt;ROUNDDOWN(($C255+($D255+$C256)/12),0),0,0)))))))</f>
        <v>0</v>
      </c>
      <c r="V255" s="114">
        <f t="shared" ref="V255" ca="1" si="1721">IF(V253="","",IF(V253&lt;$C255,0,IF(V253=$C255,V254/$C256*$E256+U256/$C256*$E256,IF(AND(V253&gt;$C255,V253&lt;ROUNDDOWN(($C255+($D255+$C256-1)/12),0)),(V254/2+U256)/($C256-$E256-12*(V253-$C255-1))*12,IF(AND($D256&lt;0,V253=ROUNDDOWN(($C255+($D255+$C256-1)/12),0)),U256+V254,IF(V253=ROUNDDOWN(($C255+($D255+$C256-1)/12),0),(V254+U256)/$C256*($D256+(V253-$C255-1)*12+$E256),IF(V253&gt;ROUNDDOWN(($C255+($D255+$C256)/12),0),0,0)))))))</f>
        <v>0</v>
      </c>
      <c r="W255" s="114">
        <f t="shared" ref="W255" ca="1" si="1722">IF(W253="","",IF(W253&lt;$C255,0,IF(W253=$C255,W254/$C256*$E256+V256/$C256*$E256,IF(AND(W253&gt;$C255,W253&lt;ROUNDDOWN(($C255+($D255+$C256-1)/12),0)),(W254/2+V256)/($C256-$E256-12*(W253-$C255-1))*12,IF(AND($D256&lt;0,W253=ROUNDDOWN(($C255+($D255+$C256-1)/12),0)),V256+W254,IF(W253=ROUNDDOWN(($C255+($D255+$C256-1)/12),0),(W254+V256)/$C256*($D256+(W253-$C255-1)*12+$E256),IF(W253&gt;ROUNDDOWN(($C255+($D255+$C256)/12),0),0,0)))))))</f>
        <v>0</v>
      </c>
      <c r="X255" s="114" t="str">
        <f t="shared" ref="X255" ca="1" si="1723">IF(X253="","",IF(X253&lt;$C255,0,IF(X253=$C255,X254/$C256*$E256+W256/$C256*$E256,IF(AND(X253&gt;$C255,X253&lt;ROUNDDOWN(($C255+($D255+$C256-1)/12),0)),(X254/2+W256)/($C256-$E256-12*(X253-$C255-1))*12,IF(AND($D256&lt;0,X253=ROUNDDOWN(($C255+($D255+$C256-1)/12),0)),W256+X254,IF(X253=ROUNDDOWN(($C255+($D255+$C256-1)/12),0),(X254+W256)/$C256*($D256+(X253-$C255-1)*12+$E256),IF(X253&gt;ROUNDDOWN(($C255+($D255+$C256)/12),0),0,0)))))))</f>
        <v/>
      </c>
      <c r="Y255" s="114" t="str">
        <f t="shared" ref="Y255" ca="1" si="1724">IF(Y253="","",IF(Y253&lt;$C255,0,IF(Y253=$C255,Y254/$C256*$E256+X256/$C256*$E256,IF(AND(Y253&gt;$C255,Y253&lt;ROUNDDOWN(($C255+($D255+$C256-1)/12),0)),(Y254/2+X256)/($C256-$E256-12*(Y253-$C255-1))*12,IF(AND($D256&lt;0,Y253=ROUNDDOWN(($C255+($D255+$C256-1)/12),0)),X256+Y254,IF(Y253=ROUNDDOWN(($C255+($D255+$C256-1)/12),0),(Y254+X256)/$C256*($D256+(Y253-$C255-1)*12+$E256),IF(Y253&gt;ROUNDDOWN(($C255+($D255+$C256)/12),0),0,0)))))))</f>
        <v/>
      </c>
      <c r="Z255" s="114" t="str">
        <f ca="1">IF(Z253="","",IF(Z253&lt;$C255,0,IF(Z253=$C255,Z254/$C256*$E256+Y256/$C256*$E256,IF(AND(Z253&gt;$C255,Z253&lt;ROUNDDOWN(($C255+($D255+$C256-1)/12),0)),(Z254/2+Y256)/($C256-$E256-12*(Z253-$C255-1))*12,IF(AND($D256&lt;0,Z253=ROUNDDOWN(($C255+($D255+$C256-1)/12),0)),Y256+Z254,IF(Z253=ROUNDDOWN(($C255+($D255+$C256-1)/12),0),(Z254+Y256)/$C256*($D256+(Z253-$C255-1)*12+$E256),IF(Z253&gt;ROUNDDOWN(($C255+($D255+$C256)/12),0),0,0)))))))</f>
        <v/>
      </c>
      <c r="AA255" s="114" t="str">
        <f t="shared" ref="AA255" ca="1" si="1725">IF(AA253="","",IF(AA253&lt;$C255,0,IF(AA253=$C255,AA254/$C256*$E256+Z256/$C256*$E256,IF(AND(AA253&gt;$C255,AA253&lt;ROUNDDOWN(($C255+($D255+$C256-1)/12),0)),(AA254/2+Z256)/($C256-$E256-12*(AA253-$C255-1))*12,IF(AND($D256&lt;0,AA253=ROUNDDOWN(($C255+($D255+$C256-1)/12),0)),Z256+AA254,IF(AA253=ROUNDDOWN(($C255+($D255+$C256-1)/12),0),(AA254+Z256)/$C256*($D256+(AA253-$C255-1)*12+$E256),IF(AA253&gt;ROUNDDOWN(($C255+($D255+$C256)/12),0),0,0)))))))</f>
        <v/>
      </c>
      <c r="AB255" s="114" t="str">
        <f t="shared" ref="AB255" ca="1" si="1726">IF(AB253="","",IF(AB253&lt;$C255,0,IF(AB253=$C255,AB254/$C256*$E256+AA256/$C256*$E256,IF(AND(AB253&gt;$C255,AB253&lt;ROUNDDOWN(($C255+($D255+$C256-1)/12),0)),(AB254/2+AA256)/($C256-$E256-12*(AB253-$C255-1))*12,IF(AND($D256&lt;0,AB253=ROUNDDOWN(($C255+($D255+$C256-1)/12),0)),AA256+AB254,IF(AB253=ROUNDDOWN(($C255+($D255+$C256-1)/12),0),(AB254+AA256)/$C256*($D256+(AB253-$C255-1)*12+$E256),IF(AB253&gt;ROUNDDOWN(($C255+($D255+$C256)/12),0),0,0)))))))</f>
        <v/>
      </c>
      <c r="AC255" s="114" t="str">
        <f t="shared" ref="AC255" ca="1" si="1727">IF(AC253="","",IF(AC253&lt;$C255,0,IF(AC253=$C255,AC254/$C256*$E256+AB256/$C256*$E256,IF(AND(AC253&gt;$C255,AC253&lt;ROUNDDOWN(($C255+($D255+$C256-1)/12),0)),(AC254/2+AB256)/($C256-$E256-12*(AC253-$C255-1))*12,IF(AND($D256&lt;0,AC253=ROUNDDOWN(($C255+($D255+$C256-1)/12),0)),AB256+AC254,IF(AC253=ROUNDDOWN(($C255+($D255+$C256-1)/12),0),(AC254+AB256)/$C256*($D256+(AC253-$C255-1)*12+$E256),IF(AC253&gt;ROUNDDOWN(($C255+($D255+$C256)/12),0),0,0)))))))</f>
        <v/>
      </c>
      <c r="AD255" s="114" t="str">
        <f t="shared" ref="AD255" ca="1" si="1728">IF(AD253="","",IF(AD253&lt;$C255,0,IF(AD253=$C255,AD254/$C256*$E256+AC256/$C256*$E256,IF(AND(AD253&gt;$C255,AD253&lt;ROUNDDOWN(($C255+($D255+$C256-1)/12),0)),(AD254/2+AC256)/($C256-$E256-12*(AD253-$C255-1))*12,IF(AND($D256&lt;0,AD253=ROUNDDOWN(($C255+($D255+$C256-1)/12),0)),AC256+AD254,IF(AD253=ROUNDDOWN(($C255+($D255+$C256-1)/12),0),(AD254+AC256)/$C256*($D256+(AD253-$C255-1)*12+$E256),IF(AD253&gt;ROUNDDOWN(($C255+($D255+$C256)/12),0),0,0)))))))</f>
        <v/>
      </c>
      <c r="AE255" s="114" t="str">
        <f t="shared" ref="AE255" ca="1" si="1729">IF(AE253="","",IF(AE253&lt;$C255,0,IF(AE253=$C255,AE254/$C256*$E256+AD256/$C256*$E256,IF(AND(AE253&gt;$C255,AE253&lt;ROUNDDOWN(($C255+($D255+$C256-1)/12),0)),(AE254/2+AD256)/($C256-$E256-12*(AE253-$C255-1))*12,IF(AND($D256&lt;0,AE253=ROUNDDOWN(($C255+($D255+$C256-1)/12),0)),AD256+AE254,IF(AE253=ROUNDDOWN(($C255+($D255+$C256-1)/12),0),(AE254+AD256)/$C256*($D256+(AE253-$C255-1)*12+$E256),IF(AE253&gt;ROUNDDOWN(($C255+($D255+$C256)/12),0),0,0)))))))</f>
        <v/>
      </c>
      <c r="AF255" s="114" t="str">
        <f t="shared" ref="AF255" ca="1" si="1730">IF(AF253="","",IF(AF253&lt;$C255,0,IF(AF253=$C255,AF254/$C256*$E256+AE256/$C256*$E256,IF(AND(AF253&gt;$C255,AF253&lt;ROUNDDOWN(($C255+($D255+$C256-1)/12),0)),(AF254/2+AE256)/($C256-$E256-12*(AF253-$C255-1))*12,IF(AND($D256&lt;0,AF253=ROUNDDOWN(($C255+($D255+$C256-1)/12),0)),AE256+AF254,IF(AF253=ROUNDDOWN(($C255+($D255+$C256-1)/12),0),(AF254+AE256)/$C256*($D256+(AF253-$C255-1)*12+$E256),IF(AF253&gt;ROUNDDOWN(($C255+($D255+$C256)/12),0),0,0)))))))</f>
        <v/>
      </c>
      <c r="AG255" s="114" t="str">
        <f t="shared" ref="AG255" ca="1" si="1731">IF(AG253="","",IF(AG253&lt;$C255,0,IF(AG253=$C255,AG254/$C256*$E256+AF256/$C256*$E256,IF(AND(AG253&gt;$C255,AG253&lt;ROUNDDOWN(($C255+($D255+$C256-1)/12),0)),(AG254/2+AF256)/($C256-$E256-12*(AG253-$C255-1))*12,IF(AND($D256&lt;0,AG253=ROUNDDOWN(($C255+($D255+$C256-1)/12),0)),AF256+AG254,IF(AG253=ROUNDDOWN(($C255+($D255+$C256-1)/12),0),(AG254+AF256)/$C256*($D256+(AG253-$C255-1)*12+$E256),IF(AG253&gt;ROUNDDOWN(($C255+($D255+$C256)/12),0),0,0)))))))</f>
        <v/>
      </c>
      <c r="AH255" s="114" t="str">
        <f t="shared" ref="AH255" ca="1" si="1732">IF(AH253="","",IF(AH253&lt;$C255,0,IF(AH253=$C255,AH254/$C256*$E256+AG256/$C256*$E256,IF(AND(AH253&gt;$C255,AH253&lt;ROUNDDOWN(($C255+($D255+$C256-1)/12),0)),(AH254/2+AG256)/($C256-$E256-12*(AH253-$C255-1))*12,IF(AND($D256&lt;0,AH253=ROUNDDOWN(($C255+($D255+$C256-1)/12),0)),AG256+AH254,IF(AH253=ROUNDDOWN(($C255+($D255+$C256-1)/12),0),(AH254+AG256)/$C256*($D256+(AH253-$C255-1)*12+$E256),IF(AH253&gt;ROUNDDOWN(($C255+($D255+$C256)/12),0),0,0)))))))</f>
        <v/>
      </c>
      <c r="AI255" s="114" t="str">
        <f t="shared" ref="AI255" ca="1" si="1733">IF(AI253="","",IF(AI253&lt;$C255,0,IF(AI253=$C255,AI254/$C256*$E256+AH256/$C256*$E256,IF(AND(AI253&gt;$C255,AI253&lt;ROUNDDOWN(($C255+($D255+$C256-1)/12),0)),(AI254/2+AH256)/($C256-$E256-12*(AI253-$C255-1))*12,IF(AND($D256&lt;0,AI253=ROUNDDOWN(($C255+($D255+$C256-1)/12),0)),AH256+AI254,IF(AI253=ROUNDDOWN(($C255+($D255+$C256-1)/12),0),(AI254+AH256)/$C256*($D256+(AI253-$C255-1)*12+$E256),IF(AI253&gt;ROUNDDOWN(($C255+($D255+$C256)/12),0),0,0)))))))</f>
        <v/>
      </c>
      <c r="AJ255" s="114" t="str">
        <f t="shared" ref="AJ255" ca="1" si="1734">IF(AJ253="","",IF(AJ253&lt;$C255,0,IF(AJ253=$C255,AJ254/$C256*$E256+AI256/$C256*$E256,IF(AND(AJ253&gt;$C255,AJ253&lt;ROUNDDOWN(($C255+($D255+$C256-1)/12),0)),(AJ254/2+AI256)/($C256-$E256-12*(AJ253-$C255-1))*12,IF(AND($D256&lt;0,AJ253=ROUNDDOWN(($C255+($D255+$C256-1)/12),0)),AI256+AJ254,IF(AJ253=ROUNDDOWN(($C255+($D255+$C256-1)/12),0),(AJ254+AI256)/$C256*($D256+(AJ253-$C255-1)*12+$E256),IF(AJ253&gt;ROUNDDOWN(($C255+($D255+$C256)/12),0),0,0)))))))</f>
        <v/>
      </c>
      <c r="AK255" s="114" t="str">
        <f t="shared" ref="AK255" ca="1" si="1735">IF(AK253="","",IF(AK253&lt;$C255,0,IF(AK253=$C255,AK254/$C256*$E256+AJ256/$C256*$E256,IF(AND(AK253&gt;$C255,AK253&lt;ROUNDDOWN(($C255+($D255+$C256-1)/12),0)),(AK254/2+AJ256)/($C256-$E256-12*(AK253-$C255-1))*12,IF(AND($D256&lt;0,AK253=ROUNDDOWN(($C255+($D255+$C256-1)/12),0)),AJ256+AK254,IF(AK253=ROUNDDOWN(($C255+($D255+$C256-1)/12),0),(AK254+AJ256)/$C256*($D256+(AK253-$C255-1)*12+$E256),IF(AK253&gt;ROUNDDOWN(($C255+($D255+$C256)/12),0),0,0)))))))</f>
        <v/>
      </c>
      <c r="AL255" s="114" t="str">
        <f t="shared" ref="AL255" ca="1" si="1736">IF(AL253="","",IF(AL253&lt;$C255,0,IF(AL253=$C255,AL254/$C256*$E256+AK256/$C256*$E256,IF(AND(AL253&gt;$C255,AL253&lt;ROUNDDOWN(($C255+($D255+$C256-1)/12),0)),(AL254/2+AK256)/($C256-$E256-12*(AL253-$C255-1))*12,IF(AND($D256&lt;0,AL253=ROUNDDOWN(($C255+($D255+$C256-1)/12),0)),AK256+AL254,IF(AL253=ROUNDDOWN(($C255+($D255+$C256-1)/12),0),(AL254+AK256)/$C256*($D256+(AL253-$C255-1)*12+$E256),IF(AL253&gt;ROUNDDOWN(($C255+($D255+$C256)/12),0),0,0)))))))</f>
        <v/>
      </c>
      <c r="AM255" s="114" t="str">
        <f t="shared" ref="AM255" ca="1" si="1737">IF(AM253="","",IF(AM253&lt;$C255,0,IF(AM253=$C255,AM254/$C256*$E256+AL256/$C256*$E256,IF(AND(AM253&gt;$C255,AM253&lt;ROUNDDOWN(($C255+($D255+$C256-1)/12),0)),(AM254/2+AL256)/($C256-$E256-12*(AM253-$C255-1))*12,IF(AND($D256&lt;0,AM253=ROUNDDOWN(($C255+($D255+$C256-1)/12),0)),AL256+AM254,IF(AM253=ROUNDDOWN(($C255+($D255+$C256-1)/12),0),(AM254+AL256)/$C256*($D256+(AM253-$C255-1)*12+$E256),IF(AM253&gt;ROUNDDOWN(($C255+($D255+$C256)/12),0),0,0)))))))</f>
        <v/>
      </c>
      <c r="AN255" s="114" t="str">
        <f t="shared" ref="AN255" ca="1" si="1738">IF(AN253="","",IF(AN253&lt;$C255,0,IF(AN253=$C255,AN254/$C256*$E256+AM256/$C256*$E256,IF(AND(AN253&gt;$C255,AN253&lt;ROUNDDOWN(($C255+($D255+$C256-1)/12),0)),(AN254/2+AM256)/($C256-$E256-12*(AN253-$C255-1))*12,IF(AND($D256&lt;0,AN253=ROUNDDOWN(($C255+($D255+$C256-1)/12),0)),AM256+AN254,IF(AN253=ROUNDDOWN(($C255+($D255+$C256-1)/12),0),(AN254+AM256)/$C256*($D256+(AN253-$C255-1)*12+$E256),IF(AN253&gt;ROUNDDOWN(($C255+($D255+$C256)/12),0),0,0)))))))</f>
        <v/>
      </c>
      <c r="AO255" s="114" t="str">
        <f t="shared" ref="AO255" ca="1" si="1739">IF(AO253="","",IF(AO253&lt;$C255,0,IF(AO253=$C255,AO254/$C256*$E256+AN256/$C256*$E256,IF(AND(AO253&gt;$C255,AO253&lt;ROUNDDOWN(($C255+($D255+$C256-1)/12),0)),(AO254/2+AN256)/($C256-$E256-12*(AO253-$C255-1))*12,IF(AND($D256&lt;0,AO253=ROUNDDOWN(($C255+($D255+$C256-1)/12),0)),AN256+AO254,IF(AO253=ROUNDDOWN(($C255+($D255+$C256-1)/12),0),(AO254+AN256)/$C256*($D256+(AO253-$C255-1)*12+$E256),IF(AO253&gt;ROUNDDOWN(($C255+($D255+$C256)/12),0),0,0)))))))</f>
        <v/>
      </c>
      <c r="AP255" s="114" t="str">
        <f t="shared" ref="AP255" ca="1" si="1740">IF(AP253="","",IF(AP253&lt;$C255,0,IF(AP253=$C255,AP254/$C256*$E256+AO256/$C256*$E256,IF(AND(AP253&gt;$C255,AP253&lt;ROUNDDOWN(($C255+($D255+$C256-1)/12),0)),(AP254/2+AO256)/($C256-$E256-12*(AP253-$C255-1))*12,IF(AND($D256&lt;0,AP253=ROUNDDOWN(($C255+($D255+$C256-1)/12),0)),AO256+AP254,IF(AP253=ROUNDDOWN(($C255+($D255+$C256-1)/12),0),(AP254+AO256)/$C256*($D256+(AP253-$C255-1)*12+$E256),IF(AP253&gt;ROUNDDOWN(($C255+($D255+$C256)/12),0),0,0)))))))</f>
        <v/>
      </c>
      <c r="AQ255" s="114" t="str">
        <f t="shared" ref="AQ255" ca="1" si="1741">IF(AQ253="","",IF(AQ253&lt;$C255,0,IF(AQ253=$C255,AQ254/$C256*$E256+AP256/$C256*$E256,IF(AND(AQ253&gt;$C255,AQ253&lt;ROUNDDOWN(($C255+($D255+$C256-1)/12),0)),(AQ254/2+AP256)/($C256-$E256-12*(AQ253-$C255-1))*12,IF(AND($D256&lt;0,AQ253=ROUNDDOWN(($C255+($D255+$C256-1)/12),0)),AP256+AQ254,IF(AQ253=ROUNDDOWN(($C255+($D255+$C256-1)/12),0),(AQ254+AP256)/$C256*($D256+(AQ253-$C255-1)*12+$E256),IF(AQ253&gt;ROUNDDOWN(($C255+($D255+$C256)/12),0),0,0)))))))</f>
        <v/>
      </c>
      <c r="AR255" s="114" t="str">
        <f t="shared" ref="AR255" ca="1" si="1742">IF(AR253="","",IF(AR253&lt;$C255,0,IF(AR253=$C255,AR254/$C256*$E256+AQ256/$C256*$E256,IF(AND(AR253&gt;$C255,AR253&lt;ROUNDDOWN(($C255+($D255+$C256-1)/12),0)),(AR254/2+AQ256)/($C256-$E256-12*(AR253-$C255-1))*12,IF(AND($D256&lt;0,AR253=ROUNDDOWN(($C255+($D255+$C256-1)/12),0)),AQ256+AR254,IF(AR253=ROUNDDOWN(($C255+($D255+$C256-1)/12),0),(AR254+AQ256)/$C256*($D256+(AR253-$C255-1)*12+$E256),IF(AR253&gt;ROUNDDOWN(($C255+($D255+$C256)/12),0),0,0)))))))</f>
        <v/>
      </c>
      <c r="AS255" s="114" t="str">
        <f t="shared" ref="AS255" ca="1" si="1743">IF(AS253="","",IF(AS253&lt;$C255,0,IF(AS253=$C255,AS254/$C256*$E256+AR256/$C256*$E256,IF(AND(AS253&gt;$C255,AS253&lt;ROUNDDOWN(($C255+($D255+$C256-1)/12),0)),(AS254/2+AR256)/($C256-$E256-12*(AS253-$C255-1))*12,IF(AND($D256&lt;0,AS253=ROUNDDOWN(($C255+($D255+$C256-1)/12),0)),AR256+AS254,IF(AS253=ROUNDDOWN(($C255+($D255+$C256-1)/12),0),(AS254+AR256)/$C256*($D256+(AS253-$C255-1)*12+$E256),IF(AS253&gt;ROUNDDOWN(($C255+($D255+$C256)/12),0),0,0)))))))</f>
        <v/>
      </c>
      <c r="AT255" s="114" t="str">
        <f t="shared" ref="AT255" ca="1" si="1744">IF(AT253="","",IF(AT253&lt;$C255,0,IF(AT253=$C255,AT254/$C256*$E256+AS256/$C256*$E256,IF(AND(AT253&gt;$C255,AT253&lt;ROUNDDOWN(($C255+($D255+$C256-1)/12),0)),(AT254/2+AS256)/($C256-$E256-12*(AT253-$C255-1))*12,IF(AND($D256&lt;0,AT253=ROUNDDOWN(($C255+($D255+$C256-1)/12),0)),AS256+AT254,IF(AT253=ROUNDDOWN(($C255+($D255+$C256-1)/12),0),(AT254+AS256)/$C256*($D256+(AT253-$C255-1)*12+$E256),IF(AT253&gt;ROUNDDOWN(($C255+($D255+$C256)/12),0),0,0)))))))</f>
        <v/>
      </c>
      <c r="AU255" s="114" t="str">
        <f t="shared" ref="AU255" ca="1" si="1745">IF(AU253="","",IF(AU253&lt;$C255,0,IF(AU253=$C255,AU254/$C256*$E256+AT256/$C256*$E256,IF(AND(AU253&gt;$C255,AU253&lt;ROUNDDOWN(($C255+($D255+$C256-1)/12),0)),(AU254/2+AT256)/($C256-$E256-12*(AU253-$C255-1))*12,IF(AND($D256&lt;0,AU253=ROUNDDOWN(($C255+($D255+$C256-1)/12),0)),AT256+AU254,IF(AU253=ROUNDDOWN(($C255+($D255+$C256-1)/12),0),(AU254+AT256)/$C256*($D256+(AU253-$C255-1)*12+$E256),IF(AU253&gt;ROUNDDOWN(($C255+($D255+$C256)/12),0),0,0)))))))</f>
        <v/>
      </c>
      <c r="AV255" s="114" t="str">
        <f t="shared" ref="AV255" ca="1" si="1746">IF(AV253="","",IF(AV253&lt;$C255,0,IF(AV253=$C255,AV254/$C256*$E256+AU256/$C256*$E256,IF(AND(AV253&gt;$C255,AV253&lt;ROUNDDOWN(($C255+($D255+$C256-1)/12),0)),(AV254/2+AU256)/($C256-$E256-12*(AV253-$C255-1))*12,IF(AND($D256&lt;0,AV253=ROUNDDOWN(($C255+($D255+$C256-1)/12),0)),AU256+AV254,IF(AV253=ROUNDDOWN(($C255+($D255+$C256-1)/12),0),(AV254+AU256)/$C256*($D256+(AV253-$C255-1)*12+$E256),IF(AV253&gt;ROUNDDOWN(($C255+($D255+$C256)/12),0),0,0)))))))</f>
        <v/>
      </c>
      <c r="AW255" s="114" t="str">
        <f t="shared" ref="AW255" ca="1" si="1747">IF(AW253="","",IF(AW253&lt;$C255,0,IF(AW253=$C255,AW254/$C256*$E256+AV256/$C256*$E256,IF(AND(AW253&gt;$C255,AW253&lt;ROUNDDOWN(($C255+($D255+$C256-1)/12),0)),(AW254/2+AV256)/($C256-$E256-12*(AW253-$C255-1))*12,IF(AND($D256&lt;0,AW253=ROUNDDOWN(($C255+($D255+$C256-1)/12),0)),AV256+AW254,IF(AW253=ROUNDDOWN(($C255+($D255+$C256-1)/12),0),(AW254+AV256)/$C256*($D256+(AW253-$C255-1)*12+$E256),IF(AW253&gt;ROUNDDOWN(($C255+($D255+$C256)/12),0),0,0)))))))</f>
        <v/>
      </c>
      <c r="AX255" s="90"/>
      <c r="AY255" s="90"/>
      <c r="AZ255" s="87"/>
    </row>
    <row r="256" spans="3:52" ht="12.75" hidden="1" customHeight="1" outlineLevel="1" x14ac:dyDescent="0.2">
      <c r="C256" s="128">
        <f>ROUNDUP((E255-ROUNDDOWN(E255,0))*12,0)+ROUNDDOWN(E255,0)*12</f>
        <v>0</v>
      </c>
      <c r="D256" s="128">
        <f>C256-E256-ROUNDDOWN(E255,0)*12</f>
        <v>-12</v>
      </c>
      <c r="E256" s="128">
        <f>13-MONTH(C254)</f>
        <v>12</v>
      </c>
      <c r="N256" s="85"/>
      <c r="O256" s="90"/>
      <c r="P256" s="90"/>
      <c r="Q256" s="115" t="str">
        <f>INDEX(g_lang_val,MATCH("tb_2_4_3",g_lang_key,0))</f>
        <v>FF4-gæld, ultimo året</v>
      </c>
      <c r="R256" s="116"/>
      <c r="S256" s="119"/>
      <c r="T256" s="114">
        <f t="shared" ref="T256" ca="1" si="1748">IF(T253="","",S256+T254-T255)</f>
        <v>0</v>
      </c>
      <c r="U256" s="114">
        <f t="shared" ref="U256" ca="1" si="1749">IF(U253="","",T256+U254-U255)</f>
        <v>0</v>
      </c>
      <c r="V256" s="114">
        <f t="shared" ref="V256" ca="1" si="1750">IF(V253="","",U256+V254-V255)</f>
        <v>0</v>
      </c>
      <c r="W256" s="114">
        <f t="shared" ref="W256" ca="1" si="1751">IF(W253="","",V256+W254-W255)</f>
        <v>0</v>
      </c>
      <c r="X256" s="114" t="str">
        <f t="shared" ref="X256" ca="1" si="1752">IF(X253="","",W256+X254-X255)</f>
        <v/>
      </c>
      <c r="Y256" s="114" t="str">
        <f t="shared" ref="Y256" ca="1" si="1753">IF(Y253="","",X256+Y254-Y255)</f>
        <v/>
      </c>
      <c r="Z256" s="114" t="str">
        <f t="shared" ref="Z256" ca="1" si="1754">IF(Z253="","",Y256+Z254-Z255)</f>
        <v/>
      </c>
      <c r="AA256" s="114" t="str">
        <f t="shared" ref="AA256" ca="1" si="1755">IF(AA253="","",Z256+AA254-AA255)</f>
        <v/>
      </c>
      <c r="AB256" s="114" t="str">
        <f t="shared" ref="AB256" ca="1" si="1756">IF(AB253="","",AA256+AB254-AB255)</f>
        <v/>
      </c>
      <c r="AC256" s="114" t="str">
        <f t="shared" ref="AC256" ca="1" si="1757">IF(AC253="","",AB256+AC254-AC255)</f>
        <v/>
      </c>
      <c r="AD256" s="114" t="str">
        <f t="shared" ref="AD256" ca="1" si="1758">IF(AD253="","",AC256+AD254-AD255)</f>
        <v/>
      </c>
      <c r="AE256" s="114" t="str">
        <f t="shared" ref="AE256" ca="1" si="1759">IF(AE253="","",AD256+AE254-AE255)</f>
        <v/>
      </c>
      <c r="AF256" s="114" t="str">
        <f t="shared" ref="AF256" ca="1" si="1760">IF(AF253="","",AE256+AF254-AF255)</f>
        <v/>
      </c>
      <c r="AG256" s="114" t="str">
        <f t="shared" ref="AG256" ca="1" si="1761">IF(AG253="","",AF256+AG254-AG255)</f>
        <v/>
      </c>
      <c r="AH256" s="114" t="str">
        <f t="shared" ref="AH256" ca="1" si="1762">IF(AH253="","",AG256+AH254-AH255)</f>
        <v/>
      </c>
      <c r="AI256" s="114" t="str">
        <f t="shared" ref="AI256" ca="1" si="1763">IF(AI253="","",AH256+AI254-AI255)</f>
        <v/>
      </c>
      <c r="AJ256" s="114" t="str">
        <f t="shared" ref="AJ256" ca="1" si="1764">IF(AJ253="","",AI256+AJ254-AJ255)</f>
        <v/>
      </c>
      <c r="AK256" s="114" t="str">
        <f t="shared" ref="AK256" ca="1" si="1765">IF(AK253="","",AJ256+AK254-AK255)</f>
        <v/>
      </c>
      <c r="AL256" s="114" t="str">
        <f t="shared" ref="AL256" ca="1" si="1766">IF(AL253="","",AK256+AL254-AL255)</f>
        <v/>
      </c>
      <c r="AM256" s="114" t="str">
        <f t="shared" ref="AM256" ca="1" si="1767">IF(AM253="","",AL256+AM254-AM255)</f>
        <v/>
      </c>
      <c r="AN256" s="114" t="str">
        <f t="shared" ref="AN256" ca="1" si="1768">IF(AN253="","",AM256+AN254-AN255)</f>
        <v/>
      </c>
      <c r="AO256" s="114" t="str">
        <f t="shared" ref="AO256" ca="1" si="1769">IF(AO253="","",AN256+AO254-AO255)</f>
        <v/>
      </c>
      <c r="AP256" s="114" t="str">
        <f t="shared" ref="AP256" ca="1" si="1770">IF(AP253="","",AO256+AP254-AP255)</f>
        <v/>
      </c>
      <c r="AQ256" s="114" t="str">
        <f t="shared" ref="AQ256" ca="1" si="1771">IF(AQ253="","",AP256+AQ254-AQ255)</f>
        <v/>
      </c>
      <c r="AR256" s="114" t="str">
        <f t="shared" ref="AR256" ca="1" si="1772">IF(AR253="","",AQ256+AR254-AR255)</f>
        <v/>
      </c>
      <c r="AS256" s="114" t="str">
        <f t="shared" ref="AS256" ca="1" si="1773">IF(AS253="","",AR256+AS254-AS255)</f>
        <v/>
      </c>
      <c r="AT256" s="114" t="str">
        <f t="shared" ref="AT256" ca="1" si="1774">IF(AT253="","",AS256+AT254-AT255)</f>
        <v/>
      </c>
      <c r="AU256" s="114" t="str">
        <f t="shared" ref="AU256" ca="1" si="1775">IF(AU253="","",AT256+AU254-AU255)</f>
        <v/>
      </c>
      <c r="AV256" s="114" t="str">
        <f t="shared" ref="AV256" ca="1" si="1776">IF(AV253="","",AU256+AV254-AV255)</f>
        <v/>
      </c>
      <c r="AW256" s="114" t="str">
        <f t="shared" ref="AW256" ca="1" si="1777">IF(AW253="","",AV256+AW254-AW255)</f>
        <v/>
      </c>
      <c r="AX256" s="90"/>
      <c r="AY256" s="90"/>
      <c r="AZ256" s="87"/>
    </row>
    <row r="257" spans="14:52" ht="12.75" hidden="1" customHeight="1" outlineLevel="1" x14ac:dyDescent="0.2">
      <c r="N257" s="85"/>
      <c r="O257" s="90"/>
      <c r="P257" s="90"/>
      <c r="Q257" s="185" t="str">
        <f>INDEX(g_lang_val,MATCH("tb_2_4_4",g_lang_key,0))</f>
        <v>Renter (FF4)</v>
      </c>
      <c r="R257" s="186"/>
      <c r="S257" s="187">
        <f ca="1">SUM(T257:BG257)</f>
        <v>0</v>
      </c>
      <c r="T257" s="188">
        <f t="shared" ref="T257" ca="1" si="1778">IF(T253="","",g_interest_FF4*(S256+(T254/2)-(T255/2)))</f>
        <v>0</v>
      </c>
      <c r="U257" s="188">
        <f t="shared" ref="U257" ca="1" si="1779">IF(U253="","",g_interest_FF4*(T256+(U254/2)-(U255/2)))</f>
        <v>0</v>
      </c>
      <c r="V257" s="188">
        <f t="shared" ref="V257" ca="1" si="1780">IF(V253="","",g_interest_FF4*(U256+(V254/2)-(V255/2)))</f>
        <v>0</v>
      </c>
      <c r="W257" s="188">
        <f t="shared" ref="W257" ca="1" si="1781">IF(W253="","",g_interest_FF4*(V256+(W254/2)-(W255/2)))</f>
        <v>0</v>
      </c>
      <c r="X257" s="188" t="str">
        <f t="shared" ref="X257" ca="1" si="1782">IF(X253="","",g_interest_FF4*(W256+(X254/2)-(X255/2)))</f>
        <v/>
      </c>
      <c r="Y257" s="188" t="str">
        <f t="shared" ref="Y257" ca="1" si="1783">IF(Y253="","",g_interest_FF4*(X256+(Y254/2)-(Y255/2)))</f>
        <v/>
      </c>
      <c r="Z257" s="188" t="str">
        <f t="shared" ref="Z257" ca="1" si="1784">IF(Z253="","",g_interest_FF4*(Y256+(Z254/2)-(Z255/2)))</f>
        <v/>
      </c>
      <c r="AA257" s="188" t="str">
        <f t="shared" ref="AA257" ca="1" si="1785">IF(AA253="","",g_interest_FF4*(Z256+(AA254/2)-(AA255/2)))</f>
        <v/>
      </c>
      <c r="AB257" s="188" t="str">
        <f t="shared" ref="AB257" ca="1" si="1786">IF(AB253="","",g_interest_FF4*(AA256+(AB254/2)-(AB255/2)))</f>
        <v/>
      </c>
      <c r="AC257" s="188" t="str">
        <f t="shared" ref="AC257" ca="1" si="1787">IF(AC253="","",g_interest_FF4*(AB256+(AC254/2)-(AC255/2)))</f>
        <v/>
      </c>
      <c r="AD257" s="188" t="str">
        <f t="shared" ref="AD257" ca="1" si="1788">IF(AD253="","",g_interest_FF4*(AC256+(AD254/2)-(AD255/2)))</f>
        <v/>
      </c>
      <c r="AE257" s="188" t="str">
        <f t="shared" ref="AE257" ca="1" si="1789">IF(AE253="","",g_interest_FF4*(AD256+(AE254/2)-(AE255/2)))</f>
        <v/>
      </c>
      <c r="AF257" s="188" t="str">
        <f t="shared" ref="AF257" ca="1" si="1790">IF(AF253="","",g_interest_FF4*(AE256+(AF254/2)-(AF255/2)))</f>
        <v/>
      </c>
      <c r="AG257" s="190" t="str">
        <f t="shared" ref="AG257" ca="1" si="1791">IF(AG253="","",g_interest_FF4*(AF256+(AG254/2)-(AG255/2)))</f>
        <v/>
      </c>
      <c r="AH257" s="190" t="str">
        <f t="shared" ref="AH257" ca="1" si="1792">IF(AH253="","",g_interest_FF4*(AG256+(AH254/2)-(AH255/2)))</f>
        <v/>
      </c>
      <c r="AI257" s="190" t="str">
        <f t="shared" ref="AI257" ca="1" si="1793">IF(AI253="","",g_interest_FF4*(AH256+(AI254/2)-(AI255/2)))</f>
        <v/>
      </c>
      <c r="AJ257" s="190" t="str">
        <f t="shared" ref="AJ257" ca="1" si="1794">IF(AJ253="","",g_interest_FF4*(AI256+(AJ254/2)-(AJ255/2)))</f>
        <v/>
      </c>
      <c r="AK257" s="190" t="str">
        <f t="shared" ref="AK257" ca="1" si="1795">IF(AK253="","",g_interest_FF4*(AJ256+(AK254/2)-(AK255/2)))</f>
        <v/>
      </c>
      <c r="AL257" s="190" t="str">
        <f t="shared" ref="AL257" ca="1" si="1796">IF(AL253="","",g_interest_FF4*(AK256+(AL254/2)-(AL255/2)))</f>
        <v/>
      </c>
      <c r="AM257" s="190" t="str">
        <f t="shared" ref="AM257" ca="1" si="1797">IF(AM253="","",g_interest_FF4*(AL256+(AM254/2)-(AM255/2)))</f>
        <v/>
      </c>
      <c r="AN257" s="190" t="str">
        <f t="shared" ref="AN257" ca="1" si="1798">IF(AN253="","",g_interest_FF4*(AM256+(AN254/2)-(AN255/2)))</f>
        <v/>
      </c>
      <c r="AO257" s="190" t="str">
        <f t="shared" ref="AO257" ca="1" si="1799">IF(AO253="","",g_interest_FF4*(AN256+(AO254/2)-(AO255/2)))</f>
        <v/>
      </c>
      <c r="AP257" s="190" t="str">
        <f t="shared" ref="AP257" ca="1" si="1800">IF(AP253="","",g_interest_FF4*(AO256+(AP254/2)-(AP255/2)))</f>
        <v/>
      </c>
      <c r="AQ257" s="190" t="str">
        <f t="shared" ref="AQ257" ca="1" si="1801">IF(AQ253="","",g_interest_FF4*(AP256+(AQ254/2)-(AQ255/2)))</f>
        <v/>
      </c>
      <c r="AR257" s="190" t="str">
        <f t="shared" ref="AR257" ca="1" si="1802">IF(AR253="","",g_interest_FF4*(AQ256+(AR254/2)-(AR255/2)))</f>
        <v/>
      </c>
      <c r="AS257" s="190" t="str">
        <f t="shared" ref="AS257" ca="1" si="1803">IF(AS253="","",g_interest_FF4*(AR256+(AS254/2)-(AS255/2)))</f>
        <v/>
      </c>
      <c r="AT257" s="190" t="str">
        <f t="shared" ref="AT257" ca="1" si="1804">IF(AT253="","",g_interest_FF4*(AS256+(AT254/2)-(AT255/2)))</f>
        <v/>
      </c>
      <c r="AU257" s="190" t="str">
        <f t="shared" ref="AU257" ca="1" si="1805">IF(AU253="","",g_interest_FF4*(AT256+(AU254/2)-(AU255/2)))</f>
        <v/>
      </c>
      <c r="AV257" s="190" t="str">
        <f t="shared" ref="AV257" ca="1" si="1806">IF(AV253="","",g_interest_FF4*(AU256+(AV254/2)-(AV255/2)))</f>
        <v/>
      </c>
      <c r="AW257" s="190" t="str">
        <f t="shared" ref="AW257" ca="1" si="1807">IF(AW253="","",g_interest_FF4*(AV256+(AW254/2)-(AW255/2)))</f>
        <v/>
      </c>
      <c r="AX257" s="90"/>
      <c r="AY257" s="90"/>
      <c r="AZ257" s="87"/>
    </row>
    <row r="258" spans="14:52" ht="12.75" customHeight="1" collapsed="1" x14ac:dyDescent="0.2">
      <c r="N258" s="85"/>
      <c r="O258" s="102"/>
      <c r="P258" s="102"/>
      <c r="Q258" s="102"/>
      <c r="R258" s="102"/>
      <c r="S258" s="102"/>
      <c r="T258" s="102"/>
      <c r="U258" s="102"/>
      <c r="V258" s="102"/>
      <c r="W258" s="102"/>
      <c r="X258" s="102"/>
      <c r="Y258" s="102"/>
      <c r="Z258" s="102"/>
      <c r="AA258" s="102"/>
      <c r="AB258" s="102"/>
      <c r="AC258" s="102"/>
      <c r="AD258" s="102"/>
      <c r="AE258" s="102"/>
      <c r="AF258" s="102"/>
      <c r="AG258" s="102"/>
      <c r="AH258" s="102"/>
      <c r="AI258" s="102"/>
      <c r="AJ258" s="102"/>
      <c r="AK258" s="102"/>
      <c r="AL258" s="102"/>
      <c r="AM258" s="102"/>
      <c r="AN258" s="102"/>
      <c r="AO258" s="102"/>
      <c r="AP258" s="102"/>
      <c r="AQ258" s="102"/>
      <c r="AR258" s="102"/>
      <c r="AS258" s="102"/>
      <c r="AT258" s="102"/>
      <c r="AU258" s="102"/>
      <c r="AV258" s="102"/>
      <c r="AW258" s="102"/>
      <c r="AX258" s="102"/>
      <c r="AY258" s="102"/>
      <c r="AZ258" s="87"/>
    </row>
    <row r="259" spans="14:52" ht="25.5" customHeight="1" x14ac:dyDescent="0.2">
      <c r="N259" s="104"/>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c r="AS259" s="105"/>
      <c r="AT259" s="105"/>
      <c r="AU259" s="105"/>
      <c r="AV259" s="105"/>
      <c r="AW259" s="105"/>
      <c r="AX259" s="105"/>
      <c r="AY259" s="105"/>
      <c r="AZ259" s="106"/>
    </row>
  </sheetData>
  <customSheetViews>
    <customSheetView guid="{CC114306-4468-4F70-9DB6-D54D814D228F}" fitToPage="1" printArea="1" hiddenRows="1" hiddenColumns="1" topLeftCell="P25">
      <selection activeCell="P13" sqref="P13"/>
      <pageMargins left="0.7" right="0.7" top="0.75" bottom="0.75" header="0.3" footer="0.3"/>
      <pageSetup paperSize="9" fitToHeight="0" orientation="landscape" r:id="rId1"/>
    </customSheetView>
  </customSheetViews>
  <conditionalFormatting sqref="S49:AW50">
    <cfRule type="expression" dxfId="34" priority="3">
      <formula>S$37=""</formula>
    </cfRule>
  </conditionalFormatting>
  <conditionalFormatting sqref="T38:AW43">
    <cfRule type="expression" dxfId="33" priority="74">
      <formula>T$37=""</formula>
    </cfRule>
  </conditionalFormatting>
  <conditionalFormatting sqref="T48:AW48">
    <cfRule type="expression" dxfId="32" priority="1">
      <formula>T$37=""</formula>
    </cfRule>
  </conditionalFormatting>
  <conditionalFormatting sqref="T57:AW57">
    <cfRule type="expression" dxfId="31" priority="113">
      <formula>T$57=""</formula>
    </cfRule>
  </conditionalFormatting>
  <conditionalFormatting sqref="T58:AW120 T121:U121 W121:AW121 V121:V122">
    <cfRule type="expression" dxfId="30" priority="67">
      <formula>T$57=""</formula>
    </cfRule>
  </conditionalFormatting>
  <conditionalFormatting sqref="T129:AW129">
    <cfRule type="expression" dxfId="29" priority="112">
      <formula>T$37=""</formula>
    </cfRule>
  </conditionalFormatting>
  <conditionalFormatting sqref="T130:AW150">
    <cfRule type="expression" dxfId="28" priority="84">
      <formula>T$37=""</formula>
    </cfRule>
  </conditionalFormatting>
  <conditionalFormatting sqref="T157:AW157">
    <cfRule type="expression" dxfId="27" priority="111">
      <formula>T$37=""</formula>
    </cfRule>
  </conditionalFormatting>
  <conditionalFormatting sqref="T159:AW162">
    <cfRule type="expression" dxfId="26" priority="97">
      <formula>T$37=""</formula>
    </cfRule>
  </conditionalFormatting>
  <conditionalFormatting sqref="T164:AW167">
    <cfRule type="expression" dxfId="25" priority="34">
      <formula>T$37=""</formula>
    </cfRule>
  </conditionalFormatting>
  <conditionalFormatting sqref="T169:AW172">
    <cfRule type="expression" dxfId="24" priority="33">
      <formula>T$37=""</formula>
    </cfRule>
  </conditionalFormatting>
  <conditionalFormatting sqref="T174:AW177">
    <cfRule type="expression" dxfId="23" priority="32">
      <formula>T$37=""</formula>
    </cfRule>
  </conditionalFormatting>
  <conditionalFormatting sqref="T179:AW182">
    <cfRule type="expression" dxfId="22" priority="31">
      <formula>T$37=""</formula>
    </cfRule>
  </conditionalFormatting>
  <conditionalFormatting sqref="T184:AW187">
    <cfRule type="expression" dxfId="21" priority="13">
      <formula>T$37=""</formula>
    </cfRule>
  </conditionalFormatting>
  <conditionalFormatting sqref="T189:AW192">
    <cfRule type="expression" dxfId="20" priority="29">
      <formula>T$37=""</formula>
    </cfRule>
  </conditionalFormatting>
  <conditionalFormatting sqref="T194:AW197">
    <cfRule type="expression" dxfId="19" priority="28">
      <formula>T$37=""</formula>
    </cfRule>
  </conditionalFormatting>
  <conditionalFormatting sqref="T199:AW202">
    <cfRule type="expression" dxfId="18" priority="27">
      <formula>T$37=""</formula>
    </cfRule>
  </conditionalFormatting>
  <conditionalFormatting sqref="T204:AW207">
    <cfRule type="expression" dxfId="17" priority="26">
      <formula>T$37=""</formula>
    </cfRule>
  </conditionalFormatting>
  <conditionalFormatting sqref="T209:AW212">
    <cfRule type="expression" dxfId="16" priority="25">
      <formula>T$37=""</formula>
    </cfRule>
  </conditionalFormatting>
  <conditionalFormatting sqref="T214:AW217">
    <cfRule type="expression" dxfId="15" priority="24">
      <formula>T$37=""</formula>
    </cfRule>
  </conditionalFormatting>
  <conditionalFormatting sqref="T219:AW222">
    <cfRule type="expression" dxfId="14" priority="23">
      <formula>T$37=""</formula>
    </cfRule>
  </conditionalFormatting>
  <conditionalFormatting sqref="T224:AW227">
    <cfRule type="expression" dxfId="13" priority="22">
      <formula>T$37=""</formula>
    </cfRule>
  </conditionalFormatting>
  <conditionalFormatting sqref="T229:AW232">
    <cfRule type="expression" dxfId="12" priority="21">
      <formula>T$37=""</formula>
    </cfRule>
  </conditionalFormatting>
  <conditionalFormatting sqref="T234:AW237">
    <cfRule type="expression" dxfId="11" priority="20">
      <formula>T$37=""</formula>
    </cfRule>
  </conditionalFormatting>
  <conditionalFormatting sqref="T239:AW242">
    <cfRule type="expression" dxfId="10" priority="19">
      <formula>T$37=""</formula>
    </cfRule>
  </conditionalFormatting>
  <conditionalFormatting sqref="T244:AW247">
    <cfRule type="expression" dxfId="9" priority="18">
      <formula>T$37=""</formula>
    </cfRule>
  </conditionalFormatting>
  <conditionalFormatting sqref="T249:AW252">
    <cfRule type="expression" dxfId="8" priority="17">
      <formula>T$37=""</formula>
    </cfRule>
  </conditionalFormatting>
  <conditionalFormatting sqref="T254:AW257">
    <cfRule type="expression" dxfId="7" priority="16">
      <formula>T$37=""</formula>
    </cfRule>
  </conditionalFormatting>
  <conditionalFormatting sqref="T37:AX37">
    <cfRule type="expression" dxfId="6" priority="79">
      <formula>T$37=""</formula>
    </cfRule>
  </conditionalFormatting>
  <conditionalFormatting sqref="AX169">
    <cfRule type="expression" dxfId="5" priority="82">
      <formula>AX$37=""</formula>
    </cfRule>
  </conditionalFormatting>
  <conditionalFormatting sqref="AX199">
    <cfRule type="expression" dxfId="4" priority="58">
      <formula>AX$37=""</formula>
    </cfRule>
  </conditionalFormatting>
  <conditionalFormatting sqref="AX229">
    <cfRule type="expression" dxfId="3" priority="45">
      <formula>AX$37=""</formula>
    </cfRule>
  </conditionalFormatting>
  <conditionalFormatting sqref="AX48:AY50 AL51:AY51">
    <cfRule type="expression" dxfId="2" priority="12">
      <formula>AL$37=""</formula>
    </cfRule>
  </conditionalFormatting>
  <conditionalFormatting sqref="AX59:AY63">
    <cfRule type="expression" dxfId="1" priority="83">
      <formula>AX$57=""</formula>
    </cfRule>
  </conditionalFormatting>
  <conditionalFormatting sqref="AY47">
    <cfRule type="expression" dxfId="0" priority="6">
      <formula>AY$37=""</formula>
    </cfRule>
  </conditionalFormatting>
  <pageMargins left="0.7" right="0.7" top="0.75" bottom="0.75" header="0.3" footer="0.3"/>
  <pageSetup paperSize="9" fitToHeight="0" orientation="landscape" r:id="rId2"/>
  <headerFooter>
    <oddFooter>&amp;C_x000D_&amp;1#&amp;"Aptos"&amp;10&amp;K000000 Denne information er følsom og må derfor kun deles inden for staten.</oddFooter>
  </headerFooter>
  <ignoredErrors>
    <ignoredError sqref="Q69 T69:U69 V69:AW69" formula="1"/>
  </ignoredErrors>
  <drawing r:id="rId3"/>
</worksheet>
</file>

<file path=docMetadata/LabelInfo.xml><?xml version="1.0" encoding="utf-8"?>
<clbl:labelList xmlns:clbl="http://schemas.microsoft.com/office/2020/mipLabelMetadata">
  <clbl:label id="{74991291-2a23-4148-82cc-7ad952901985}" enabled="1" method="Standard" siteId="{307aea5f-69c8-47dd-bb55-e830e513ae0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22</vt:i4>
      </vt:variant>
    </vt:vector>
  </HeadingPairs>
  <TitlesOfParts>
    <vt:vector size="27" baseType="lpstr">
      <vt:lpstr>Ændringslog</vt:lpstr>
      <vt:lpstr>NR_1</vt:lpstr>
      <vt:lpstr>Stamoplysninger</vt:lpstr>
      <vt:lpstr>Leverancer</vt:lpstr>
      <vt:lpstr>Tabeller</vt:lpstr>
      <vt:lpstr>g_assets_sc_1</vt:lpstr>
      <vt:lpstr>g_interest_discount</vt:lpstr>
      <vt:lpstr>g_interest_FF4</vt:lpstr>
      <vt:lpstr>g_lang_key</vt:lpstr>
      <vt:lpstr>g_lang_val</vt:lpstr>
      <vt:lpstr>g_phase_names</vt:lpstr>
      <vt:lpstr>g_pl_factor</vt:lpstr>
      <vt:lpstr>g_pl_factors</vt:lpstr>
      <vt:lpstr>g_pl_year</vt:lpstr>
      <vt:lpstr>g_pl_years</vt:lpstr>
      <vt:lpstr>g_pl_years_end</vt:lpstr>
      <vt:lpstr>g_pl_years_start</vt:lpstr>
      <vt:lpstr>g_reporting_year</vt:lpstr>
      <vt:lpstr>g_sc_1_assets</vt:lpstr>
      <vt:lpstr>g_sc_1_assets_dates</vt:lpstr>
      <vt:lpstr>g_sc_1_assets_years</vt:lpstr>
      <vt:lpstr>g_sc_1_capex</vt:lpstr>
      <vt:lpstr>g_sc_1_opex</vt:lpstr>
      <vt:lpstr>g_sc_1_phases_years</vt:lpstr>
      <vt:lpstr>Leverancer!Udskriftsområde</vt:lpstr>
      <vt:lpstr>Stamoplysninger!Udskriftsområde</vt:lpstr>
      <vt:lpstr>Tabeller!Udskriftsområde</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Ionel Dan Blaguiescu</dc:creator>
  <cp:lastModifiedBy>Jeppe Stenager Fallesen</cp:lastModifiedBy>
  <dcterms:created xsi:type="dcterms:W3CDTF">2022-08-18T13:31:47Z</dcterms:created>
  <dcterms:modified xsi:type="dcterms:W3CDTF">2026-08-13T08:53:56Z</dcterms:modified>
</cp:coreProperties>
</file>