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enne_projektmappe"/>
  <mc:AlternateContent xmlns:mc="http://schemas.openxmlformats.org/markup-compatibility/2006">
    <mc:Choice Requires="x15">
      <x15ac:absPath xmlns:x15ac="http://schemas.microsoft.com/office/spreadsheetml/2010/11/ac" url="C:\Users\B397488\Desktop\"/>
    </mc:Choice>
  </mc:AlternateContent>
  <xr:revisionPtr revIDLastSave="0" documentId="8_{89EAE384-DF67-4477-AC22-56A6483EFDD6}" xr6:coauthVersionLast="47" xr6:coauthVersionMax="47" xr10:uidLastSave="{00000000-0000-0000-0000-000000000000}"/>
  <workbookProtection workbookAlgorithmName="SHA-512" workbookHashValue="/59qX7QmB8cDWTb9plE9DDz4q1KpKHgYqOiS9+PtbXGPKDhUdWRSKG6iX9F8Fn3U02iItk0rJxxX1Fkhzj6BXg==" workbookSaltValue="7Bp5d4PClzctf24U/XhHFA==" workbookSpinCount="100000" lockStructure="1"/>
  <bookViews>
    <workbookView xWindow="-110" yWindow="-110" windowWidth="19420" windowHeight="10300" firstSheet="2" activeTab="2" xr2:uid="{00000000-000D-0000-FFFF-FFFF00000000}"/>
  </bookViews>
  <sheets>
    <sheet name="Ændringslog" sheetId="8" state="hidden" r:id="rId1"/>
    <sheet name="NR_1" sheetId="1" state="hidden" r:id="rId2"/>
    <sheet name="Stamoplysninger" sheetId="3" r:id="rId3"/>
    <sheet name="Leverancer" sheetId="5" r:id="rId4"/>
    <sheet name="Tabeller" sheetId="6" r:id="rId5"/>
  </sheets>
  <definedNames>
    <definedName name="g_assets_sc_1">NR_1!$U$3:$U$24</definedName>
    <definedName name="g_interest_discount">NR_1!$E$3</definedName>
    <definedName name="g_interest_FF4">NR_1!$D$3</definedName>
    <definedName name="g_lang_key">NR_1!$A$3:$A$100</definedName>
    <definedName name="g_lang_val">NR_1!$B$3:$B$100</definedName>
    <definedName name="g_phase_names">NR_1!$C$3:$C$5</definedName>
    <definedName name="g_pl_factor">NR_1!$O$3</definedName>
    <definedName name="g_pl_factors">NR_1!$L$3:$L$1000</definedName>
    <definedName name="g_pl_year">NR_1!$M$3</definedName>
    <definedName name="g_pl_years">NR_1!$K$3:$K$18</definedName>
    <definedName name="g_pl_years_end">NR_1!$G$3</definedName>
    <definedName name="g_pl_years_start">NR_1!$F$3</definedName>
    <definedName name="g_reporting_year">NR_1!$N$3</definedName>
    <definedName name="g_sc_1_assets">NR_1!$Q$3:$Q$12</definedName>
    <definedName name="g_sc_1_assets_dates">NR_1!$R$3:$R$22</definedName>
    <definedName name="g_sc_1_assets_years">NR_1!$Q$3:$Q$22</definedName>
    <definedName name="g_sc_1_capex">NR_1!$S$3:$S$8</definedName>
    <definedName name="g_sc_1_opex">NR_1!$T$3:$T$10</definedName>
    <definedName name="g_sc_1_phases_years">NR_1!$P$3:$P$5</definedName>
    <definedName name="THIS_CELL">!A1</definedName>
    <definedName name="_xlnm.Print_Area" localSheetId="3">Leverancer!$AN$1:$AV$138</definedName>
    <definedName name="_xlnm.Print_Area" localSheetId="2">Stamoplysninger!$I$1:$P$104</definedName>
    <definedName name="_xlnm.Print_Area" localSheetId="4">Tabeller!$N$1:$AP$273</definedName>
    <definedName name="Z_CC114306_4468_4F70_9DB6_D54D814D228F_.wvu.Cols" localSheetId="3" hidden="1">Leverancer!$A:$AL</definedName>
    <definedName name="Z_CC114306_4468_4F70_9DB6_D54D814D228F_.wvu.Cols" localSheetId="2" hidden="1">Stamoplysninger!$A:$H</definedName>
    <definedName name="Z_CC114306_4468_4F70_9DB6_D54D814D228F_.wvu.Cols" localSheetId="4" hidden="1">Tabeller!$A:$K</definedName>
    <definedName name="Z_CC114306_4468_4F70_9DB6_D54D814D228F_.wvu.PrintArea" localSheetId="3" hidden="1">Leverancer!$AN$1:$AV$138</definedName>
    <definedName name="Z_CC114306_4468_4F70_9DB6_D54D814D228F_.wvu.PrintArea" localSheetId="2" hidden="1">Stamoplysninger!$I$1:$P$104</definedName>
    <definedName name="Z_CC114306_4468_4F70_9DB6_D54D814D228F_.wvu.PrintArea" localSheetId="4" hidden="1">Tabeller!$N$1:$AP$273</definedName>
    <definedName name="Z_CC114306_4468_4F70_9DB6_D54D814D228F_.wvu.Rows" localSheetId="3" hidden="1">Leverancer!$1:$12</definedName>
    <definedName name="Z_CC114306_4468_4F70_9DB6_D54D814D228F_.wvu.Rows" localSheetId="2" hidden="1">Stamoplysninger!$1:$6,Stamoplysninger!$92:$92</definedName>
    <definedName name="Z_CC114306_4468_4F70_9DB6_D54D814D228F_.wvu.Rows" localSheetId="4" hidden="1">Tabeller!$1:$12,Tabeller!$115:$115</definedName>
  </definedNames>
  <calcPr calcId="191029"/>
  <customWorkbookViews>
    <customWorkbookView name="Ionel Dan Blaguiescu - Personal View" guid="{CC114306-4468-4F70-9DB6-D54D814D228F}" mergeInterval="0" personalView="1" maximized="1" xWindow="-8" yWindow="-8" windowWidth="1936" windowHeight="117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1" l="1"/>
  <c r="R21" i="1"/>
  <c r="R20" i="1"/>
  <c r="R19" i="1"/>
  <c r="R18" i="1"/>
  <c r="R17" i="1"/>
  <c r="R16" i="1"/>
  <c r="R15" i="1"/>
  <c r="R14" i="1"/>
  <c r="R13" i="1"/>
  <c r="R12" i="1"/>
  <c r="R11" i="1"/>
  <c r="R10" i="1"/>
  <c r="R9" i="1"/>
  <c r="R8" i="1"/>
  <c r="AO23" i="5" l="1"/>
  <c r="AP24" i="5"/>
  <c r="AO25" i="5"/>
  <c r="AQ25" i="5"/>
  <c r="AR25" i="5"/>
  <c r="AS25" i="5"/>
  <c r="AT25" i="5"/>
  <c r="AO27" i="5"/>
  <c r="AU94" i="5" l="1"/>
  <c r="AV94" i="5"/>
  <c r="AW94" i="5"/>
  <c r="AX94" i="5"/>
  <c r="AY94" i="5"/>
  <c r="AZ94" i="5"/>
  <c r="BA94" i="5"/>
  <c r="BB94" i="5"/>
  <c r="BC94" i="5"/>
  <c r="BD94" i="5"/>
  <c r="BE94" i="5"/>
  <c r="BF94" i="5"/>
  <c r="BG94" i="5"/>
  <c r="BH94" i="5"/>
  <c r="BI94" i="5"/>
  <c r="BJ94" i="5"/>
  <c r="BK94" i="5"/>
  <c r="BL94" i="5"/>
  <c r="BM94" i="5"/>
  <c r="BN94" i="5"/>
  <c r="BO94" i="5"/>
  <c r="BP94" i="5"/>
  <c r="BQ94" i="5"/>
  <c r="BR94" i="5"/>
  <c r="BS94" i="5"/>
  <c r="BT94" i="5"/>
  <c r="BU94" i="5"/>
  <c r="BV94" i="5"/>
  <c r="BW94" i="5"/>
  <c r="BX94" i="5"/>
  <c r="BY94" i="5"/>
  <c r="AW141" i="5"/>
  <c r="AX141" i="5"/>
  <c r="AY141" i="5"/>
  <c r="AZ141" i="5"/>
  <c r="BA141" i="5"/>
  <c r="BB141" i="5"/>
  <c r="BC141" i="5"/>
  <c r="BD141" i="5"/>
  <c r="BE141" i="5"/>
  <c r="BF141" i="5"/>
  <c r="BG141" i="5"/>
  <c r="BH141" i="5"/>
  <c r="BI141" i="5"/>
  <c r="BJ141" i="5"/>
  <c r="BK141" i="5"/>
  <c r="BL141" i="5"/>
  <c r="BM141" i="5"/>
  <c r="BN141" i="5"/>
  <c r="BO141" i="5"/>
  <c r="BP141" i="5"/>
  <c r="BQ141" i="5"/>
  <c r="BR141" i="5"/>
  <c r="BS141" i="5"/>
  <c r="BT141" i="5"/>
  <c r="BU141" i="5"/>
  <c r="BV141" i="5"/>
  <c r="BW141" i="5"/>
  <c r="BX141" i="5"/>
  <c r="BY141" i="5"/>
  <c r="P5" i="1" l="1"/>
  <c r="U21" i="1"/>
  <c r="Q231" i="6" s="1"/>
  <c r="U22" i="1"/>
  <c r="Q236" i="6" s="1"/>
  <c r="U23" i="1"/>
  <c r="Q241" i="6" s="1"/>
  <c r="U24" i="1"/>
  <c r="Q246" i="6" s="1"/>
  <c r="U17" i="1"/>
  <c r="Q211" i="6" s="1"/>
  <c r="U18" i="1"/>
  <c r="Q216" i="6" s="1"/>
  <c r="U19" i="1"/>
  <c r="Q221" i="6" s="1"/>
  <c r="U20" i="1"/>
  <c r="Q226" i="6" s="1"/>
  <c r="U10" i="1"/>
  <c r="Q176" i="6" s="1"/>
  <c r="U11" i="1"/>
  <c r="Q181" i="6" s="1"/>
  <c r="U12" i="1"/>
  <c r="Q186" i="6" s="1"/>
  <c r="U13" i="1"/>
  <c r="Q191" i="6" s="1"/>
  <c r="U14" i="1"/>
  <c r="Q196" i="6" s="1"/>
  <c r="U15" i="1"/>
  <c r="Q201" i="6" s="1"/>
  <c r="U16" i="1"/>
  <c r="Q206" i="6" s="1"/>
  <c r="U9" i="1"/>
  <c r="U7" i="1"/>
  <c r="U6" i="1"/>
  <c r="U8" i="1"/>
  <c r="Q22" i="1" l="1"/>
  <c r="E248" i="6" s="1"/>
  <c r="C249" i="6" s="1"/>
  <c r="Q21" i="1"/>
  <c r="E243" i="6" s="1"/>
  <c r="C244" i="6" s="1"/>
  <c r="Q20" i="1"/>
  <c r="E238" i="6" s="1"/>
  <c r="C239" i="6" s="1"/>
  <c r="Q19" i="1"/>
  <c r="E233" i="6" s="1"/>
  <c r="C234" i="6" s="1"/>
  <c r="Q18" i="1"/>
  <c r="Q17" i="1"/>
  <c r="E223" i="6" s="1"/>
  <c r="C224" i="6" s="1"/>
  <c r="Q16" i="1"/>
  <c r="E218" i="6" s="1"/>
  <c r="C219" i="6" s="1"/>
  <c r="Q15" i="1"/>
  <c r="E213" i="6" s="1"/>
  <c r="C214" i="6" s="1"/>
  <c r="Q14" i="1"/>
  <c r="Q13" i="1"/>
  <c r="E203" i="6" s="1"/>
  <c r="C204" i="6" s="1"/>
  <c r="Q12" i="1"/>
  <c r="E198" i="6" s="1"/>
  <c r="C199" i="6" s="1"/>
  <c r="Q11" i="1"/>
  <c r="Q10" i="1"/>
  <c r="E188" i="6" s="1"/>
  <c r="C189" i="6" s="1"/>
  <c r="Q9" i="1"/>
  <c r="E183" i="6" s="1"/>
  <c r="C184" i="6" s="1"/>
  <c r="Q8" i="1"/>
  <c r="E178" i="6" s="1"/>
  <c r="C179" i="6" s="1"/>
  <c r="Q4" i="1"/>
  <c r="Q3" i="1"/>
  <c r="E153" i="6" s="1"/>
  <c r="C207" i="6"/>
  <c r="D208" i="6" s="1"/>
  <c r="C237" i="6"/>
  <c r="D238" i="6" s="1"/>
  <c r="Q250" i="6"/>
  <c r="Q249" i="6"/>
  <c r="Q248" i="6"/>
  <c r="Q247" i="6"/>
  <c r="Q245" i="6"/>
  <c r="Q244" i="6"/>
  <c r="Q243" i="6"/>
  <c r="Q242" i="6"/>
  <c r="Q240" i="6"/>
  <c r="Q239" i="6"/>
  <c r="Q238" i="6"/>
  <c r="Q237" i="6"/>
  <c r="Q235" i="6"/>
  <c r="Q234" i="6"/>
  <c r="Q233" i="6"/>
  <c r="Q232" i="6"/>
  <c r="Q230" i="6"/>
  <c r="Q229" i="6"/>
  <c r="Q228" i="6"/>
  <c r="E228" i="6"/>
  <c r="C229" i="6" s="1"/>
  <c r="Q227" i="6"/>
  <c r="Q225" i="6"/>
  <c r="Q224" i="6"/>
  <c r="Q223" i="6"/>
  <c r="Q222" i="6"/>
  <c r="Q220" i="6"/>
  <c r="Q219" i="6"/>
  <c r="Q218" i="6"/>
  <c r="Q217" i="6"/>
  <c r="Q215" i="6"/>
  <c r="Q214" i="6"/>
  <c r="Q213" i="6"/>
  <c r="Q212" i="6"/>
  <c r="C212" i="6"/>
  <c r="C213" i="6" s="1"/>
  <c r="Q210" i="6"/>
  <c r="Q209" i="6"/>
  <c r="Q208" i="6"/>
  <c r="E208" i="6"/>
  <c r="C209" i="6" s="1"/>
  <c r="Q207" i="6"/>
  <c r="Q205" i="6"/>
  <c r="Q204" i="6"/>
  <c r="Q203" i="6"/>
  <c r="Q202" i="6"/>
  <c r="Q200" i="6"/>
  <c r="Q199" i="6"/>
  <c r="Q198" i="6"/>
  <c r="Q197" i="6"/>
  <c r="Q195" i="6"/>
  <c r="Q194" i="6"/>
  <c r="Q193" i="6"/>
  <c r="E193" i="6"/>
  <c r="C194" i="6" s="1"/>
  <c r="Q192" i="6"/>
  <c r="Q190" i="6"/>
  <c r="Q189" i="6"/>
  <c r="Q188" i="6"/>
  <c r="Q187" i="6"/>
  <c r="Q185" i="6"/>
  <c r="Q184" i="6"/>
  <c r="Q183" i="6"/>
  <c r="Q182" i="6"/>
  <c r="Q180" i="6"/>
  <c r="Q179" i="6"/>
  <c r="Q178" i="6"/>
  <c r="Q177" i="6"/>
  <c r="T17" i="1" l="1"/>
  <c r="T18" i="1"/>
  <c r="T23" i="1"/>
  <c r="C192" i="6"/>
  <c r="E194" i="6" s="1"/>
  <c r="D194" i="6" s="1"/>
  <c r="T14" i="1"/>
  <c r="C227" i="6"/>
  <c r="D228" i="6" s="1"/>
  <c r="T21" i="1"/>
  <c r="C187" i="6"/>
  <c r="D188" i="6" s="1"/>
  <c r="T13" i="1"/>
  <c r="C222" i="6"/>
  <c r="C223" i="6" s="1"/>
  <c r="T20" i="1"/>
  <c r="C182" i="6"/>
  <c r="D183" i="6" s="1"/>
  <c r="T12" i="1"/>
  <c r="C217" i="6"/>
  <c r="C218" i="6" s="1"/>
  <c r="T19" i="1"/>
  <c r="C177" i="6"/>
  <c r="C178" i="6" s="1"/>
  <c r="T11" i="1"/>
  <c r="C247" i="6"/>
  <c r="D248" i="6" s="1"/>
  <c r="T25" i="1"/>
  <c r="C242" i="6"/>
  <c r="D243" i="6" s="1"/>
  <c r="T24" i="1"/>
  <c r="C202" i="6"/>
  <c r="E204" i="6" s="1"/>
  <c r="D204" i="6" s="1"/>
  <c r="T16" i="1"/>
  <c r="C197" i="6"/>
  <c r="E199" i="6" s="1"/>
  <c r="D199" i="6" s="1"/>
  <c r="T15" i="1"/>
  <c r="C232" i="6"/>
  <c r="D233" i="6" s="1"/>
  <c r="T22" i="1"/>
  <c r="E214" i="6"/>
  <c r="D214" i="6" s="1"/>
  <c r="D213" i="6"/>
  <c r="E239" i="6"/>
  <c r="D239" i="6" s="1"/>
  <c r="C238" i="6"/>
  <c r="E209" i="6"/>
  <c r="D209" i="6" s="1"/>
  <c r="C208"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59" i="6"/>
  <c r="Q60" i="6"/>
  <c r="Q61" i="6"/>
  <c r="Q53" i="6"/>
  <c r="Q54" i="6"/>
  <c r="Q55" i="6"/>
  <c r="Q56" i="6"/>
  <c r="Q57" i="6"/>
  <c r="Q58" i="6"/>
  <c r="Q134" i="6"/>
  <c r="Q135" i="6"/>
  <c r="Q136" i="6"/>
  <c r="Q137" i="6"/>
  <c r="Q138" i="6"/>
  <c r="Q139" i="6"/>
  <c r="Q140" i="6"/>
  <c r="Q141" i="6"/>
  <c r="Q142" i="6"/>
  <c r="Q124" i="6"/>
  <c r="Q125" i="6"/>
  <c r="Q126" i="6"/>
  <c r="Q127" i="6"/>
  <c r="Q128" i="6"/>
  <c r="Q129" i="6"/>
  <c r="Q130" i="6"/>
  <c r="Q131" i="6"/>
  <c r="Q132" i="6"/>
  <c r="Q133" i="6"/>
  <c r="C183" i="6" l="1"/>
  <c r="D193" i="6"/>
  <c r="C198" i="6"/>
  <c r="C193" i="6"/>
  <c r="E189" i="6"/>
  <c r="D189" i="6" s="1"/>
  <c r="D203" i="6"/>
  <c r="E179" i="6"/>
  <c r="D179" i="6" s="1"/>
  <c r="E244" i="6"/>
  <c r="D244" i="6" s="1"/>
  <c r="E224" i="6"/>
  <c r="D224" i="6" s="1"/>
  <c r="E184" i="6"/>
  <c r="D184" i="6" s="1"/>
  <c r="C248" i="6"/>
  <c r="C188" i="6"/>
  <c r="E219" i="6"/>
  <c r="D219" i="6" s="1"/>
  <c r="C228" i="6"/>
  <c r="D198" i="6"/>
  <c r="E229" i="6"/>
  <c r="D229" i="6" s="1"/>
  <c r="D218" i="6"/>
  <c r="C203" i="6"/>
  <c r="C243" i="6"/>
  <c r="D178" i="6"/>
  <c r="C233" i="6"/>
  <c r="E249" i="6"/>
  <c r="D249" i="6" s="1"/>
  <c r="E234" i="6"/>
  <c r="D234" i="6" s="1"/>
  <c r="D223" i="6"/>
  <c r="C40" i="5"/>
  <c r="K40" i="5"/>
  <c r="L40" i="5"/>
  <c r="M40" i="5"/>
  <c r="N40" i="5"/>
  <c r="O40" i="5"/>
  <c r="P40" i="5"/>
  <c r="Q40" i="5"/>
  <c r="R40" i="5"/>
  <c r="S40" i="5"/>
  <c r="T40" i="5"/>
  <c r="U40" i="5"/>
  <c r="V40" i="5"/>
  <c r="W40" i="5"/>
  <c r="X40" i="5"/>
  <c r="Y40" i="5"/>
  <c r="Z40" i="5"/>
  <c r="AA40" i="5"/>
  <c r="AB40" i="5"/>
  <c r="AC40" i="5"/>
  <c r="AD40" i="5"/>
  <c r="AE40" i="5"/>
  <c r="AF40" i="5"/>
  <c r="AG40" i="5"/>
  <c r="C41" i="5"/>
  <c r="K41" i="5"/>
  <c r="L41" i="5"/>
  <c r="M41" i="5"/>
  <c r="N41" i="5"/>
  <c r="O41" i="5"/>
  <c r="P41" i="5"/>
  <c r="Q41" i="5"/>
  <c r="R41" i="5"/>
  <c r="S41" i="5"/>
  <c r="T41" i="5"/>
  <c r="U41" i="5"/>
  <c r="V41" i="5"/>
  <c r="W41" i="5"/>
  <c r="X41" i="5"/>
  <c r="Y41" i="5"/>
  <c r="Z41" i="5"/>
  <c r="AA41" i="5"/>
  <c r="AB41" i="5"/>
  <c r="AC41" i="5"/>
  <c r="AD41" i="5"/>
  <c r="AE41" i="5"/>
  <c r="AF41" i="5"/>
  <c r="AG41" i="5"/>
  <c r="C42" i="5"/>
  <c r="K42" i="5"/>
  <c r="L42" i="5"/>
  <c r="M42" i="5"/>
  <c r="N42" i="5"/>
  <c r="O42" i="5"/>
  <c r="P42" i="5"/>
  <c r="Q42" i="5"/>
  <c r="R42" i="5"/>
  <c r="S42" i="5"/>
  <c r="T42" i="5"/>
  <c r="U42" i="5"/>
  <c r="V42" i="5"/>
  <c r="W42" i="5"/>
  <c r="X42" i="5"/>
  <c r="Y42" i="5"/>
  <c r="Z42" i="5"/>
  <c r="AA42" i="5"/>
  <c r="AB42" i="5"/>
  <c r="AC42" i="5"/>
  <c r="AD42" i="5"/>
  <c r="AE42" i="5"/>
  <c r="AF42" i="5"/>
  <c r="AG42" i="5"/>
  <c r="C43" i="5"/>
  <c r="K43" i="5"/>
  <c r="L43" i="5"/>
  <c r="M43" i="5"/>
  <c r="N43" i="5"/>
  <c r="O43" i="5"/>
  <c r="P43" i="5"/>
  <c r="Q43" i="5"/>
  <c r="R43" i="5"/>
  <c r="S43" i="5"/>
  <c r="T43" i="5"/>
  <c r="U43" i="5"/>
  <c r="V43" i="5"/>
  <c r="W43" i="5"/>
  <c r="X43" i="5"/>
  <c r="Y43" i="5"/>
  <c r="Z43" i="5"/>
  <c r="AA43" i="5"/>
  <c r="AB43" i="5"/>
  <c r="AC43" i="5"/>
  <c r="AD43" i="5"/>
  <c r="AE43" i="5"/>
  <c r="AF43" i="5"/>
  <c r="AG43" i="5"/>
  <c r="C44" i="5"/>
  <c r="K44" i="5"/>
  <c r="L44" i="5"/>
  <c r="M44" i="5"/>
  <c r="N44" i="5"/>
  <c r="O44" i="5"/>
  <c r="P44" i="5"/>
  <c r="Q44" i="5"/>
  <c r="R44" i="5"/>
  <c r="S44" i="5"/>
  <c r="T44" i="5"/>
  <c r="U44" i="5"/>
  <c r="V44" i="5"/>
  <c r="W44" i="5"/>
  <c r="X44" i="5"/>
  <c r="Y44" i="5"/>
  <c r="Z44" i="5"/>
  <c r="AA44" i="5"/>
  <c r="AB44" i="5"/>
  <c r="AC44" i="5"/>
  <c r="AD44" i="5"/>
  <c r="AE44" i="5"/>
  <c r="AF44" i="5"/>
  <c r="AG44" i="5"/>
  <c r="C45" i="5"/>
  <c r="K45" i="5"/>
  <c r="L45" i="5"/>
  <c r="M45" i="5"/>
  <c r="N45" i="5"/>
  <c r="O45" i="5"/>
  <c r="P45" i="5"/>
  <c r="Q45" i="5"/>
  <c r="R45" i="5"/>
  <c r="S45" i="5"/>
  <c r="T45" i="5"/>
  <c r="U45" i="5"/>
  <c r="V45" i="5"/>
  <c r="W45" i="5"/>
  <c r="X45" i="5"/>
  <c r="Y45" i="5"/>
  <c r="Z45" i="5"/>
  <c r="AA45" i="5"/>
  <c r="AB45" i="5"/>
  <c r="AC45" i="5"/>
  <c r="AD45" i="5"/>
  <c r="AE45" i="5"/>
  <c r="AF45" i="5"/>
  <c r="AG45" i="5"/>
  <c r="C46" i="5"/>
  <c r="K46" i="5"/>
  <c r="L46" i="5"/>
  <c r="M46" i="5"/>
  <c r="N46" i="5"/>
  <c r="O46" i="5"/>
  <c r="P46" i="5"/>
  <c r="Q46" i="5"/>
  <c r="R46" i="5"/>
  <c r="S46" i="5"/>
  <c r="T46" i="5"/>
  <c r="U46" i="5"/>
  <c r="V46" i="5"/>
  <c r="W46" i="5"/>
  <c r="X46" i="5"/>
  <c r="Y46" i="5"/>
  <c r="Z46" i="5"/>
  <c r="AA46" i="5"/>
  <c r="AB46" i="5"/>
  <c r="AC46" i="5"/>
  <c r="AD46" i="5"/>
  <c r="AE46" i="5"/>
  <c r="AF46" i="5"/>
  <c r="AG46" i="5"/>
  <c r="C47" i="5"/>
  <c r="K47" i="5"/>
  <c r="L47" i="5"/>
  <c r="M47" i="5"/>
  <c r="N47" i="5"/>
  <c r="O47" i="5"/>
  <c r="P47" i="5"/>
  <c r="Q47" i="5"/>
  <c r="R47" i="5"/>
  <c r="S47" i="5"/>
  <c r="T47" i="5"/>
  <c r="U47" i="5"/>
  <c r="V47" i="5"/>
  <c r="W47" i="5"/>
  <c r="X47" i="5"/>
  <c r="Y47" i="5"/>
  <c r="Z47" i="5"/>
  <c r="AA47" i="5"/>
  <c r="AB47" i="5"/>
  <c r="AC47" i="5"/>
  <c r="AD47" i="5"/>
  <c r="AE47" i="5"/>
  <c r="AF47" i="5"/>
  <c r="AG47" i="5"/>
  <c r="C48" i="5"/>
  <c r="K48" i="5"/>
  <c r="L48" i="5"/>
  <c r="M48" i="5"/>
  <c r="N48" i="5"/>
  <c r="O48" i="5"/>
  <c r="P48" i="5"/>
  <c r="Q48" i="5"/>
  <c r="R48" i="5"/>
  <c r="S48" i="5"/>
  <c r="T48" i="5"/>
  <c r="U48" i="5"/>
  <c r="V48" i="5"/>
  <c r="W48" i="5"/>
  <c r="X48" i="5"/>
  <c r="Y48" i="5"/>
  <c r="Z48" i="5"/>
  <c r="AA48" i="5"/>
  <c r="AB48" i="5"/>
  <c r="AC48" i="5"/>
  <c r="AD48" i="5"/>
  <c r="AE48" i="5"/>
  <c r="AF48" i="5"/>
  <c r="AG48" i="5"/>
  <c r="C49" i="5"/>
  <c r="K49" i="5"/>
  <c r="L49" i="5"/>
  <c r="M49" i="5"/>
  <c r="N49" i="5"/>
  <c r="O49" i="5"/>
  <c r="P49" i="5"/>
  <c r="Q49" i="5"/>
  <c r="R49" i="5"/>
  <c r="S49" i="5"/>
  <c r="T49" i="5"/>
  <c r="U49" i="5"/>
  <c r="V49" i="5"/>
  <c r="W49" i="5"/>
  <c r="X49" i="5"/>
  <c r="Y49" i="5"/>
  <c r="Z49" i="5"/>
  <c r="AA49" i="5"/>
  <c r="AB49" i="5"/>
  <c r="AC49" i="5"/>
  <c r="AD49" i="5"/>
  <c r="AE49" i="5"/>
  <c r="AF49" i="5"/>
  <c r="AG49" i="5"/>
  <c r="C50" i="5"/>
  <c r="K50" i="5"/>
  <c r="L50" i="5"/>
  <c r="M50" i="5"/>
  <c r="N50" i="5"/>
  <c r="O50" i="5"/>
  <c r="P50" i="5"/>
  <c r="Q50" i="5"/>
  <c r="R50" i="5"/>
  <c r="S50" i="5"/>
  <c r="T50" i="5"/>
  <c r="U50" i="5"/>
  <c r="V50" i="5"/>
  <c r="W50" i="5"/>
  <c r="X50" i="5"/>
  <c r="Y50" i="5"/>
  <c r="Z50" i="5"/>
  <c r="AA50" i="5"/>
  <c r="AB50" i="5"/>
  <c r="AC50" i="5"/>
  <c r="AD50" i="5"/>
  <c r="AE50" i="5"/>
  <c r="AF50" i="5"/>
  <c r="AG50" i="5"/>
  <c r="C51" i="5"/>
  <c r="K51" i="5"/>
  <c r="L51" i="5"/>
  <c r="M51" i="5"/>
  <c r="N51" i="5"/>
  <c r="O51" i="5"/>
  <c r="P51" i="5"/>
  <c r="Q51" i="5"/>
  <c r="R51" i="5"/>
  <c r="S51" i="5"/>
  <c r="T51" i="5"/>
  <c r="U51" i="5"/>
  <c r="V51" i="5"/>
  <c r="W51" i="5"/>
  <c r="X51" i="5"/>
  <c r="Y51" i="5"/>
  <c r="Z51" i="5"/>
  <c r="AA51" i="5"/>
  <c r="AB51" i="5"/>
  <c r="AC51" i="5"/>
  <c r="AD51" i="5"/>
  <c r="AE51" i="5"/>
  <c r="AF51" i="5"/>
  <c r="AG51" i="5"/>
  <c r="C52" i="5"/>
  <c r="K52" i="5"/>
  <c r="L52" i="5"/>
  <c r="M52" i="5"/>
  <c r="N52" i="5"/>
  <c r="O52" i="5"/>
  <c r="P52" i="5"/>
  <c r="Q52" i="5"/>
  <c r="R52" i="5"/>
  <c r="S52" i="5"/>
  <c r="T52" i="5"/>
  <c r="U52" i="5"/>
  <c r="V52" i="5"/>
  <c r="W52" i="5"/>
  <c r="X52" i="5"/>
  <c r="Y52" i="5"/>
  <c r="Z52" i="5"/>
  <c r="AA52" i="5"/>
  <c r="AB52" i="5"/>
  <c r="AC52" i="5"/>
  <c r="AD52" i="5"/>
  <c r="AE52" i="5"/>
  <c r="AF52" i="5"/>
  <c r="AG52" i="5"/>
  <c r="C53" i="5"/>
  <c r="K53" i="5"/>
  <c r="L53" i="5"/>
  <c r="M53" i="5"/>
  <c r="N53" i="5"/>
  <c r="O53" i="5"/>
  <c r="P53" i="5"/>
  <c r="Q53" i="5"/>
  <c r="R53" i="5"/>
  <c r="S53" i="5"/>
  <c r="T53" i="5"/>
  <c r="U53" i="5"/>
  <c r="V53" i="5"/>
  <c r="W53" i="5"/>
  <c r="X53" i="5"/>
  <c r="Y53" i="5"/>
  <c r="Z53" i="5"/>
  <c r="AA53" i="5"/>
  <c r="AB53" i="5"/>
  <c r="AC53" i="5"/>
  <c r="AD53" i="5"/>
  <c r="AE53" i="5"/>
  <c r="AF53" i="5"/>
  <c r="AG53" i="5"/>
  <c r="C54" i="5"/>
  <c r="K54" i="5"/>
  <c r="L54" i="5"/>
  <c r="M54" i="5"/>
  <c r="N54" i="5"/>
  <c r="O54" i="5"/>
  <c r="P54" i="5"/>
  <c r="Q54" i="5"/>
  <c r="R54" i="5"/>
  <c r="S54" i="5"/>
  <c r="T54" i="5"/>
  <c r="U54" i="5"/>
  <c r="V54" i="5"/>
  <c r="W54" i="5"/>
  <c r="X54" i="5"/>
  <c r="Y54" i="5"/>
  <c r="Z54" i="5"/>
  <c r="AA54" i="5"/>
  <c r="AB54" i="5"/>
  <c r="AC54" i="5"/>
  <c r="AD54" i="5"/>
  <c r="AE54" i="5"/>
  <c r="AF54" i="5"/>
  <c r="AG54" i="5"/>
  <c r="C55" i="5"/>
  <c r="K55" i="5"/>
  <c r="L55" i="5"/>
  <c r="M55" i="5"/>
  <c r="N55" i="5"/>
  <c r="O55" i="5"/>
  <c r="P55" i="5"/>
  <c r="Q55" i="5"/>
  <c r="R55" i="5"/>
  <c r="S55" i="5"/>
  <c r="T55" i="5"/>
  <c r="U55" i="5"/>
  <c r="V55" i="5"/>
  <c r="W55" i="5"/>
  <c r="X55" i="5"/>
  <c r="Y55" i="5"/>
  <c r="Z55" i="5"/>
  <c r="AA55" i="5"/>
  <c r="AB55" i="5"/>
  <c r="AC55" i="5"/>
  <c r="AD55" i="5"/>
  <c r="AE55" i="5"/>
  <c r="AF55" i="5"/>
  <c r="AG55" i="5"/>
  <c r="C56" i="5"/>
  <c r="K56" i="5"/>
  <c r="L56" i="5"/>
  <c r="M56" i="5"/>
  <c r="N56" i="5"/>
  <c r="O56" i="5"/>
  <c r="P56" i="5"/>
  <c r="Q56" i="5"/>
  <c r="R56" i="5"/>
  <c r="S56" i="5"/>
  <c r="T56" i="5"/>
  <c r="U56" i="5"/>
  <c r="V56" i="5"/>
  <c r="W56" i="5"/>
  <c r="X56" i="5"/>
  <c r="Y56" i="5"/>
  <c r="Z56" i="5"/>
  <c r="AA56" i="5"/>
  <c r="AB56" i="5"/>
  <c r="AC56" i="5"/>
  <c r="AD56" i="5"/>
  <c r="AE56" i="5"/>
  <c r="AF56" i="5"/>
  <c r="AG56" i="5"/>
  <c r="C57" i="5"/>
  <c r="K57" i="5"/>
  <c r="L57" i="5"/>
  <c r="M57" i="5"/>
  <c r="N57" i="5"/>
  <c r="O57" i="5"/>
  <c r="P57" i="5"/>
  <c r="Q57" i="5"/>
  <c r="R57" i="5"/>
  <c r="S57" i="5"/>
  <c r="T57" i="5"/>
  <c r="U57" i="5"/>
  <c r="V57" i="5"/>
  <c r="W57" i="5"/>
  <c r="X57" i="5"/>
  <c r="Y57" i="5"/>
  <c r="Z57" i="5"/>
  <c r="AA57" i="5"/>
  <c r="AB57" i="5"/>
  <c r="AC57" i="5"/>
  <c r="AD57" i="5"/>
  <c r="AE57" i="5"/>
  <c r="AF57" i="5"/>
  <c r="AG57" i="5"/>
  <c r="C58" i="5"/>
  <c r="K58" i="5"/>
  <c r="L58" i="5"/>
  <c r="M58" i="5"/>
  <c r="N58" i="5"/>
  <c r="O58" i="5"/>
  <c r="P58" i="5"/>
  <c r="Q58" i="5"/>
  <c r="R58" i="5"/>
  <c r="S58" i="5"/>
  <c r="T58" i="5"/>
  <c r="U58" i="5"/>
  <c r="V58" i="5"/>
  <c r="W58" i="5"/>
  <c r="X58" i="5"/>
  <c r="Y58" i="5"/>
  <c r="Z58" i="5"/>
  <c r="AA58" i="5"/>
  <c r="AB58" i="5"/>
  <c r="AC58" i="5"/>
  <c r="AD58" i="5"/>
  <c r="AE58" i="5"/>
  <c r="AF58" i="5"/>
  <c r="AG58" i="5"/>
  <c r="C59" i="5"/>
  <c r="K59" i="5"/>
  <c r="L59" i="5"/>
  <c r="M59" i="5"/>
  <c r="N59" i="5"/>
  <c r="O59" i="5"/>
  <c r="P59" i="5"/>
  <c r="Q59" i="5"/>
  <c r="R59" i="5"/>
  <c r="S59" i="5"/>
  <c r="T59" i="5"/>
  <c r="U59" i="5"/>
  <c r="V59" i="5"/>
  <c r="W59" i="5"/>
  <c r="X59" i="5"/>
  <c r="Y59" i="5"/>
  <c r="Z59" i="5"/>
  <c r="AA59" i="5"/>
  <c r="AB59" i="5"/>
  <c r="AC59" i="5"/>
  <c r="AD59" i="5"/>
  <c r="AE59" i="5"/>
  <c r="AF59" i="5"/>
  <c r="AG59" i="5"/>
  <c r="C60" i="5"/>
  <c r="K60" i="5"/>
  <c r="L60" i="5"/>
  <c r="M60" i="5"/>
  <c r="N60" i="5"/>
  <c r="O60" i="5"/>
  <c r="P60" i="5"/>
  <c r="Q60" i="5"/>
  <c r="R60" i="5"/>
  <c r="S60" i="5"/>
  <c r="T60" i="5"/>
  <c r="U60" i="5"/>
  <c r="V60" i="5"/>
  <c r="W60" i="5"/>
  <c r="X60" i="5"/>
  <c r="Y60" i="5"/>
  <c r="Z60" i="5"/>
  <c r="AA60" i="5"/>
  <c r="AB60" i="5"/>
  <c r="AC60" i="5"/>
  <c r="AD60" i="5"/>
  <c r="AE60" i="5"/>
  <c r="AF60" i="5"/>
  <c r="AG60" i="5"/>
  <c r="C61" i="5"/>
  <c r="K61" i="5"/>
  <c r="L61" i="5"/>
  <c r="M61" i="5"/>
  <c r="N61" i="5"/>
  <c r="O61" i="5"/>
  <c r="P61" i="5"/>
  <c r="Q61" i="5"/>
  <c r="R61" i="5"/>
  <c r="S61" i="5"/>
  <c r="T61" i="5"/>
  <c r="U61" i="5"/>
  <c r="V61" i="5"/>
  <c r="W61" i="5"/>
  <c r="X61" i="5"/>
  <c r="Y61" i="5"/>
  <c r="Z61" i="5"/>
  <c r="AA61" i="5"/>
  <c r="AB61" i="5"/>
  <c r="AC61" i="5"/>
  <c r="AD61" i="5"/>
  <c r="AE61" i="5"/>
  <c r="AF61" i="5"/>
  <c r="AG61" i="5"/>
  <c r="C62" i="5"/>
  <c r="K62" i="5"/>
  <c r="L62" i="5"/>
  <c r="M62" i="5"/>
  <c r="N62" i="5"/>
  <c r="O62" i="5"/>
  <c r="P62" i="5"/>
  <c r="Q62" i="5"/>
  <c r="R62" i="5"/>
  <c r="S62" i="5"/>
  <c r="T62" i="5"/>
  <c r="U62" i="5"/>
  <c r="V62" i="5"/>
  <c r="W62" i="5"/>
  <c r="X62" i="5"/>
  <c r="Y62" i="5"/>
  <c r="Z62" i="5"/>
  <c r="AA62" i="5"/>
  <c r="AB62" i="5"/>
  <c r="AC62" i="5"/>
  <c r="AD62" i="5"/>
  <c r="AE62" i="5"/>
  <c r="AF62" i="5"/>
  <c r="AG62" i="5"/>
  <c r="C63" i="5"/>
  <c r="K63" i="5"/>
  <c r="L63" i="5"/>
  <c r="M63" i="5"/>
  <c r="N63" i="5"/>
  <c r="O63" i="5"/>
  <c r="P63" i="5"/>
  <c r="Q63" i="5"/>
  <c r="R63" i="5"/>
  <c r="S63" i="5"/>
  <c r="T63" i="5"/>
  <c r="U63" i="5"/>
  <c r="V63" i="5"/>
  <c r="W63" i="5"/>
  <c r="X63" i="5"/>
  <c r="Y63" i="5"/>
  <c r="Z63" i="5"/>
  <c r="AA63" i="5"/>
  <c r="AB63" i="5"/>
  <c r="AC63" i="5"/>
  <c r="AD63" i="5"/>
  <c r="AE63" i="5"/>
  <c r="AF63" i="5"/>
  <c r="AG63" i="5"/>
  <c r="C64" i="5"/>
  <c r="K64" i="5"/>
  <c r="L64" i="5"/>
  <c r="M64" i="5"/>
  <c r="N64" i="5"/>
  <c r="O64" i="5"/>
  <c r="P64" i="5"/>
  <c r="Q64" i="5"/>
  <c r="R64" i="5"/>
  <c r="S64" i="5"/>
  <c r="T64" i="5"/>
  <c r="U64" i="5"/>
  <c r="V64" i="5"/>
  <c r="W64" i="5"/>
  <c r="X64" i="5"/>
  <c r="Y64" i="5"/>
  <c r="Z64" i="5"/>
  <c r="AA64" i="5"/>
  <c r="AB64" i="5"/>
  <c r="AC64" i="5"/>
  <c r="AD64" i="5"/>
  <c r="AE64" i="5"/>
  <c r="AF64" i="5"/>
  <c r="AG64" i="5"/>
  <c r="C65" i="5"/>
  <c r="K65" i="5"/>
  <c r="L65" i="5"/>
  <c r="M65" i="5"/>
  <c r="N65" i="5"/>
  <c r="O65" i="5"/>
  <c r="P65" i="5"/>
  <c r="Q65" i="5"/>
  <c r="R65" i="5"/>
  <c r="S65" i="5"/>
  <c r="T65" i="5"/>
  <c r="U65" i="5"/>
  <c r="V65" i="5"/>
  <c r="W65" i="5"/>
  <c r="X65" i="5"/>
  <c r="Y65" i="5"/>
  <c r="Z65" i="5"/>
  <c r="AA65" i="5"/>
  <c r="AB65" i="5"/>
  <c r="AC65" i="5"/>
  <c r="AD65" i="5"/>
  <c r="AE65" i="5"/>
  <c r="AF65" i="5"/>
  <c r="AG65" i="5"/>
  <c r="C66" i="5"/>
  <c r="K66" i="5"/>
  <c r="L66" i="5"/>
  <c r="M66" i="5"/>
  <c r="N66" i="5"/>
  <c r="O66" i="5"/>
  <c r="P66" i="5"/>
  <c r="Q66" i="5"/>
  <c r="R66" i="5"/>
  <c r="S66" i="5"/>
  <c r="T66" i="5"/>
  <c r="U66" i="5"/>
  <c r="V66" i="5"/>
  <c r="W66" i="5"/>
  <c r="X66" i="5"/>
  <c r="Y66" i="5"/>
  <c r="Z66" i="5"/>
  <c r="AA66" i="5"/>
  <c r="AB66" i="5"/>
  <c r="AC66" i="5"/>
  <c r="AD66" i="5"/>
  <c r="AE66" i="5"/>
  <c r="AF66" i="5"/>
  <c r="AG66" i="5"/>
  <c r="C67" i="5"/>
  <c r="K67" i="5"/>
  <c r="L67" i="5"/>
  <c r="M67" i="5"/>
  <c r="N67" i="5"/>
  <c r="O67" i="5"/>
  <c r="P67" i="5"/>
  <c r="Q67" i="5"/>
  <c r="R67" i="5"/>
  <c r="S67" i="5"/>
  <c r="T67" i="5"/>
  <c r="U67" i="5"/>
  <c r="V67" i="5"/>
  <c r="W67" i="5"/>
  <c r="X67" i="5"/>
  <c r="Y67" i="5"/>
  <c r="Z67" i="5"/>
  <c r="AA67" i="5"/>
  <c r="AB67" i="5"/>
  <c r="AC67" i="5"/>
  <c r="AD67" i="5"/>
  <c r="AE67" i="5"/>
  <c r="AF67" i="5"/>
  <c r="AG67" i="5"/>
  <c r="C68" i="5"/>
  <c r="K68" i="5"/>
  <c r="L68" i="5"/>
  <c r="M68" i="5"/>
  <c r="N68" i="5"/>
  <c r="O68" i="5"/>
  <c r="P68" i="5"/>
  <c r="Q68" i="5"/>
  <c r="R68" i="5"/>
  <c r="S68" i="5"/>
  <c r="T68" i="5"/>
  <c r="U68" i="5"/>
  <c r="V68" i="5"/>
  <c r="W68" i="5"/>
  <c r="X68" i="5"/>
  <c r="Y68" i="5"/>
  <c r="Z68" i="5"/>
  <c r="AA68" i="5"/>
  <c r="AB68" i="5"/>
  <c r="AC68" i="5"/>
  <c r="AD68" i="5"/>
  <c r="AE68" i="5"/>
  <c r="AF68" i="5"/>
  <c r="AG68" i="5"/>
  <c r="C69" i="5"/>
  <c r="K69" i="5"/>
  <c r="L69" i="5"/>
  <c r="M69" i="5"/>
  <c r="N69" i="5"/>
  <c r="O69" i="5"/>
  <c r="P69" i="5"/>
  <c r="Q69" i="5"/>
  <c r="R69" i="5"/>
  <c r="S69" i="5"/>
  <c r="T69" i="5"/>
  <c r="U69" i="5"/>
  <c r="V69" i="5"/>
  <c r="W69" i="5"/>
  <c r="X69" i="5"/>
  <c r="Y69" i="5"/>
  <c r="Z69" i="5"/>
  <c r="AA69" i="5"/>
  <c r="AB69" i="5"/>
  <c r="AC69" i="5"/>
  <c r="AD69" i="5"/>
  <c r="AE69" i="5"/>
  <c r="AF69" i="5"/>
  <c r="AG69" i="5"/>
  <c r="C70" i="5"/>
  <c r="K70" i="5"/>
  <c r="L70" i="5"/>
  <c r="M70" i="5"/>
  <c r="N70" i="5"/>
  <c r="O70" i="5"/>
  <c r="P70" i="5"/>
  <c r="Q70" i="5"/>
  <c r="R70" i="5"/>
  <c r="S70" i="5"/>
  <c r="T70" i="5"/>
  <c r="U70" i="5"/>
  <c r="V70" i="5"/>
  <c r="W70" i="5"/>
  <c r="X70" i="5"/>
  <c r="Y70" i="5"/>
  <c r="Z70" i="5"/>
  <c r="AA70" i="5"/>
  <c r="AB70" i="5"/>
  <c r="AC70" i="5"/>
  <c r="AD70" i="5"/>
  <c r="AE70" i="5"/>
  <c r="AF70" i="5"/>
  <c r="AG70" i="5"/>
  <c r="C71" i="5"/>
  <c r="K71" i="5"/>
  <c r="L71" i="5"/>
  <c r="M71" i="5"/>
  <c r="N71" i="5"/>
  <c r="O71" i="5"/>
  <c r="P71" i="5"/>
  <c r="Q71" i="5"/>
  <c r="R71" i="5"/>
  <c r="S71" i="5"/>
  <c r="T71" i="5"/>
  <c r="U71" i="5"/>
  <c r="V71" i="5"/>
  <c r="W71" i="5"/>
  <c r="X71" i="5"/>
  <c r="Y71" i="5"/>
  <c r="Z71" i="5"/>
  <c r="AA71" i="5"/>
  <c r="AB71" i="5"/>
  <c r="AC71" i="5"/>
  <c r="AD71" i="5"/>
  <c r="AE71" i="5"/>
  <c r="AF71" i="5"/>
  <c r="AG71" i="5"/>
  <c r="C72" i="5"/>
  <c r="K72" i="5"/>
  <c r="L72" i="5"/>
  <c r="M72" i="5"/>
  <c r="N72" i="5"/>
  <c r="O72" i="5"/>
  <c r="P72" i="5"/>
  <c r="Q72" i="5"/>
  <c r="R72" i="5"/>
  <c r="S72" i="5"/>
  <c r="T72" i="5"/>
  <c r="U72" i="5"/>
  <c r="V72" i="5"/>
  <c r="W72" i="5"/>
  <c r="X72" i="5"/>
  <c r="Y72" i="5"/>
  <c r="Z72" i="5"/>
  <c r="AA72" i="5"/>
  <c r="AB72" i="5"/>
  <c r="AC72" i="5"/>
  <c r="AD72" i="5"/>
  <c r="AE72" i="5"/>
  <c r="AF72" i="5"/>
  <c r="AG72" i="5"/>
  <c r="C73" i="5"/>
  <c r="K73" i="5"/>
  <c r="L73" i="5"/>
  <c r="M73" i="5"/>
  <c r="N73" i="5"/>
  <c r="O73" i="5"/>
  <c r="P73" i="5"/>
  <c r="Q73" i="5"/>
  <c r="R73" i="5"/>
  <c r="S73" i="5"/>
  <c r="T73" i="5"/>
  <c r="U73" i="5"/>
  <c r="V73" i="5"/>
  <c r="W73" i="5"/>
  <c r="X73" i="5"/>
  <c r="Y73" i="5"/>
  <c r="Z73" i="5"/>
  <c r="AA73" i="5"/>
  <c r="AB73" i="5"/>
  <c r="AC73" i="5"/>
  <c r="AD73" i="5"/>
  <c r="AE73" i="5"/>
  <c r="AF73" i="5"/>
  <c r="AG73" i="5"/>
  <c r="C74" i="5"/>
  <c r="K74" i="5"/>
  <c r="L74" i="5"/>
  <c r="M74" i="5"/>
  <c r="N74" i="5"/>
  <c r="O74" i="5"/>
  <c r="P74" i="5"/>
  <c r="Q74" i="5"/>
  <c r="R74" i="5"/>
  <c r="S74" i="5"/>
  <c r="T74" i="5"/>
  <c r="U74" i="5"/>
  <c r="V74" i="5"/>
  <c r="W74" i="5"/>
  <c r="X74" i="5"/>
  <c r="Y74" i="5"/>
  <c r="Z74" i="5"/>
  <c r="AA74" i="5"/>
  <c r="AB74" i="5"/>
  <c r="AC74" i="5"/>
  <c r="AD74" i="5"/>
  <c r="AE74" i="5"/>
  <c r="AF74" i="5"/>
  <c r="AG74" i="5"/>
  <c r="C75" i="5"/>
  <c r="K75" i="5"/>
  <c r="L75" i="5"/>
  <c r="M75" i="5"/>
  <c r="N75" i="5"/>
  <c r="O75" i="5"/>
  <c r="P75" i="5"/>
  <c r="Q75" i="5"/>
  <c r="R75" i="5"/>
  <c r="S75" i="5"/>
  <c r="T75" i="5"/>
  <c r="U75" i="5"/>
  <c r="V75" i="5"/>
  <c r="W75" i="5"/>
  <c r="X75" i="5"/>
  <c r="Y75" i="5"/>
  <c r="Z75" i="5"/>
  <c r="AA75" i="5"/>
  <c r="AB75" i="5"/>
  <c r="AC75" i="5"/>
  <c r="AD75" i="5"/>
  <c r="AE75" i="5"/>
  <c r="AF75" i="5"/>
  <c r="AG75" i="5"/>
  <c r="C76" i="5"/>
  <c r="K76" i="5"/>
  <c r="L76" i="5"/>
  <c r="M76" i="5"/>
  <c r="N76" i="5"/>
  <c r="O76" i="5"/>
  <c r="P76" i="5"/>
  <c r="Q76" i="5"/>
  <c r="R76" i="5"/>
  <c r="S76" i="5"/>
  <c r="T76" i="5"/>
  <c r="U76" i="5"/>
  <c r="V76" i="5"/>
  <c r="W76" i="5"/>
  <c r="X76" i="5"/>
  <c r="Y76" i="5"/>
  <c r="Z76" i="5"/>
  <c r="AA76" i="5"/>
  <c r="AB76" i="5"/>
  <c r="AC76" i="5"/>
  <c r="AD76" i="5"/>
  <c r="AE76" i="5"/>
  <c r="AF76" i="5"/>
  <c r="AG76" i="5"/>
  <c r="C77" i="5"/>
  <c r="K77" i="5"/>
  <c r="L77" i="5"/>
  <c r="M77" i="5"/>
  <c r="N77" i="5"/>
  <c r="O77" i="5"/>
  <c r="P77" i="5"/>
  <c r="Q77" i="5"/>
  <c r="R77" i="5"/>
  <c r="S77" i="5"/>
  <c r="T77" i="5"/>
  <c r="U77" i="5"/>
  <c r="V77" i="5"/>
  <c r="W77" i="5"/>
  <c r="X77" i="5"/>
  <c r="Y77" i="5"/>
  <c r="Z77" i="5"/>
  <c r="AA77" i="5"/>
  <c r="AB77" i="5"/>
  <c r="AC77" i="5"/>
  <c r="AD77" i="5"/>
  <c r="AE77" i="5"/>
  <c r="AF77" i="5"/>
  <c r="AG77" i="5"/>
  <c r="C78" i="5"/>
  <c r="K78" i="5"/>
  <c r="L78" i="5"/>
  <c r="M78" i="5"/>
  <c r="N78" i="5"/>
  <c r="O78" i="5"/>
  <c r="P78" i="5"/>
  <c r="Q78" i="5"/>
  <c r="R78" i="5"/>
  <c r="S78" i="5"/>
  <c r="T78" i="5"/>
  <c r="U78" i="5"/>
  <c r="V78" i="5"/>
  <c r="W78" i="5"/>
  <c r="X78" i="5"/>
  <c r="Y78" i="5"/>
  <c r="Z78" i="5"/>
  <c r="AA78" i="5"/>
  <c r="AB78" i="5"/>
  <c r="AC78" i="5"/>
  <c r="AD78" i="5"/>
  <c r="AE78" i="5"/>
  <c r="AF78" i="5"/>
  <c r="AG78" i="5"/>
  <c r="C79" i="5"/>
  <c r="K79" i="5"/>
  <c r="L79" i="5"/>
  <c r="M79" i="5"/>
  <c r="N79" i="5"/>
  <c r="O79" i="5"/>
  <c r="P79" i="5"/>
  <c r="Q79" i="5"/>
  <c r="R79" i="5"/>
  <c r="S79" i="5"/>
  <c r="T79" i="5"/>
  <c r="U79" i="5"/>
  <c r="V79" i="5"/>
  <c r="W79" i="5"/>
  <c r="X79" i="5"/>
  <c r="Y79" i="5"/>
  <c r="Z79" i="5"/>
  <c r="AA79" i="5"/>
  <c r="AB79" i="5"/>
  <c r="AC79" i="5"/>
  <c r="AD79" i="5"/>
  <c r="AE79" i="5"/>
  <c r="AF79" i="5"/>
  <c r="AG79" i="5"/>
  <c r="C80" i="5"/>
  <c r="K80" i="5"/>
  <c r="L80" i="5"/>
  <c r="M80" i="5"/>
  <c r="N80" i="5"/>
  <c r="O80" i="5"/>
  <c r="P80" i="5"/>
  <c r="Q80" i="5"/>
  <c r="R80" i="5"/>
  <c r="S80" i="5"/>
  <c r="T80" i="5"/>
  <c r="U80" i="5"/>
  <c r="V80" i="5"/>
  <c r="W80" i="5"/>
  <c r="X80" i="5"/>
  <c r="Y80" i="5"/>
  <c r="Z80" i="5"/>
  <c r="AA80" i="5"/>
  <c r="AB80" i="5"/>
  <c r="AC80" i="5"/>
  <c r="AD80" i="5"/>
  <c r="AE80" i="5"/>
  <c r="AF80" i="5"/>
  <c r="AG80" i="5"/>
  <c r="C81" i="5"/>
  <c r="K81" i="5"/>
  <c r="L81" i="5"/>
  <c r="M81" i="5"/>
  <c r="N81" i="5"/>
  <c r="O81" i="5"/>
  <c r="P81" i="5"/>
  <c r="Q81" i="5"/>
  <c r="R81" i="5"/>
  <c r="S81" i="5"/>
  <c r="T81" i="5"/>
  <c r="U81" i="5"/>
  <c r="V81" i="5"/>
  <c r="W81" i="5"/>
  <c r="X81" i="5"/>
  <c r="Y81" i="5"/>
  <c r="Z81" i="5"/>
  <c r="AA81" i="5"/>
  <c r="AB81" i="5"/>
  <c r="AC81" i="5"/>
  <c r="AD81" i="5"/>
  <c r="AE81" i="5"/>
  <c r="AF81" i="5"/>
  <c r="AG81" i="5"/>
  <c r="C82" i="5"/>
  <c r="K82" i="5"/>
  <c r="L82" i="5"/>
  <c r="M82" i="5"/>
  <c r="N82" i="5"/>
  <c r="O82" i="5"/>
  <c r="P82" i="5"/>
  <c r="Q82" i="5"/>
  <c r="R82" i="5"/>
  <c r="S82" i="5"/>
  <c r="T82" i="5"/>
  <c r="U82" i="5"/>
  <c r="V82" i="5"/>
  <c r="W82" i="5"/>
  <c r="X82" i="5"/>
  <c r="Y82" i="5"/>
  <c r="Z82" i="5"/>
  <c r="AA82" i="5"/>
  <c r="AB82" i="5"/>
  <c r="AC82" i="5"/>
  <c r="AD82" i="5"/>
  <c r="AE82" i="5"/>
  <c r="AF82" i="5"/>
  <c r="AG82" i="5"/>
  <c r="C83" i="5"/>
  <c r="K83" i="5"/>
  <c r="L83" i="5"/>
  <c r="M83" i="5"/>
  <c r="N83" i="5"/>
  <c r="O83" i="5"/>
  <c r="P83" i="5"/>
  <c r="Q83" i="5"/>
  <c r="R83" i="5"/>
  <c r="S83" i="5"/>
  <c r="T83" i="5"/>
  <c r="U83" i="5"/>
  <c r="V83" i="5"/>
  <c r="W83" i="5"/>
  <c r="X83" i="5"/>
  <c r="Y83" i="5"/>
  <c r="Z83" i="5"/>
  <c r="AA83" i="5"/>
  <c r="AB83" i="5"/>
  <c r="AC83" i="5"/>
  <c r="AD83" i="5"/>
  <c r="AE83" i="5"/>
  <c r="AF83" i="5"/>
  <c r="AG83" i="5"/>
  <c r="C84" i="5"/>
  <c r="K84" i="5"/>
  <c r="L84" i="5"/>
  <c r="M84" i="5"/>
  <c r="N84" i="5"/>
  <c r="O84" i="5"/>
  <c r="P84" i="5"/>
  <c r="Q84" i="5"/>
  <c r="R84" i="5"/>
  <c r="S84" i="5"/>
  <c r="T84" i="5"/>
  <c r="U84" i="5"/>
  <c r="V84" i="5"/>
  <c r="W84" i="5"/>
  <c r="X84" i="5"/>
  <c r="Y84" i="5"/>
  <c r="Z84" i="5"/>
  <c r="AA84" i="5"/>
  <c r="AB84" i="5"/>
  <c r="AC84" i="5"/>
  <c r="AD84" i="5"/>
  <c r="AE84" i="5"/>
  <c r="AF84" i="5"/>
  <c r="AG84" i="5"/>
  <c r="C85" i="5"/>
  <c r="K85" i="5"/>
  <c r="L85" i="5"/>
  <c r="M85" i="5"/>
  <c r="N85" i="5"/>
  <c r="O85" i="5"/>
  <c r="P85" i="5"/>
  <c r="Q85" i="5"/>
  <c r="R85" i="5"/>
  <c r="S85" i="5"/>
  <c r="T85" i="5"/>
  <c r="U85" i="5"/>
  <c r="V85" i="5"/>
  <c r="W85" i="5"/>
  <c r="X85" i="5"/>
  <c r="Y85" i="5"/>
  <c r="Z85" i="5"/>
  <c r="AA85" i="5"/>
  <c r="AB85" i="5"/>
  <c r="AC85" i="5"/>
  <c r="AD85" i="5"/>
  <c r="AE85" i="5"/>
  <c r="AF85" i="5"/>
  <c r="AG85" i="5"/>
  <c r="C86" i="5"/>
  <c r="K86" i="5"/>
  <c r="L86" i="5"/>
  <c r="M86" i="5"/>
  <c r="N86" i="5"/>
  <c r="O86" i="5"/>
  <c r="P86" i="5"/>
  <c r="Q86" i="5"/>
  <c r="R86" i="5"/>
  <c r="S86" i="5"/>
  <c r="T86" i="5"/>
  <c r="U86" i="5"/>
  <c r="V86" i="5"/>
  <c r="W86" i="5"/>
  <c r="X86" i="5"/>
  <c r="Y86" i="5"/>
  <c r="Z86" i="5"/>
  <c r="AA86" i="5"/>
  <c r="AB86" i="5"/>
  <c r="AC86" i="5"/>
  <c r="AD86" i="5"/>
  <c r="AE86" i="5"/>
  <c r="AF86" i="5"/>
  <c r="AG86" i="5"/>
  <c r="C87" i="5"/>
  <c r="K87" i="5"/>
  <c r="L87" i="5"/>
  <c r="M87" i="5"/>
  <c r="N87" i="5"/>
  <c r="O87" i="5"/>
  <c r="P87" i="5"/>
  <c r="Q87" i="5"/>
  <c r="R87" i="5"/>
  <c r="S87" i="5"/>
  <c r="T87" i="5"/>
  <c r="U87" i="5"/>
  <c r="V87" i="5"/>
  <c r="W87" i="5"/>
  <c r="X87" i="5"/>
  <c r="Y87" i="5"/>
  <c r="Z87" i="5"/>
  <c r="AA87" i="5"/>
  <c r="AB87" i="5"/>
  <c r="AC87" i="5"/>
  <c r="AD87" i="5"/>
  <c r="AE87" i="5"/>
  <c r="AF87" i="5"/>
  <c r="AG87" i="5"/>
  <c r="C88" i="5"/>
  <c r="K88" i="5"/>
  <c r="L88" i="5"/>
  <c r="M88" i="5"/>
  <c r="N88" i="5"/>
  <c r="O88" i="5"/>
  <c r="P88" i="5"/>
  <c r="Q88" i="5"/>
  <c r="R88" i="5"/>
  <c r="S88" i="5"/>
  <c r="T88" i="5"/>
  <c r="U88" i="5"/>
  <c r="V88" i="5"/>
  <c r="W88" i="5"/>
  <c r="X88" i="5"/>
  <c r="Y88" i="5"/>
  <c r="Z88" i="5"/>
  <c r="AA88" i="5"/>
  <c r="AB88" i="5"/>
  <c r="AC88" i="5"/>
  <c r="AD88" i="5"/>
  <c r="AE88" i="5"/>
  <c r="AF88" i="5"/>
  <c r="AG88" i="5"/>
  <c r="K28" i="5"/>
  <c r="L28" i="5"/>
  <c r="M28" i="5"/>
  <c r="N28" i="5"/>
  <c r="O28" i="5"/>
  <c r="P28" i="5"/>
  <c r="Q28" i="5"/>
  <c r="R28" i="5"/>
  <c r="S28" i="5"/>
  <c r="T28" i="5"/>
  <c r="U28" i="5"/>
  <c r="V28" i="5"/>
  <c r="W28" i="5"/>
  <c r="X28" i="5"/>
  <c r="Y28" i="5"/>
  <c r="Z28" i="5"/>
  <c r="AA28" i="5"/>
  <c r="AB28" i="5"/>
  <c r="AC28" i="5"/>
  <c r="AD28" i="5"/>
  <c r="AE28" i="5"/>
  <c r="AF28" i="5"/>
  <c r="AG28" i="5"/>
  <c r="K29" i="5"/>
  <c r="L29" i="5"/>
  <c r="M29" i="5"/>
  <c r="N29" i="5"/>
  <c r="O29" i="5"/>
  <c r="P29" i="5"/>
  <c r="Q29" i="5"/>
  <c r="R29" i="5"/>
  <c r="S29" i="5"/>
  <c r="T29" i="5"/>
  <c r="U29" i="5"/>
  <c r="V29" i="5"/>
  <c r="W29" i="5"/>
  <c r="X29" i="5"/>
  <c r="Y29" i="5"/>
  <c r="Z29" i="5"/>
  <c r="AA29" i="5"/>
  <c r="AB29" i="5"/>
  <c r="AC29" i="5"/>
  <c r="AD29" i="5"/>
  <c r="AE29" i="5"/>
  <c r="AF29" i="5"/>
  <c r="AG29" i="5"/>
  <c r="K30" i="5"/>
  <c r="L30" i="5"/>
  <c r="M30" i="5"/>
  <c r="N30" i="5"/>
  <c r="O30" i="5"/>
  <c r="P30" i="5"/>
  <c r="Q30" i="5"/>
  <c r="R30" i="5"/>
  <c r="S30" i="5"/>
  <c r="T30" i="5"/>
  <c r="U30" i="5"/>
  <c r="V30" i="5"/>
  <c r="W30" i="5"/>
  <c r="X30" i="5"/>
  <c r="Y30" i="5"/>
  <c r="Z30" i="5"/>
  <c r="AA30" i="5"/>
  <c r="AB30" i="5"/>
  <c r="AC30" i="5"/>
  <c r="AD30" i="5"/>
  <c r="AE30" i="5"/>
  <c r="AF30" i="5"/>
  <c r="AG30" i="5"/>
  <c r="K31" i="5"/>
  <c r="L31" i="5"/>
  <c r="M31" i="5"/>
  <c r="N31" i="5"/>
  <c r="O31" i="5"/>
  <c r="P31" i="5"/>
  <c r="Q31" i="5"/>
  <c r="R31" i="5"/>
  <c r="S31" i="5"/>
  <c r="T31" i="5"/>
  <c r="U31" i="5"/>
  <c r="V31" i="5"/>
  <c r="W31" i="5"/>
  <c r="X31" i="5"/>
  <c r="Y31" i="5"/>
  <c r="Z31" i="5"/>
  <c r="AA31" i="5"/>
  <c r="AB31" i="5"/>
  <c r="AC31" i="5"/>
  <c r="AD31" i="5"/>
  <c r="AE31" i="5"/>
  <c r="AF31" i="5"/>
  <c r="AG31" i="5"/>
  <c r="K32" i="5"/>
  <c r="L32" i="5"/>
  <c r="M32" i="5"/>
  <c r="N32" i="5"/>
  <c r="O32" i="5"/>
  <c r="P32" i="5"/>
  <c r="Q32" i="5"/>
  <c r="R32" i="5"/>
  <c r="S32" i="5"/>
  <c r="T32" i="5"/>
  <c r="U32" i="5"/>
  <c r="V32" i="5"/>
  <c r="W32" i="5"/>
  <c r="X32" i="5"/>
  <c r="Y32" i="5"/>
  <c r="Z32" i="5"/>
  <c r="AA32" i="5"/>
  <c r="AB32" i="5"/>
  <c r="AC32" i="5"/>
  <c r="AD32" i="5"/>
  <c r="AE32" i="5"/>
  <c r="AF32" i="5"/>
  <c r="AG32" i="5"/>
  <c r="K33" i="5"/>
  <c r="L33" i="5"/>
  <c r="M33" i="5"/>
  <c r="N33" i="5"/>
  <c r="O33" i="5"/>
  <c r="P33" i="5"/>
  <c r="Q33" i="5"/>
  <c r="R33" i="5"/>
  <c r="S33" i="5"/>
  <c r="T33" i="5"/>
  <c r="U33" i="5"/>
  <c r="V33" i="5"/>
  <c r="W33" i="5"/>
  <c r="X33" i="5"/>
  <c r="Y33" i="5"/>
  <c r="Z33" i="5"/>
  <c r="AA33" i="5"/>
  <c r="AB33" i="5"/>
  <c r="AC33" i="5"/>
  <c r="AD33" i="5"/>
  <c r="AE33" i="5"/>
  <c r="AF33" i="5"/>
  <c r="AG33" i="5"/>
  <c r="K34" i="5"/>
  <c r="L34" i="5"/>
  <c r="M34" i="5"/>
  <c r="N34" i="5"/>
  <c r="O34" i="5"/>
  <c r="P34" i="5"/>
  <c r="Q34" i="5"/>
  <c r="R34" i="5"/>
  <c r="S34" i="5"/>
  <c r="T34" i="5"/>
  <c r="U34" i="5"/>
  <c r="V34" i="5"/>
  <c r="W34" i="5"/>
  <c r="X34" i="5"/>
  <c r="Y34" i="5"/>
  <c r="Z34" i="5"/>
  <c r="AA34" i="5"/>
  <c r="AB34" i="5"/>
  <c r="AC34" i="5"/>
  <c r="AD34" i="5"/>
  <c r="AE34" i="5"/>
  <c r="AF34" i="5"/>
  <c r="AG34" i="5"/>
  <c r="AU141" i="5" l="1"/>
  <c r="N33" i="6" l="1"/>
  <c r="Q121" i="6"/>
  <c r="N118" i="6"/>
  <c r="AP113" i="5"/>
  <c r="AO114" i="5"/>
  <c r="Q63" i="6" l="1"/>
  <c r="Q52" i="6"/>
  <c r="Q123" i="6"/>
  <c r="AO112" i="5"/>
  <c r="AO104" i="5" l="1"/>
  <c r="M35" i="5" l="1"/>
  <c r="N35" i="5"/>
  <c r="O35" i="5"/>
  <c r="P35" i="5"/>
  <c r="Q35" i="5"/>
  <c r="R35" i="5"/>
  <c r="S35" i="5"/>
  <c r="T35" i="5"/>
  <c r="U35" i="5"/>
  <c r="V35" i="5"/>
  <c r="W35" i="5"/>
  <c r="X35" i="5"/>
  <c r="Y35" i="5"/>
  <c r="Z35" i="5"/>
  <c r="AA35" i="5"/>
  <c r="AB35" i="5"/>
  <c r="AC35" i="5"/>
  <c r="AD35" i="5"/>
  <c r="AE35" i="5"/>
  <c r="AF35" i="5"/>
  <c r="M36" i="5"/>
  <c r="N36" i="5"/>
  <c r="O36" i="5"/>
  <c r="P36" i="5"/>
  <c r="Q36" i="5"/>
  <c r="R36" i="5"/>
  <c r="S36" i="5"/>
  <c r="T36" i="5"/>
  <c r="U36" i="5"/>
  <c r="V36" i="5"/>
  <c r="W36" i="5"/>
  <c r="X36" i="5"/>
  <c r="Y36" i="5"/>
  <c r="Z36" i="5"/>
  <c r="AA36" i="5"/>
  <c r="AB36" i="5"/>
  <c r="AC36" i="5"/>
  <c r="AD36" i="5"/>
  <c r="AE36" i="5"/>
  <c r="AF36" i="5"/>
  <c r="M37" i="5"/>
  <c r="N37" i="5"/>
  <c r="O37" i="5"/>
  <c r="P37" i="5"/>
  <c r="Q37" i="5"/>
  <c r="R37" i="5"/>
  <c r="S37" i="5"/>
  <c r="T37" i="5"/>
  <c r="U37" i="5"/>
  <c r="V37" i="5"/>
  <c r="W37" i="5"/>
  <c r="X37" i="5"/>
  <c r="Y37" i="5"/>
  <c r="Z37" i="5"/>
  <c r="AA37" i="5"/>
  <c r="AB37" i="5"/>
  <c r="AC37" i="5"/>
  <c r="AD37" i="5"/>
  <c r="AE37" i="5"/>
  <c r="AF37" i="5"/>
  <c r="P39" i="5"/>
  <c r="Q39" i="5"/>
  <c r="R39" i="5"/>
  <c r="S39" i="5"/>
  <c r="T39" i="5"/>
  <c r="U39" i="5"/>
  <c r="V39" i="5"/>
  <c r="W39" i="5"/>
  <c r="X39" i="5"/>
  <c r="Y39" i="5"/>
  <c r="Z39" i="5"/>
  <c r="AA39" i="5"/>
  <c r="AB39" i="5"/>
  <c r="AC39" i="5"/>
  <c r="AD39" i="5"/>
  <c r="AE39" i="5"/>
  <c r="AF39" i="5"/>
  <c r="K35" i="5" l="1"/>
  <c r="L35" i="5"/>
  <c r="AG35" i="5"/>
  <c r="K36" i="5"/>
  <c r="L36" i="5"/>
  <c r="AG36" i="5"/>
  <c r="K37" i="5"/>
  <c r="L37" i="5"/>
  <c r="AG37" i="5"/>
  <c r="AP151" i="5" l="1"/>
  <c r="AO150" i="5"/>
  <c r="AN148" i="5"/>
  <c r="AO156" i="5"/>
  <c r="AO152" i="5"/>
  <c r="AO144" i="5" l="1"/>
  <c r="AO106" i="5"/>
  <c r="AO97" i="5"/>
  <c r="N146" i="6" l="1"/>
  <c r="N3" i="1" l="1"/>
  <c r="M3" i="1" l="1"/>
  <c r="O3" i="1" s="1"/>
  <c r="P3" i="1"/>
  <c r="R3" i="1"/>
  <c r="T6" i="1" s="1"/>
  <c r="AO141" i="5" l="1"/>
  <c r="AT114" i="5" l="1"/>
  <c r="Q114" i="6" l="1"/>
  <c r="Q43" i="6"/>
  <c r="Q42" i="6"/>
  <c r="Q41" i="6"/>
  <c r="AK27" i="5" l="1"/>
  <c r="AL27" i="5"/>
  <c r="Q38" i="6"/>
  <c r="Q39" i="6"/>
  <c r="Q25" i="6"/>
  <c r="Q24" i="6"/>
  <c r="Q28" i="6" l="1"/>
  <c r="Q27" i="6"/>
  <c r="Q26" i="6"/>
  <c r="Q23" i="6"/>
  <c r="Q22" i="6"/>
  <c r="J7" i="3" l="1"/>
  <c r="Q175" i="6" l="1"/>
  <c r="Q174" i="6"/>
  <c r="Q173" i="6"/>
  <c r="Q172" i="6"/>
  <c r="Q170" i="6"/>
  <c r="Q169" i="6"/>
  <c r="Q168" i="6"/>
  <c r="Q167" i="6"/>
  <c r="Q165" i="6"/>
  <c r="Q164" i="6"/>
  <c r="Q163" i="6"/>
  <c r="Q162" i="6"/>
  <c r="Q160" i="6"/>
  <c r="Q159" i="6"/>
  <c r="Q158" i="6"/>
  <c r="Q157" i="6"/>
  <c r="Q155" i="6"/>
  <c r="Q154" i="6"/>
  <c r="Q153" i="6"/>
  <c r="Q152" i="6"/>
  <c r="Q149" i="6"/>
  <c r="Q143" i="6"/>
  <c r="Q49" i="6"/>
  <c r="Q113" i="6"/>
  <c r="Q62" i="6"/>
  <c r="Q51" i="6"/>
  <c r="N46" i="6"/>
  <c r="Q40" i="6"/>
  <c r="Q36" i="6"/>
  <c r="N32" i="6"/>
  <c r="S150" i="6"/>
  <c r="S122" i="6"/>
  <c r="S50" i="6"/>
  <c r="S37" i="6"/>
  <c r="S21" i="6"/>
  <c r="Q20" i="6"/>
  <c r="Q35" i="6"/>
  <c r="Q48" i="6"/>
  <c r="Q120" i="6"/>
  <c r="Q148" i="6"/>
  <c r="Q19" i="6"/>
  <c r="N17" i="6"/>
  <c r="AT143" i="5"/>
  <c r="AO137" i="5"/>
  <c r="AN110" i="5"/>
  <c r="AT101" i="5"/>
  <c r="AO101" i="5"/>
  <c r="AO90" i="5"/>
  <c r="AT96" i="5"/>
  <c r="AO94" i="5"/>
  <c r="AO38" i="5"/>
  <c r="AN21" i="5"/>
  <c r="K101" i="3"/>
  <c r="K99" i="3"/>
  <c r="K97" i="3"/>
  <c r="K95" i="3"/>
  <c r="K93" i="3"/>
  <c r="K91" i="3"/>
  <c r="N46" i="3"/>
  <c r="M46" i="3"/>
  <c r="L46" i="3"/>
  <c r="K22" i="3"/>
  <c r="K46" i="3"/>
  <c r="K44" i="3"/>
  <c r="K42" i="3" l="1"/>
  <c r="K38" i="3"/>
  <c r="K36" i="3"/>
  <c r="K34" i="3"/>
  <c r="K29" i="3"/>
  <c r="K27" i="3"/>
  <c r="K20" i="3"/>
  <c r="K18" i="3"/>
  <c r="K16" i="3"/>
  <c r="Q10" i="3"/>
  <c r="K14" i="3"/>
  <c r="Q9" i="3"/>
  <c r="R8" i="3"/>
  <c r="Q8" i="3"/>
  <c r="J9" i="3"/>
  <c r="J8" i="3"/>
  <c r="Q171" i="6" l="1"/>
  <c r="R7" i="1"/>
  <c r="R6" i="1"/>
  <c r="R5" i="1"/>
  <c r="R4" i="1"/>
  <c r="T7" i="1" s="1"/>
  <c r="Q7" i="1"/>
  <c r="Q6" i="1"/>
  <c r="Q5" i="1"/>
  <c r="U5" i="1"/>
  <c r="C31" i="5" s="1"/>
  <c r="P4" i="1"/>
  <c r="C29" i="5" l="1"/>
  <c r="C30" i="5"/>
  <c r="C33" i="5"/>
  <c r="C36" i="5"/>
  <c r="C35" i="5"/>
  <c r="T8" i="1"/>
  <c r="T9" i="1"/>
  <c r="T10" i="1"/>
  <c r="Q161" i="6"/>
  <c r="C28" i="5"/>
  <c r="C32" i="5"/>
  <c r="C37" i="5"/>
  <c r="C34" i="5"/>
  <c r="Q166" i="6"/>
  <c r="Q156" i="6"/>
  <c r="C39" i="5"/>
  <c r="Q150" i="6"/>
  <c r="Q50" i="6"/>
  <c r="Q122" i="6"/>
  <c r="Q21" i="6"/>
  <c r="Q37" i="6"/>
  <c r="S6" i="1" l="1"/>
  <c r="S8" i="1" l="1"/>
  <c r="S7" i="1"/>
  <c r="E173" i="6"/>
  <c r="C172" i="6"/>
  <c r="C167" i="6"/>
  <c r="C162" i="6"/>
  <c r="E168" i="6"/>
  <c r="E163" i="6"/>
  <c r="E158" i="6"/>
  <c r="S5" i="1" l="1"/>
  <c r="T5" i="1" s="1"/>
  <c r="C152" i="6"/>
  <c r="E154" i="6" s="1"/>
  <c r="C157" i="6"/>
  <c r="S4" i="1" l="1"/>
  <c r="AW22" i="5" l="1"/>
  <c r="AX22" i="5"/>
  <c r="BF22" i="5"/>
  <c r="BN22" i="5"/>
  <c r="BV22" i="5"/>
  <c r="AY22" i="5"/>
  <c r="BG22" i="5"/>
  <c r="BO22" i="5"/>
  <c r="BW22" i="5"/>
  <c r="AZ22" i="5"/>
  <c r="BH22" i="5"/>
  <c r="BP22" i="5"/>
  <c r="BX22" i="5"/>
  <c r="BS22" i="5"/>
  <c r="BA22" i="5"/>
  <c r="BI22" i="5"/>
  <c r="BQ22" i="5"/>
  <c r="BY22" i="5"/>
  <c r="BK22" i="5"/>
  <c r="BB22" i="5"/>
  <c r="BJ22" i="5"/>
  <c r="BR22" i="5"/>
  <c r="BC22" i="5"/>
  <c r="BE22" i="5"/>
  <c r="BL22" i="5"/>
  <c r="BT22" i="5"/>
  <c r="BM22" i="5"/>
  <c r="BU22" i="5"/>
  <c r="AV22" i="5"/>
  <c r="BD22" i="5"/>
  <c r="AU22" i="5"/>
  <c r="T4" i="1"/>
  <c r="S3" i="1"/>
  <c r="Q151" i="6"/>
  <c r="BE38" i="5" l="1"/>
  <c r="BE104" i="5"/>
  <c r="BE27" i="5"/>
  <c r="BE95" i="5"/>
  <c r="BE106" i="5"/>
  <c r="BE25" i="5"/>
  <c r="AD50" i="6" s="1"/>
  <c r="BE97" i="5"/>
  <c r="BE90" i="5"/>
  <c r="BE96" i="5"/>
  <c r="BI25" i="5"/>
  <c r="AH50" i="6" s="1"/>
  <c r="BI90" i="5"/>
  <c r="BI97" i="5"/>
  <c r="BI38" i="5"/>
  <c r="BI96" i="5"/>
  <c r="BI27" i="5"/>
  <c r="BI106" i="5"/>
  <c r="BI95" i="5"/>
  <c r="BI104" i="5"/>
  <c r="BO27" i="5"/>
  <c r="BO38" i="5"/>
  <c r="BO96" i="5"/>
  <c r="BO95" i="5"/>
  <c r="BO25" i="5"/>
  <c r="AN50" i="6" s="1"/>
  <c r="BO106" i="5"/>
  <c r="BO97" i="5"/>
  <c r="BO90" i="5"/>
  <c r="BO104" i="5"/>
  <c r="AV111" i="5"/>
  <c r="BD111" i="5"/>
  <c r="BL111" i="5"/>
  <c r="BT111" i="5"/>
  <c r="BB149" i="5"/>
  <c r="BB152" i="5" s="1"/>
  <c r="BJ149" i="5"/>
  <c r="BJ152" i="5" s="1"/>
  <c r="BR149" i="5"/>
  <c r="BR152" i="5" s="1"/>
  <c r="AX111" i="5"/>
  <c r="BF111" i="5"/>
  <c r="BN111" i="5"/>
  <c r="BV111" i="5"/>
  <c r="AV149" i="5"/>
  <c r="AV152" i="5" s="1"/>
  <c r="BD149" i="5"/>
  <c r="BD152" i="5" s="1"/>
  <c r="BL149" i="5"/>
  <c r="BL152" i="5" s="1"/>
  <c r="BT149" i="5"/>
  <c r="BT152" i="5" s="1"/>
  <c r="AY111" i="5"/>
  <c r="BG111" i="5"/>
  <c r="BO111" i="5"/>
  <c r="BW111" i="5"/>
  <c r="AW149" i="5"/>
  <c r="AW152" i="5" s="1"/>
  <c r="BE149" i="5"/>
  <c r="BE152" i="5" s="1"/>
  <c r="BM149" i="5"/>
  <c r="BM152" i="5" s="1"/>
  <c r="BU149" i="5"/>
  <c r="BU152" i="5" s="1"/>
  <c r="AZ111" i="5"/>
  <c r="BH111" i="5"/>
  <c r="BP111" i="5"/>
  <c r="BX111" i="5"/>
  <c r="AX149" i="5"/>
  <c r="AX152" i="5" s="1"/>
  <c r="BF149" i="5"/>
  <c r="BF152" i="5" s="1"/>
  <c r="BN149" i="5"/>
  <c r="BN152" i="5" s="1"/>
  <c r="BV149" i="5"/>
  <c r="BV152" i="5" s="1"/>
  <c r="BK111" i="5"/>
  <c r="BK149" i="5"/>
  <c r="BK152" i="5" s="1"/>
  <c r="AW111" i="5"/>
  <c r="BM111" i="5"/>
  <c r="AY149" i="5"/>
  <c r="AY152" i="5" s="1"/>
  <c r="BO149" i="5"/>
  <c r="BO152" i="5" s="1"/>
  <c r="BB111" i="5"/>
  <c r="BQ149" i="5"/>
  <c r="BQ152" i="5" s="1"/>
  <c r="BH149" i="5"/>
  <c r="BH152" i="5" s="1"/>
  <c r="BA111" i="5"/>
  <c r="BQ111" i="5"/>
  <c r="AZ149" i="5"/>
  <c r="AZ152" i="5" s="1"/>
  <c r="BP149" i="5"/>
  <c r="BP152" i="5" s="1"/>
  <c r="BR111" i="5"/>
  <c r="BA149" i="5"/>
  <c r="BA152" i="5" s="1"/>
  <c r="BX149" i="5"/>
  <c r="BX152" i="5" s="1"/>
  <c r="BC111" i="5"/>
  <c r="BS111" i="5"/>
  <c r="BC149" i="5"/>
  <c r="BC152" i="5" s="1"/>
  <c r="BS149" i="5"/>
  <c r="BS152" i="5" s="1"/>
  <c r="BE111" i="5"/>
  <c r="BU111" i="5"/>
  <c r="BG149" i="5"/>
  <c r="BG152" i="5" s="1"/>
  <c r="BW149" i="5"/>
  <c r="BW152" i="5" s="1"/>
  <c r="BI111" i="5"/>
  <c r="BY111" i="5"/>
  <c r="BY149" i="5"/>
  <c r="BY152" i="5" s="1"/>
  <c r="BJ111" i="5"/>
  <c r="BI149" i="5"/>
  <c r="BI152" i="5" s="1"/>
  <c r="BA25" i="5"/>
  <c r="Z50" i="6" s="1"/>
  <c r="BA90" i="5"/>
  <c r="BA97" i="5"/>
  <c r="BA96" i="5"/>
  <c r="BA38" i="5"/>
  <c r="BA95" i="5"/>
  <c r="BA104" i="5"/>
  <c r="BA106" i="5"/>
  <c r="BA27" i="5"/>
  <c r="BG106" i="5"/>
  <c r="BG38" i="5"/>
  <c r="BG96" i="5"/>
  <c r="BG95" i="5"/>
  <c r="BG27" i="5"/>
  <c r="BG25" i="5"/>
  <c r="AF50" i="6" s="1"/>
  <c r="BG97" i="5"/>
  <c r="BG90" i="5"/>
  <c r="BG104" i="5"/>
  <c r="BR27" i="5"/>
  <c r="BR95" i="5"/>
  <c r="BR106" i="5"/>
  <c r="BR25" i="5"/>
  <c r="AQ50" i="6" s="1"/>
  <c r="BR104" i="5"/>
  <c r="BR90" i="5"/>
  <c r="BR97" i="5"/>
  <c r="BR96" i="5"/>
  <c r="BR38" i="5"/>
  <c r="BS27" i="5"/>
  <c r="BS90" i="5"/>
  <c r="BS25" i="5"/>
  <c r="AR50" i="6" s="1"/>
  <c r="BS104" i="5"/>
  <c r="BS97" i="5"/>
  <c r="BS38" i="5"/>
  <c r="BS96" i="5"/>
  <c r="BS106" i="5"/>
  <c r="BS95" i="5"/>
  <c r="AY95" i="5"/>
  <c r="AY38" i="5"/>
  <c r="AY96" i="5"/>
  <c r="AY106" i="5"/>
  <c r="AY27" i="5"/>
  <c r="AY104" i="5"/>
  <c r="AY90" i="5"/>
  <c r="AY25" i="5"/>
  <c r="AY97" i="5"/>
  <c r="BJ27" i="5"/>
  <c r="BJ95" i="5"/>
  <c r="BJ106" i="5"/>
  <c r="BJ25" i="5"/>
  <c r="AI50" i="6" s="1"/>
  <c r="BJ104" i="5"/>
  <c r="BJ90" i="5"/>
  <c r="BJ97" i="5"/>
  <c r="BJ38" i="5"/>
  <c r="BJ96" i="5"/>
  <c r="BX25" i="5"/>
  <c r="AW50" i="6" s="1"/>
  <c r="AW113" i="6" s="1"/>
  <c r="BX104" i="5"/>
  <c r="BX90" i="5"/>
  <c r="BX97" i="5"/>
  <c r="BX38" i="5"/>
  <c r="BX96" i="5"/>
  <c r="BX95" i="5"/>
  <c r="BX27" i="5"/>
  <c r="BX106" i="5"/>
  <c r="BV90" i="5"/>
  <c r="BV97" i="5"/>
  <c r="BV38" i="5"/>
  <c r="BV96" i="5"/>
  <c r="BV27" i="5"/>
  <c r="BV95" i="5"/>
  <c r="BV106" i="5"/>
  <c r="BV104" i="5"/>
  <c r="BV25" i="5"/>
  <c r="AU50" i="6" s="1"/>
  <c r="BU27" i="5"/>
  <c r="BU95" i="5"/>
  <c r="BU106" i="5"/>
  <c r="BU25" i="5"/>
  <c r="AT50" i="6" s="1"/>
  <c r="BU104" i="5"/>
  <c r="BU96" i="5"/>
  <c r="BU90" i="5"/>
  <c r="BU38" i="5"/>
  <c r="BU97" i="5"/>
  <c r="BB27" i="5"/>
  <c r="BB95" i="5"/>
  <c r="BB106" i="5"/>
  <c r="BB25" i="5"/>
  <c r="AA50" i="6" s="1"/>
  <c r="BB104" i="5"/>
  <c r="BB90" i="5"/>
  <c r="BB97" i="5"/>
  <c r="BB96" i="5"/>
  <c r="BB38" i="5"/>
  <c r="BP25" i="5"/>
  <c r="AO50" i="6" s="1"/>
  <c r="BP104" i="5"/>
  <c r="BP90" i="5"/>
  <c r="BP97" i="5"/>
  <c r="BP38" i="5"/>
  <c r="BP96" i="5"/>
  <c r="BP27" i="5"/>
  <c r="BP106" i="5"/>
  <c r="BP95" i="5"/>
  <c r="BN90" i="5"/>
  <c r="BN97" i="5"/>
  <c r="BN38" i="5"/>
  <c r="BN96" i="5"/>
  <c r="BN27" i="5"/>
  <c r="BN95" i="5"/>
  <c r="BN106" i="5"/>
  <c r="BN25" i="5"/>
  <c r="AM50" i="6" s="1"/>
  <c r="BN104" i="5"/>
  <c r="AV38" i="5"/>
  <c r="AV27" i="5"/>
  <c r="AV95" i="5"/>
  <c r="AV96" i="5" s="1"/>
  <c r="AV104" i="5" s="1"/>
  <c r="AV25" i="5"/>
  <c r="U50" i="6" s="1"/>
  <c r="BK27" i="5"/>
  <c r="BK97" i="5"/>
  <c r="BK25" i="5"/>
  <c r="AJ50" i="6" s="1"/>
  <c r="BK104" i="5"/>
  <c r="BK90" i="5"/>
  <c r="BK38" i="5"/>
  <c r="BK106" i="5"/>
  <c r="BK95" i="5"/>
  <c r="BK96" i="5"/>
  <c r="BH25" i="5"/>
  <c r="AG50" i="6" s="1"/>
  <c r="BH104" i="5"/>
  <c r="BH90" i="5"/>
  <c r="BH97" i="5"/>
  <c r="BH38" i="5"/>
  <c r="BH96" i="5"/>
  <c r="BH95" i="5"/>
  <c r="BH27" i="5"/>
  <c r="BH106" i="5"/>
  <c r="BF90" i="5"/>
  <c r="BF97" i="5"/>
  <c r="BF38" i="5"/>
  <c r="BF96" i="5"/>
  <c r="BF27" i="5"/>
  <c r="BF95" i="5"/>
  <c r="BF106" i="5"/>
  <c r="BF104" i="5"/>
  <c r="BF25" i="5"/>
  <c r="AE50" i="6" s="1"/>
  <c r="BC27" i="5"/>
  <c r="BC25" i="5"/>
  <c r="AB50" i="6" s="1"/>
  <c r="BC104" i="5"/>
  <c r="BC90" i="5"/>
  <c r="BC97" i="5"/>
  <c r="BC95" i="5"/>
  <c r="BC96" i="5"/>
  <c r="BC38" i="5"/>
  <c r="BC106" i="5"/>
  <c r="BT38" i="5"/>
  <c r="BT96" i="5"/>
  <c r="BT27" i="5"/>
  <c r="BT95" i="5"/>
  <c r="BT106" i="5"/>
  <c r="BT25" i="5"/>
  <c r="AS50" i="6" s="1"/>
  <c r="BT104" i="5"/>
  <c r="BT97" i="5"/>
  <c r="BT90" i="5"/>
  <c r="BY25" i="5"/>
  <c r="BY90" i="5"/>
  <c r="BY97" i="5"/>
  <c r="BY38" i="5"/>
  <c r="BY96" i="5"/>
  <c r="BY106" i="5"/>
  <c r="BY95" i="5"/>
  <c r="BY104" i="5"/>
  <c r="BY27" i="5"/>
  <c r="AZ25" i="5"/>
  <c r="Y50" i="6" s="1"/>
  <c r="AZ104" i="5"/>
  <c r="AZ90" i="5"/>
  <c r="AZ97" i="5"/>
  <c r="AZ38" i="5"/>
  <c r="AZ96" i="5"/>
  <c r="AZ106" i="5"/>
  <c r="AZ27" i="5"/>
  <c r="AZ95" i="5"/>
  <c r="AX38" i="5"/>
  <c r="AX27" i="5"/>
  <c r="AX95" i="5"/>
  <c r="AX96" i="5" s="1"/>
  <c r="AX104" i="5" s="1"/>
  <c r="AX25" i="5"/>
  <c r="W50" i="6" s="1"/>
  <c r="BD38" i="5"/>
  <c r="BD96" i="5"/>
  <c r="BD27" i="5"/>
  <c r="BD95" i="5"/>
  <c r="BD106" i="5"/>
  <c r="BD25" i="5"/>
  <c r="AC50" i="6" s="1"/>
  <c r="BD104" i="5"/>
  <c r="BD90" i="5"/>
  <c r="BD97" i="5"/>
  <c r="BM27" i="5"/>
  <c r="BM95" i="5"/>
  <c r="BM106" i="5"/>
  <c r="BM104" i="5"/>
  <c r="BM25" i="5"/>
  <c r="AL50" i="6" s="1"/>
  <c r="BM96" i="5"/>
  <c r="BM38" i="5"/>
  <c r="BM97" i="5"/>
  <c r="BM90" i="5"/>
  <c r="BL38" i="5"/>
  <c r="BL96" i="5"/>
  <c r="BL27" i="5"/>
  <c r="BL95" i="5"/>
  <c r="BL106" i="5"/>
  <c r="BL25" i="5"/>
  <c r="AK50" i="6" s="1"/>
  <c r="BL104" i="5"/>
  <c r="BL90" i="5"/>
  <c r="BL97" i="5"/>
  <c r="BQ25" i="5"/>
  <c r="AP50" i="6" s="1"/>
  <c r="BQ38" i="5"/>
  <c r="BQ96" i="5"/>
  <c r="BQ90" i="5"/>
  <c r="BQ97" i="5"/>
  <c r="BQ104" i="5"/>
  <c r="BQ27" i="5"/>
  <c r="BQ106" i="5"/>
  <c r="BQ95" i="5"/>
  <c r="BW95" i="5"/>
  <c r="BW38" i="5"/>
  <c r="BW96" i="5"/>
  <c r="BW27" i="5"/>
  <c r="BW90" i="5"/>
  <c r="BW104" i="5"/>
  <c r="BW25" i="5"/>
  <c r="AV50" i="6" s="1"/>
  <c r="BW106" i="5"/>
  <c r="BW97" i="5"/>
  <c r="AW38" i="5"/>
  <c r="AW27" i="5"/>
  <c r="AW95" i="5"/>
  <c r="AW96" i="5" s="1"/>
  <c r="AW104" i="5" s="1"/>
  <c r="AW25" i="5"/>
  <c r="V50" i="6" s="1"/>
  <c r="X50" i="6"/>
  <c r="AU149" i="5"/>
  <c r="AU152" i="5" s="1"/>
  <c r="AU111" i="5"/>
  <c r="T3" i="1"/>
  <c r="AV90" i="5" l="1"/>
  <c r="AV97" i="5" s="1"/>
  <c r="AV106" i="5" s="1"/>
  <c r="AW90" i="5"/>
  <c r="AW97" i="5" s="1"/>
  <c r="AW106" i="5" s="1"/>
  <c r="AX90" i="5"/>
  <c r="AX97" i="5" s="1"/>
  <c r="AX106" i="5" s="1"/>
  <c r="BU142" i="5"/>
  <c r="BU156" i="5"/>
  <c r="BU137" i="5"/>
  <c r="BU114" i="5"/>
  <c r="AT150" i="6" s="1"/>
  <c r="AT176" i="6" s="1"/>
  <c r="AT178" i="6" s="1"/>
  <c r="BU144" i="5"/>
  <c r="BU143" i="5"/>
  <c r="BR137" i="5"/>
  <c r="BR144" i="5"/>
  <c r="BR114" i="5"/>
  <c r="AQ150" i="6" s="1"/>
  <c r="AQ176" i="6" s="1"/>
  <c r="AQ178" i="6" s="1"/>
  <c r="BR143" i="5"/>
  <c r="BR156" i="5"/>
  <c r="BR142" i="5"/>
  <c r="BE142" i="5"/>
  <c r="BE137" i="5"/>
  <c r="BE156" i="5"/>
  <c r="BE114" i="5"/>
  <c r="BE144" i="5"/>
  <c r="BE143" i="5"/>
  <c r="BT142" i="5"/>
  <c r="BT137" i="5"/>
  <c r="BT144" i="5"/>
  <c r="BT156" i="5"/>
  <c r="BT143" i="5"/>
  <c r="BT114" i="5"/>
  <c r="AS150" i="6" s="1"/>
  <c r="AS176" i="6" s="1"/>
  <c r="AS178" i="6" s="1"/>
  <c r="BJ137" i="5"/>
  <c r="BJ144" i="5"/>
  <c r="BJ114" i="5"/>
  <c r="AI150" i="6" s="1"/>
  <c r="AI176" i="6" s="1"/>
  <c r="AI178" i="6" s="1"/>
  <c r="BJ143" i="5"/>
  <c r="BJ156" i="5"/>
  <c r="BJ142" i="5"/>
  <c r="BM114" i="5"/>
  <c r="AL150" i="6" s="1"/>
  <c r="AL176" i="6" s="1"/>
  <c r="AL178" i="6" s="1"/>
  <c r="BM144" i="5"/>
  <c r="BM143" i="5"/>
  <c r="BM142" i="5"/>
  <c r="BM137" i="5"/>
  <c r="BM156" i="5"/>
  <c r="BX137" i="5"/>
  <c r="BX144" i="5"/>
  <c r="BX114" i="5"/>
  <c r="AW150" i="6" s="1"/>
  <c r="AW176" i="6" s="1"/>
  <c r="AW178" i="6" s="1"/>
  <c r="BX143" i="5"/>
  <c r="BX156" i="5"/>
  <c r="BX142" i="5"/>
  <c r="BW142" i="5"/>
  <c r="BW143" i="5"/>
  <c r="BW137" i="5"/>
  <c r="BW156" i="5"/>
  <c r="BW114" i="5"/>
  <c r="AV150" i="6" s="1"/>
  <c r="AV176" i="6" s="1"/>
  <c r="AV178" i="6" s="1"/>
  <c r="BW144" i="5"/>
  <c r="BV114" i="5"/>
  <c r="AU150" i="6" s="1"/>
  <c r="AU176" i="6" s="1"/>
  <c r="AU178" i="6" s="1"/>
  <c r="BV143" i="5"/>
  <c r="BV156" i="5"/>
  <c r="BV142" i="5"/>
  <c r="BV137" i="5"/>
  <c r="BV144" i="5"/>
  <c r="BL142" i="5"/>
  <c r="BL137" i="5"/>
  <c r="BL144" i="5"/>
  <c r="BL143" i="5"/>
  <c r="BL156" i="5"/>
  <c r="BL114" i="5"/>
  <c r="AK150" i="6" s="1"/>
  <c r="AK176" i="6" s="1"/>
  <c r="AK178" i="6" s="1"/>
  <c r="BQ114" i="5"/>
  <c r="AP150" i="6" s="1"/>
  <c r="AP176" i="6" s="1"/>
  <c r="AP178" i="6" s="1"/>
  <c r="BQ143" i="5"/>
  <c r="BQ156" i="5"/>
  <c r="BQ137" i="5"/>
  <c r="BQ144" i="5"/>
  <c r="BQ142" i="5"/>
  <c r="AW114" i="5"/>
  <c r="V150" i="6" s="1"/>
  <c r="AW142" i="5"/>
  <c r="AW143" i="5" s="1"/>
  <c r="AW156" i="5" s="1"/>
  <c r="AW137" i="5"/>
  <c r="BP137" i="5"/>
  <c r="BP144" i="5"/>
  <c r="BP114" i="5"/>
  <c r="AO150" i="6" s="1"/>
  <c r="AO176" i="6" s="1"/>
  <c r="AO178" i="6" s="1"/>
  <c r="BP143" i="5"/>
  <c r="BP156" i="5"/>
  <c r="BP142" i="5"/>
  <c r="BO142" i="5"/>
  <c r="BO137" i="5"/>
  <c r="BO156" i="5"/>
  <c r="BO114" i="5"/>
  <c r="AN150" i="6" s="1"/>
  <c r="AN176" i="6" s="1"/>
  <c r="AN178" i="6" s="1"/>
  <c r="BO144" i="5"/>
  <c r="BO143" i="5"/>
  <c r="BN114" i="5"/>
  <c r="AM150" i="6" s="1"/>
  <c r="AM176" i="6" s="1"/>
  <c r="AM178" i="6" s="1"/>
  <c r="BN143" i="5"/>
  <c r="BN156" i="5"/>
  <c r="BN142" i="5"/>
  <c r="BN144" i="5"/>
  <c r="BN137" i="5"/>
  <c r="BD142" i="5"/>
  <c r="BD143" i="5" s="1"/>
  <c r="BD156" i="5" s="1"/>
  <c r="BD137" i="5"/>
  <c r="BD114" i="5"/>
  <c r="BY114" i="5"/>
  <c r="BY143" i="5"/>
  <c r="BY156" i="5"/>
  <c r="BY144" i="5"/>
  <c r="BY142" i="5"/>
  <c r="BY137" i="5"/>
  <c r="BS137" i="5"/>
  <c r="BS144" i="5"/>
  <c r="BS156" i="5"/>
  <c r="BS114" i="5"/>
  <c r="AR150" i="6" s="1"/>
  <c r="AR176" i="6" s="1"/>
  <c r="AR178" i="6" s="1"/>
  <c r="BS143" i="5"/>
  <c r="BS142" i="5"/>
  <c r="BA114" i="5"/>
  <c r="BA137" i="5"/>
  <c r="BA142" i="5"/>
  <c r="BA143" i="5" s="1"/>
  <c r="BA156" i="5" s="1"/>
  <c r="BH137" i="5"/>
  <c r="BH144" i="5"/>
  <c r="BH114" i="5"/>
  <c r="AG150" i="6" s="1"/>
  <c r="AG176" i="6" s="1"/>
  <c r="AG178" i="6" s="1"/>
  <c r="BH143" i="5"/>
  <c r="BH156" i="5"/>
  <c r="BH142" i="5"/>
  <c r="BG142" i="5"/>
  <c r="BG143" i="5"/>
  <c r="BG137" i="5"/>
  <c r="BG156" i="5"/>
  <c r="BG114" i="5"/>
  <c r="AF150" i="6" s="1"/>
  <c r="BG144" i="5"/>
  <c r="BF114" i="5"/>
  <c r="BF143" i="5"/>
  <c r="BF156" i="5"/>
  <c r="BF142" i="5"/>
  <c r="BF137" i="5"/>
  <c r="BF144" i="5"/>
  <c r="AV142" i="5"/>
  <c r="AV143" i="5" s="1"/>
  <c r="AV137" i="5"/>
  <c r="AV114" i="5"/>
  <c r="BI114" i="5"/>
  <c r="AH150" i="6" s="1"/>
  <c r="AH176" i="6" s="1"/>
  <c r="AH178" i="6" s="1"/>
  <c r="BI143" i="5"/>
  <c r="BI156" i="5"/>
  <c r="BI144" i="5"/>
  <c r="BI142" i="5"/>
  <c r="BI137" i="5"/>
  <c r="BC137" i="5"/>
  <c r="BC114" i="5"/>
  <c r="AB150" i="6" s="1"/>
  <c r="BC142" i="5"/>
  <c r="BC143" i="5" s="1"/>
  <c r="BC156" i="5" s="1"/>
  <c r="BK137" i="5"/>
  <c r="BK144" i="5"/>
  <c r="BK143" i="5"/>
  <c r="BK142" i="5"/>
  <c r="BK156" i="5"/>
  <c r="BK114" i="5"/>
  <c r="AJ150" i="6" s="1"/>
  <c r="AJ176" i="6" s="1"/>
  <c r="AJ178" i="6" s="1"/>
  <c r="AZ137" i="5"/>
  <c r="AZ114" i="5"/>
  <c r="AZ142" i="5"/>
  <c r="AZ143" i="5" s="1"/>
  <c r="AZ156" i="5" s="1"/>
  <c r="AY142" i="5"/>
  <c r="AY143" i="5" s="1"/>
  <c r="AY137" i="5"/>
  <c r="AY114" i="5"/>
  <c r="AX114" i="5"/>
  <c r="AX142" i="5"/>
  <c r="AX143" i="5" s="1"/>
  <c r="AX137" i="5"/>
  <c r="BB137" i="5"/>
  <c r="BB114" i="5"/>
  <c r="BB142" i="5"/>
  <c r="BB143" i="5" s="1"/>
  <c r="AH113" i="6"/>
  <c r="AH40" i="6"/>
  <c r="AA113" i="6"/>
  <c r="AA40" i="6"/>
  <c r="AJ113" i="6"/>
  <c r="AJ40" i="6"/>
  <c r="AM113" i="6"/>
  <c r="AM40" i="6"/>
  <c r="AD113" i="6"/>
  <c r="AD40" i="6"/>
  <c r="AR113" i="6"/>
  <c r="AR40" i="6"/>
  <c r="AK113" i="6"/>
  <c r="AK40" i="6"/>
  <c r="AU113" i="6"/>
  <c r="AU40" i="6"/>
  <c r="AN113" i="6"/>
  <c r="AN40" i="6"/>
  <c r="AE113" i="6"/>
  <c r="AE40" i="6"/>
  <c r="AC113" i="6"/>
  <c r="AC40" i="6"/>
  <c r="AT113" i="6"/>
  <c r="AT40" i="6"/>
  <c r="AS113" i="6"/>
  <c r="AS40" i="6"/>
  <c r="AV113" i="6"/>
  <c r="AV40" i="6"/>
  <c r="AI113" i="6"/>
  <c r="AI40" i="6"/>
  <c r="AQ113" i="6"/>
  <c r="AQ40" i="6"/>
  <c r="AB113" i="6"/>
  <c r="AB40" i="6"/>
  <c r="AL113" i="6"/>
  <c r="AL40" i="6"/>
  <c r="AO113" i="6"/>
  <c r="AO40" i="6"/>
  <c r="AG113" i="6"/>
  <c r="AG40" i="6"/>
  <c r="AF113" i="6"/>
  <c r="AF40" i="6"/>
  <c r="AP113" i="6"/>
  <c r="AP40" i="6"/>
  <c r="AM52" i="6"/>
  <c r="AM60" i="6"/>
  <c r="AM68" i="6"/>
  <c r="AM57" i="6"/>
  <c r="AM65" i="6"/>
  <c r="AM71" i="6"/>
  <c r="AM74" i="6"/>
  <c r="AM80" i="6"/>
  <c r="AM55" i="6"/>
  <c r="AM51" i="6"/>
  <c r="AM58" i="6"/>
  <c r="AM72" i="6"/>
  <c r="AM77" i="6"/>
  <c r="AM82" i="6"/>
  <c r="AM59" i="6"/>
  <c r="AM69" i="6"/>
  <c r="AM73" i="6"/>
  <c r="AM93" i="6"/>
  <c r="AM66" i="6"/>
  <c r="AM70" i="6"/>
  <c r="AM79" i="6"/>
  <c r="AM87" i="6"/>
  <c r="AM62" i="6"/>
  <c r="AM92" i="6"/>
  <c r="AM81" i="6"/>
  <c r="AM90" i="6"/>
  <c r="AM98" i="6"/>
  <c r="AM53" i="6"/>
  <c r="AM63" i="6"/>
  <c r="AM67" i="6"/>
  <c r="AM76" i="6"/>
  <c r="AM84" i="6"/>
  <c r="AM91" i="6"/>
  <c r="AM100" i="6"/>
  <c r="AM56" i="6"/>
  <c r="AM97" i="6"/>
  <c r="AM88" i="6"/>
  <c r="AM94" i="6"/>
  <c r="AM102" i="6"/>
  <c r="AM89" i="6"/>
  <c r="AM99" i="6"/>
  <c r="AM54" i="6"/>
  <c r="AM83" i="6"/>
  <c r="AM86" i="6"/>
  <c r="AM96" i="6"/>
  <c r="AM108" i="6"/>
  <c r="AM75" i="6"/>
  <c r="AM85" i="6"/>
  <c r="AM110" i="6"/>
  <c r="AM61" i="6"/>
  <c r="AM78" i="6"/>
  <c r="AM107" i="6"/>
  <c r="AM64" i="6"/>
  <c r="AM104" i="6"/>
  <c r="AM112" i="6"/>
  <c r="AM109" i="6"/>
  <c r="AM103" i="6"/>
  <c r="AM106" i="6"/>
  <c r="AM105" i="6"/>
  <c r="AM111" i="6"/>
  <c r="AM101" i="6"/>
  <c r="AM95" i="6"/>
  <c r="AM114" i="6"/>
  <c r="AA56" i="6"/>
  <c r="AA64" i="6"/>
  <c r="AA72" i="6"/>
  <c r="AA53" i="6"/>
  <c r="AA58" i="6"/>
  <c r="AA70" i="6"/>
  <c r="AA74" i="6"/>
  <c r="AA57" i="6"/>
  <c r="AA61" i="6"/>
  <c r="AA60" i="6"/>
  <c r="AA67" i="6"/>
  <c r="AA73" i="6"/>
  <c r="AA84" i="6"/>
  <c r="AA77" i="6"/>
  <c r="AA81" i="6"/>
  <c r="AA52" i="6"/>
  <c r="AA59" i="6"/>
  <c r="AA78" i="6"/>
  <c r="AA51" i="6"/>
  <c r="AA71" i="6"/>
  <c r="AA89" i="6"/>
  <c r="AA54" i="6"/>
  <c r="AA68" i="6"/>
  <c r="AA82" i="6"/>
  <c r="AA91" i="6"/>
  <c r="AA76" i="6"/>
  <c r="AA83" i="6"/>
  <c r="AA85" i="6"/>
  <c r="AA88" i="6"/>
  <c r="AA63" i="6"/>
  <c r="AA86" i="6"/>
  <c r="AA90" i="6"/>
  <c r="AA102" i="6"/>
  <c r="AA62" i="6"/>
  <c r="AA87" i="6"/>
  <c r="AA96" i="6"/>
  <c r="AA55" i="6"/>
  <c r="AA66" i="6"/>
  <c r="AA101" i="6"/>
  <c r="AA65" i="6"/>
  <c r="AA69" i="6"/>
  <c r="AA79" i="6"/>
  <c r="AA98" i="6"/>
  <c r="AA92" i="6"/>
  <c r="AA95" i="6"/>
  <c r="AA104" i="6"/>
  <c r="AA112" i="6"/>
  <c r="AA80" i="6"/>
  <c r="AA106" i="6"/>
  <c r="AA114" i="6"/>
  <c r="AA103" i="6"/>
  <c r="AA111" i="6"/>
  <c r="AA108" i="6"/>
  <c r="AA99" i="6"/>
  <c r="AA105" i="6"/>
  <c r="AA94" i="6"/>
  <c r="AA100" i="6"/>
  <c r="AA109" i="6"/>
  <c r="AA107" i="6"/>
  <c r="AA110" i="6"/>
  <c r="AA93" i="6"/>
  <c r="AA97" i="6"/>
  <c r="AA75" i="6"/>
  <c r="AD57" i="6"/>
  <c r="AD65" i="6"/>
  <c r="AD73" i="6"/>
  <c r="AD54" i="6"/>
  <c r="AD59" i="6"/>
  <c r="AD68" i="6"/>
  <c r="AD75" i="6"/>
  <c r="AD58" i="6"/>
  <c r="AD71" i="6"/>
  <c r="AD85" i="6"/>
  <c r="AD53" i="6"/>
  <c r="AD60" i="6"/>
  <c r="AD82" i="6"/>
  <c r="AD56" i="6"/>
  <c r="AD74" i="6"/>
  <c r="AD79" i="6"/>
  <c r="AD66" i="6"/>
  <c r="AD70" i="6"/>
  <c r="AD80" i="6"/>
  <c r="AD90" i="6"/>
  <c r="AD67" i="6"/>
  <c r="AD77" i="6"/>
  <c r="AD92" i="6"/>
  <c r="AD55" i="6"/>
  <c r="AD63" i="6"/>
  <c r="AD72" i="6"/>
  <c r="AD78" i="6"/>
  <c r="AD89" i="6"/>
  <c r="AD95" i="6"/>
  <c r="AD97" i="6"/>
  <c r="AD62" i="6"/>
  <c r="AD83" i="6"/>
  <c r="AD52" i="6"/>
  <c r="AD81" i="6"/>
  <c r="AD87" i="6"/>
  <c r="AD91" i="6"/>
  <c r="AD93" i="6"/>
  <c r="AD94" i="6"/>
  <c r="AD99" i="6"/>
  <c r="AD61" i="6"/>
  <c r="AD96" i="6"/>
  <c r="AD69" i="6"/>
  <c r="AD105" i="6"/>
  <c r="AD51" i="6"/>
  <c r="AD107" i="6"/>
  <c r="AD76" i="6"/>
  <c r="AD84" i="6"/>
  <c r="AD88" i="6"/>
  <c r="AD98" i="6"/>
  <c r="AD101" i="6"/>
  <c r="AD104" i="6"/>
  <c r="AD112" i="6"/>
  <c r="AD109" i="6"/>
  <c r="AD64" i="6"/>
  <c r="AD106" i="6"/>
  <c r="AD114" i="6"/>
  <c r="AD86" i="6"/>
  <c r="AD111" i="6"/>
  <c r="AD100" i="6"/>
  <c r="AD110" i="6"/>
  <c r="AD108" i="6"/>
  <c r="AD102" i="6"/>
  <c r="AD103" i="6"/>
  <c r="AR51" i="6"/>
  <c r="AR59" i="6"/>
  <c r="AR67" i="6"/>
  <c r="AR56" i="6"/>
  <c r="AR53" i="6"/>
  <c r="AR57" i="6"/>
  <c r="AR65" i="6"/>
  <c r="AR71" i="6"/>
  <c r="AR52" i="6"/>
  <c r="AR55" i="6"/>
  <c r="AR62" i="6"/>
  <c r="AR68" i="6"/>
  <c r="AR73" i="6"/>
  <c r="AR76" i="6"/>
  <c r="AR79" i="6"/>
  <c r="AR75" i="6"/>
  <c r="AR81" i="6"/>
  <c r="AR72" i="6"/>
  <c r="AR74" i="6"/>
  <c r="AR80" i="6"/>
  <c r="AR85" i="6"/>
  <c r="AR92" i="6"/>
  <c r="AR60" i="6"/>
  <c r="AR69" i="6"/>
  <c r="AR77" i="6"/>
  <c r="AR84" i="6"/>
  <c r="AR86" i="6"/>
  <c r="AR78" i="6"/>
  <c r="AR91" i="6"/>
  <c r="AR83" i="6"/>
  <c r="AR97" i="6"/>
  <c r="AR54" i="6"/>
  <c r="AR64" i="6"/>
  <c r="AR99" i="6"/>
  <c r="AR90" i="6"/>
  <c r="AR96" i="6"/>
  <c r="AR63" i="6"/>
  <c r="AR101" i="6"/>
  <c r="AR82" i="6"/>
  <c r="AR87" i="6"/>
  <c r="AR98" i="6"/>
  <c r="AR58" i="6"/>
  <c r="AR102" i="6"/>
  <c r="AR107" i="6"/>
  <c r="AR66" i="6"/>
  <c r="AR109" i="6"/>
  <c r="AR114" i="6"/>
  <c r="AR93" i="6"/>
  <c r="AR106" i="6"/>
  <c r="AR70" i="6"/>
  <c r="AR103" i="6"/>
  <c r="AR111" i="6"/>
  <c r="AR94" i="6"/>
  <c r="AR108" i="6"/>
  <c r="AR88" i="6"/>
  <c r="AR100" i="6"/>
  <c r="AR95" i="6"/>
  <c r="AR104" i="6"/>
  <c r="AR61" i="6"/>
  <c r="AR89" i="6"/>
  <c r="AR110" i="6"/>
  <c r="AR112" i="6"/>
  <c r="AR105" i="6"/>
  <c r="AR39" i="6"/>
  <c r="AK54" i="6"/>
  <c r="AK62" i="6"/>
  <c r="AK70" i="6"/>
  <c r="AK51" i="6"/>
  <c r="AK59" i="6"/>
  <c r="AK58" i="6"/>
  <c r="AK64" i="6"/>
  <c r="AK53" i="6"/>
  <c r="AK57" i="6"/>
  <c r="AK66" i="6"/>
  <c r="AK72" i="6"/>
  <c r="AK56" i="6"/>
  <c r="AK60" i="6"/>
  <c r="AK61" i="6"/>
  <c r="AK67" i="6"/>
  <c r="AK76" i="6"/>
  <c r="AK55" i="6"/>
  <c r="AK77" i="6"/>
  <c r="AK82" i="6"/>
  <c r="AK73" i="6"/>
  <c r="AK79" i="6"/>
  <c r="AK68" i="6"/>
  <c r="AK69" i="6"/>
  <c r="AK71" i="6"/>
  <c r="AK84" i="6"/>
  <c r="AK65" i="6"/>
  <c r="AK87" i="6"/>
  <c r="AK83" i="6"/>
  <c r="AK89" i="6"/>
  <c r="AK75" i="6"/>
  <c r="AK85" i="6"/>
  <c r="AK86" i="6"/>
  <c r="AK91" i="6"/>
  <c r="AK100" i="6"/>
  <c r="AK88" i="6"/>
  <c r="AK94" i="6"/>
  <c r="AK80" i="6"/>
  <c r="AK92" i="6"/>
  <c r="AK99" i="6"/>
  <c r="AK96" i="6"/>
  <c r="AK52" i="6"/>
  <c r="AK78" i="6"/>
  <c r="AK101" i="6"/>
  <c r="AK110" i="6"/>
  <c r="AK104" i="6"/>
  <c r="AK112" i="6"/>
  <c r="AK63" i="6"/>
  <c r="AK90" i="6"/>
  <c r="AK97" i="6"/>
  <c r="AK102" i="6"/>
  <c r="AK109" i="6"/>
  <c r="AK106" i="6"/>
  <c r="AK114" i="6"/>
  <c r="AK74" i="6"/>
  <c r="AK95" i="6"/>
  <c r="AK98" i="6"/>
  <c r="AK103" i="6"/>
  <c r="AK111" i="6"/>
  <c r="AK81" i="6"/>
  <c r="AK107" i="6"/>
  <c r="AK105" i="6"/>
  <c r="AK108" i="6"/>
  <c r="AK93" i="6"/>
  <c r="AU52" i="6"/>
  <c r="AU60" i="6"/>
  <c r="AU68" i="6"/>
  <c r="AU57" i="6"/>
  <c r="AU54" i="6"/>
  <c r="AU58" i="6"/>
  <c r="AU63" i="6"/>
  <c r="AU69" i="6"/>
  <c r="AU53" i="6"/>
  <c r="AU71" i="6"/>
  <c r="AU56" i="6"/>
  <c r="AU66" i="6"/>
  <c r="AU72" i="6"/>
  <c r="AU74" i="6"/>
  <c r="AU61" i="6"/>
  <c r="AU62" i="6"/>
  <c r="AU64" i="6"/>
  <c r="AU65" i="6"/>
  <c r="AU80" i="6"/>
  <c r="AU73" i="6"/>
  <c r="AU77" i="6"/>
  <c r="AU59" i="6"/>
  <c r="AU76" i="6"/>
  <c r="AU82" i="6"/>
  <c r="AU55" i="6"/>
  <c r="AU67" i="6"/>
  <c r="AU93" i="6"/>
  <c r="AU85" i="6"/>
  <c r="AU87" i="6"/>
  <c r="AU92" i="6"/>
  <c r="AU70" i="6"/>
  <c r="AU98" i="6"/>
  <c r="AU51" i="6"/>
  <c r="AU81" i="6"/>
  <c r="AU83" i="6"/>
  <c r="AU89" i="6"/>
  <c r="AU100" i="6"/>
  <c r="AU97" i="6"/>
  <c r="AU75" i="6"/>
  <c r="AU79" i="6"/>
  <c r="AU86" i="6"/>
  <c r="AU94" i="6"/>
  <c r="AU102" i="6"/>
  <c r="AU84" i="6"/>
  <c r="AU90" i="6"/>
  <c r="AU99" i="6"/>
  <c r="AU88" i="6"/>
  <c r="AU108" i="6"/>
  <c r="AU110" i="6"/>
  <c r="AU96" i="6"/>
  <c r="AU107" i="6"/>
  <c r="AU91" i="6"/>
  <c r="AU104" i="6"/>
  <c r="AU112" i="6"/>
  <c r="AU78" i="6"/>
  <c r="AU101" i="6"/>
  <c r="AU109" i="6"/>
  <c r="AU105" i="6"/>
  <c r="AU111" i="6"/>
  <c r="AU114" i="6"/>
  <c r="AU95" i="6"/>
  <c r="AU103" i="6"/>
  <c r="AU106" i="6"/>
  <c r="AU39" i="6"/>
  <c r="AN55" i="6"/>
  <c r="AN63" i="6"/>
  <c r="AN71" i="6"/>
  <c r="AN52" i="6"/>
  <c r="AN60" i="6"/>
  <c r="AN59" i="6"/>
  <c r="AN62" i="6"/>
  <c r="AN68" i="6"/>
  <c r="AN73" i="6"/>
  <c r="AN54" i="6"/>
  <c r="AN58" i="6"/>
  <c r="AN64" i="6"/>
  <c r="AN70" i="6"/>
  <c r="AN57" i="6"/>
  <c r="AN65" i="6"/>
  <c r="AN77" i="6"/>
  <c r="AN83" i="6"/>
  <c r="AN74" i="6"/>
  <c r="AN80" i="6"/>
  <c r="AN85" i="6"/>
  <c r="AN81" i="6"/>
  <c r="AN88" i="6"/>
  <c r="AN61" i="6"/>
  <c r="AN76" i="6"/>
  <c r="AN78" i="6"/>
  <c r="AN90" i="6"/>
  <c r="AN51" i="6"/>
  <c r="AN66" i="6"/>
  <c r="AN79" i="6"/>
  <c r="AN87" i="6"/>
  <c r="AN69" i="6"/>
  <c r="AN86" i="6"/>
  <c r="AN101" i="6"/>
  <c r="AN72" i="6"/>
  <c r="AN75" i="6"/>
  <c r="AN95" i="6"/>
  <c r="AN53" i="6"/>
  <c r="AN67" i="6"/>
  <c r="AN82" i="6"/>
  <c r="AN84" i="6"/>
  <c r="AN91" i="6"/>
  <c r="AN93" i="6"/>
  <c r="AN100" i="6"/>
  <c r="AN56" i="6"/>
  <c r="AN97" i="6"/>
  <c r="AN92" i="6"/>
  <c r="AN94" i="6"/>
  <c r="AN103" i="6"/>
  <c r="AN111" i="6"/>
  <c r="AN105" i="6"/>
  <c r="AN110" i="6"/>
  <c r="AN89" i="6"/>
  <c r="AN107" i="6"/>
  <c r="AN102" i="6"/>
  <c r="AN104" i="6"/>
  <c r="AN112" i="6"/>
  <c r="AN114" i="6"/>
  <c r="AN96" i="6"/>
  <c r="AN106" i="6"/>
  <c r="AN109" i="6"/>
  <c r="AN98" i="6"/>
  <c r="AN108" i="6"/>
  <c r="AN99" i="6"/>
  <c r="AN39" i="6"/>
  <c r="AC54" i="6"/>
  <c r="AC62" i="6"/>
  <c r="AC70" i="6"/>
  <c r="AC51" i="6"/>
  <c r="AC59" i="6"/>
  <c r="AC52" i="6"/>
  <c r="AC63" i="6"/>
  <c r="AC69" i="6"/>
  <c r="AC65" i="6"/>
  <c r="AC71" i="6"/>
  <c r="AC66" i="6"/>
  <c r="AC72" i="6"/>
  <c r="AC76" i="6"/>
  <c r="AC53" i="6"/>
  <c r="AC60" i="6"/>
  <c r="AC82" i="6"/>
  <c r="AC56" i="6"/>
  <c r="AC74" i="6"/>
  <c r="AC79" i="6"/>
  <c r="AC77" i="6"/>
  <c r="AC84" i="6"/>
  <c r="AC75" i="6"/>
  <c r="AC81" i="6"/>
  <c r="AC87" i="6"/>
  <c r="AC55" i="6"/>
  <c r="AC78" i="6"/>
  <c r="AC89" i="6"/>
  <c r="AC86" i="6"/>
  <c r="AC100" i="6"/>
  <c r="AC83" i="6"/>
  <c r="AC90" i="6"/>
  <c r="AC58" i="6"/>
  <c r="AC85" i="6"/>
  <c r="AC91" i="6"/>
  <c r="AC93" i="6"/>
  <c r="AC94" i="6"/>
  <c r="AC99" i="6"/>
  <c r="AC61" i="6"/>
  <c r="AC96" i="6"/>
  <c r="AC88" i="6"/>
  <c r="AC101" i="6"/>
  <c r="AC97" i="6"/>
  <c r="AC110" i="6"/>
  <c r="AC73" i="6"/>
  <c r="AC95" i="6"/>
  <c r="AC98" i="6"/>
  <c r="AC104" i="6"/>
  <c r="AC112" i="6"/>
  <c r="AC80" i="6"/>
  <c r="AC109" i="6"/>
  <c r="AC64" i="6"/>
  <c r="AC67" i="6"/>
  <c r="AC106" i="6"/>
  <c r="AC114" i="6"/>
  <c r="AC68" i="6"/>
  <c r="AC57" i="6"/>
  <c r="AC102" i="6"/>
  <c r="AC103" i="6"/>
  <c r="AC111" i="6"/>
  <c r="AC107" i="6"/>
  <c r="AC92" i="6"/>
  <c r="AC108" i="6"/>
  <c r="AC105" i="6"/>
  <c r="AT57" i="6"/>
  <c r="AT65" i="6"/>
  <c r="AT54" i="6"/>
  <c r="AT64" i="6"/>
  <c r="AT70" i="6"/>
  <c r="AT75" i="6"/>
  <c r="AT56" i="6"/>
  <c r="AT60" i="6"/>
  <c r="AT66" i="6"/>
  <c r="AT72" i="6"/>
  <c r="AT59" i="6"/>
  <c r="AT61" i="6"/>
  <c r="AT67" i="6"/>
  <c r="AT63" i="6"/>
  <c r="AT73" i="6"/>
  <c r="AT77" i="6"/>
  <c r="AT85" i="6"/>
  <c r="AT53" i="6"/>
  <c r="AT76" i="6"/>
  <c r="AT82" i="6"/>
  <c r="AT79" i="6"/>
  <c r="AT71" i="6"/>
  <c r="AT83" i="6"/>
  <c r="AT90" i="6"/>
  <c r="AT68" i="6"/>
  <c r="AT74" i="6"/>
  <c r="AT80" i="6"/>
  <c r="AT81" i="6"/>
  <c r="AT84" i="6"/>
  <c r="AT89" i="6"/>
  <c r="AT78" i="6"/>
  <c r="AT88" i="6"/>
  <c r="AT95" i="6"/>
  <c r="AT92" i="6"/>
  <c r="AT97" i="6"/>
  <c r="AT86" i="6"/>
  <c r="AT94" i="6"/>
  <c r="AT99" i="6"/>
  <c r="AT96" i="6"/>
  <c r="AT87" i="6"/>
  <c r="AT105" i="6"/>
  <c r="AT58" i="6"/>
  <c r="AT62" i="6"/>
  <c r="AT69" i="6"/>
  <c r="AT102" i="6"/>
  <c r="AT107" i="6"/>
  <c r="AT51" i="6"/>
  <c r="AT55" i="6"/>
  <c r="AT91" i="6"/>
  <c r="AT104" i="6"/>
  <c r="AT112" i="6"/>
  <c r="AT52" i="6"/>
  <c r="AT93" i="6"/>
  <c r="AT101" i="6"/>
  <c r="AT109" i="6"/>
  <c r="AT106" i="6"/>
  <c r="AT114" i="6"/>
  <c r="AT108" i="6"/>
  <c r="AT111" i="6"/>
  <c r="AT103" i="6"/>
  <c r="AT98" i="6"/>
  <c r="AT100" i="6"/>
  <c r="AT110" i="6"/>
  <c r="AT39" i="6"/>
  <c r="AH53" i="6"/>
  <c r="AH61" i="6"/>
  <c r="AH69" i="6"/>
  <c r="AH58" i="6"/>
  <c r="AH57" i="6"/>
  <c r="AH66" i="6"/>
  <c r="AH52" i="6"/>
  <c r="AH56" i="6"/>
  <c r="AH62" i="6"/>
  <c r="AH68" i="6"/>
  <c r="AH55" i="6"/>
  <c r="AH59" i="6"/>
  <c r="AH63" i="6"/>
  <c r="AH75" i="6"/>
  <c r="AH51" i="6"/>
  <c r="AH70" i="6"/>
  <c r="AH71" i="6"/>
  <c r="AH72" i="6"/>
  <c r="AH73" i="6"/>
  <c r="AH76" i="6"/>
  <c r="AH81" i="6"/>
  <c r="AH54" i="6"/>
  <c r="AH64" i="6"/>
  <c r="AH65" i="6"/>
  <c r="AH67" i="6"/>
  <c r="AH78" i="6"/>
  <c r="AH60" i="6"/>
  <c r="AH83" i="6"/>
  <c r="AH79" i="6"/>
  <c r="AH85" i="6"/>
  <c r="AH86" i="6"/>
  <c r="AH94" i="6"/>
  <c r="AH88" i="6"/>
  <c r="AH84" i="6"/>
  <c r="AH93" i="6"/>
  <c r="AH99" i="6"/>
  <c r="AH80" i="6"/>
  <c r="AH101" i="6"/>
  <c r="AH89" i="6"/>
  <c r="AH98" i="6"/>
  <c r="AH90" i="6"/>
  <c r="AH95" i="6"/>
  <c r="AH100" i="6"/>
  <c r="AH92" i="6"/>
  <c r="AH109" i="6"/>
  <c r="AH103" i="6"/>
  <c r="AH111" i="6"/>
  <c r="AH108" i="6"/>
  <c r="AH82" i="6"/>
  <c r="AH105" i="6"/>
  <c r="AH74" i="6"/>
  <c r="AH87" i="6"/>
  <c r="AH110" i="6"/>
  <c r="AH77" i="6"/>
  <c r="AH91" i="6"/>
  <c r="AH112" i="6"/>
  <c r="AH96" i="6"/>
  <c r="AH104" i="6"/>
  <c r="AH107" i="6"/>
  <c r="AH97" i="6"/>
  <c r="AH114" i="6"/>
  <c r="AH106" i="6"/>
  <c r="AH102" i="6"/>
  <c r="AJ51" i="6"/>
  <c r="AJ59" i="6"/>
  <c r="AJ67" i="6"/>
  <c r="AJ56" i="6"/>
  <c r="AJ70" i="6"/>
  <c r="AJ77" i="6"/>
  <c r="AJ60" i="6"/>
  <c r="AJ61" i="6"/>
  <c r="AJ73" i="6"/>
  <c r="AJ58" i="6"/>
  <c r="AJ79" i="6"/>
  <c r="AJ68" i="6"/>
  <c r="AJ69" i="6"/>
  <c r="AJ71" i="6"/>
  <c r="AJ72" i="6"/>
  <c r="AJ54" i="6"/>
  <c r="AJ62" i="6"/>
  <c r="AJ63" i="6"/>
  <c r="AJ64" i="6"/>
  <c r="AJ65" i="6"/>
  <c r="AJ66" i="6"/>
  <c r="AJ76" i="6"/>
  <c r="AJ81" i="6"/>
  <c r="AJ82" i="6"/>
  <c r="AJ92" i="6"/>
  <c r="AJ75" i="6"/>
  <c r="AJ85" i="6"/>
  <c r="AJ86" i="6"/>
  <c r="AJ52" i="6"/>
  <c r="AJ53" i="6"/>
  <c r="AJ80" i="6"/>
  <c r="AJ91" i="6"/>
  <c r="AJ74" i="6"/>
  <c r="AJ84" i="6"/>
  <c r="AJ87" i="6"/>
  <c r="AJ93" i="6"/>
  <c r="AJ97" i="6"/>
  <c r="AJ99" i="6"/>
  <c r="AJ96" i="6"/>
  <c r="AJ78" i="6"/>
  <c r="AJ89" i="6"/>
  <c r="AJ101" i="6"/>
  <c r="AJ55" i="6"/>
  <c r="AJ83" i="6"/>
  <c r="AJ98" i="6"/>
  <c r="AJ107" i="6"/>
  <c r="AJ90" i="6"/>
  <c r="AJ94" i="6"/>
  <c r="AJ102" i="6"/>
  <c r="AJ109" i="6"/>
  <c r="AJ100" i="6"/>
  <c r="AJ106" i="6"/>
  <c r="AJ114" i="6"/>
  <c r="AJ95" i="6"/>
  <c r="AJ103" i="6"/>
  <c r="AJ111" i="6"/>
  <c r="AJ57" i="6"/>
  <c r="AJ88" i="6"/>
  <c r="AJ108" i="6"/>
  <c r="AJ104" i="6"/>
  <c r="AJ112" i="6"/>
  <c r="AJ110" i="6"/>
  <c r="AJ105" i="6"/>
  <c r="AE52" i="6"/>
  <c r="AE60" i="6"/>
  <c r="AE68" i="6"/>
  <c r="AE57" i="6"/>
  <c r="AE56" i="6"/>
  <c r="AE62" i="6"/>
  <c r="AE51" i="6"/>
  <c r="AE55" i="6"/>
  <c r="AE64" i="6"/>
  <c r="AE70" i="6"/>
  <c r="AE54" i="6"/>
  <c r="AE58" i="6"/>
  <c r="AE65" i="6"/>
  <c r="AE74" i="6"/>
  <c r="AE61" i="6"/>
  <c r="AE63" i="6"/>
  <c r="AE75" i="6"/>
  <c r="AE80" i="6"/>
  <c r="AE53" i="6"/>
  <c r="AE82" i="6"/>
  <c r="AE84" i="6"/>
  <c r="AE93" i="6"/>
  <c r="AE71" i="6"/>
  <c r="AE81" i="6"/>
  <c r="AE87" i="6"/>
  <c r="AE67" i="6"/>
  <c r="AE77" i="6"/>
  <c r="AE92" i="6"/>
  <c r="AE59" i="6"/>
  <c r="AE72" i="6"/>
  <c r="AE76" i="6"/>
  <c r="AE89" i="6"/>
  <c r="AE98" i="6"/>
  <c r="AE78" i="6"/>
  <c r="AE86" i="6"/>
  <c r="AE100" i="6"/>
  <c r="AE90" i="6"/>
  <c r="AE97" i="6"/>
  <c r="AE66" i="6"/>
  <c r="AE83" i="6"/>
  <c r="AE85" i="6"/>
  <c r="AE102" i="6"/>
  <c r="AE79" i="6"/>
  <c r="AE91" i="6"/>
  <c r="AE94" i="6"/>
  <c r="AE99" i="6"/>
  <c r="AE108" i="6"/>
  <c r="AE69" i="6"/>
  <c r="AE73" i="6"/>
  <c r="AE110" i="6"/>
  <c r="AE95" i="6"/>
  <c r="AE107" i="6"/>
  <c r="AE88" i="6"/>
  <c r="AE101" i="6"/>
  <c r="AE104" i="6"/>
  <c r="AE112" i="6"/>
  <c r="AE96" i="6"/>
  <c r="AE109" i="6"/>
  <c r="AE103" i="6"/>
  <c r="AE106" i="6"/>
  <c r="AE105" i="6"/>
  <c r="AE111" i="6"/>
  <c r="AE114" i="6"/>
  <c r="AS54" i="6"/>
  <c r="AS62" i="6"/>
  <c r="AS70" i="6"/>
  <c r="AS51" i="6"/>
  <c r="AS59" i="6"/>
  <c r="AS61" i="6"/>
  <c r="AS67" i="6"/>
  <c r="AS52" i="6"/>
  <c r="AS76" i="6"/>
  <c r="AS53" i="6"/>
  <c r="AS60" i="6"/>
  <c r="AS82" i="6"/>
  <c r="AS56" i="6"/>
  <c r="AS79" i="6"/>
  <c r="AS84" i="6"/>
  <c r="AS58" i="6"/>
  <c r="AS63" i="6"/>
  <c r="AS87" i="6"/>
  <c r="AS64" i="6"/>
  <c r="AS81" i="6"/>
  <c r="AS89" i="6"/>
  <c r="AS69" i="6"/>
  <c r="AS77" i="6"/>
  <c r="AS86" i="6"/>
  <c r="AS65" i="6"/>
  <c r="AS93" i="6"/>
  <c r="AS100" i="6"/>
  <c r="AS57" i="6"/>
  <c r="AS73" i="6"/>
  <c r="AS94" i="6"/>
  <c r="AS68" i="6"/>
  <c r="AS74" i="6"/>
  <c r="AS75" i="6"/>
  <c r="AS85" i="6"/>
  <c r="AS99" i="6"/>
  <c r="AS72" i="6"/>
  <c r="AS90" i="6"/>
  <c r="AS96" i="6"/>
  <c r="AS91" i="6"/>
  <c r="AS95" i="6"/>
  <c r="AS98" i="6"/>
  <c r="AS110" i="6"/>
  <c r="AS55" i="6"/>
  <c r="AS83" i="6"/>
  <c r="AS104" i="6"/>
  <c r="AS112" i="6"/>
  <c r="AS66" i="6"/>
  <c r="AS92" i="6"/>
  <c r="AS101" i="6"/>
  <c r="AS109" i="6"/>
  <c r="AS78" i="6"/>
  <c r="AS106" i="6"/>
  <c r="AS114" i="6"/>
  <c r="AS71" i="6"/>
  <c r="AS80" i="6"/>
  <c r="AS103" i="6"/>
  <c r="AS111" i="6"/>
  <c r="AS102" i="6"/>
  <c r="AS105" i="6"/>
  <c r="AS108" i="6"/>
  <c r="AS88" i="6"/>
  <c r="AS97" i="6"/>
  <c r="AS107" i="6"/>
  <c r="AS39" i="6"/>
  <c r="AV55" i="6"/>
  <c r="AV63" i="6"/>
  <c r="AV71" i="6"/>
  <c r="AV52" i="6"/>
  <c r="AV51" i="6"/>
  <c r="AV73" i="6"/>
  <c r="AV65" i="6"/>
  <c r="AV53" i="6"/>
  <c r="AV60" i="6"/>
  <c r="AV57" i="6"/>
  <c r="AV66" i="6"/>
  <c r="AV67" i="6"/>
  <c r="AV68" i="6"/>
  <c r="AV69" i="6"/>
  <c r="AV70" i="6"/>
  <c r="AV83" i="6"/>
  <c r="AV61" i="6"/>
  <c r="AV62" i="6"/>
  <c r="AV64" i="6"/>
  <c r="AV80" i="6"/>
  <c r="AV56" i="6"/>
  <c r="AV77" i="6"/>
  <c r="AV85" i="6"/>
  <c r="AV54" i="6"/>
  <c r="AV75" i="6"/>
  <c r="AV79" i="6"/>
  <c r="AV88" i="6"/>
  <c r="AV58" i="6"/>
  <c r="AV72" i="6"/>
  <c r="AV90" i="6"/>
  <c r="AV74" i="6"/>
  <c r="AV87" i="6"/>
  <c r="AV91" i="6"/>
  <c r="AV101" i="6"/>
  <c r="AV78" i="6"/>
  <c r="AV93" i="6"/>
  <c r="AV95" i="6"/>
  <c r="AV81" i="6"/>
  <c r="AV89" i="6"/>
  <c r="AV92" i="6"/>
  <c r="AV100" i="6"/>
  <c r="AV59" i="6"/>
  <c r="AV76" i="6"/>
  <c r="AV97" i="6"/>
  <c r="AV86" i="6"/>
  <c r="AV94" i="6"/>
  <c r="AV103" i="6"/>
  <c r="AV111" i="6"/>
  <c r="AV98" i="6"/>
  <c r="AV105" i="6"/>
  <c r="AV102" i="6"/>
  <c r="AV110" i="6"/>
  <c r="AV96" i="6"/>
  <c r="AV99" i="6"/>
  <c r="AV107" i="6"/>
  <c r="AV82" i="6"/>
  <c r="AV104" i="6"/>
  <c r="AV112" i="6"/>
  <c r="AV108" i="6"/>
  <c r="AV84" i="6"/>
  <c r="AV114" i="6"/>
  <c r="AV106" i="6"/>
  <c r="AV109" i="6"/>
  <c r="AV39" i="6"/>
  <c r="AI56" i="6"/>
  <c r="AI64" i="6"/>
  <c r="AI72" i="6"/>
  <c r="AI53" i="6"/>
  <c r="AI54" i="6"/>
  <c r="AI65" i="6"/>
  <c r="AI71" i="6"/>
  <c r="AI74" i="6"/>
  <c r="AI67" i="6"/>
  <c r="AI73" i="6"/>
  <c r="AI52" i="6"/>
  <c r="AI62" i="6"/>
  <c r="AI68" i="6"/>
  <c r="AI69" i="6"/>
  <c r="AI84" i="6"/>
  <c r="AI51" i="6"/>
  <c r="AI63" i="6"/>
  <c r="AI66" i="6"/>
  <c r="AI70" i="6"/>
  <c r="AI76" i="6"/>
  <c r="AI81" i="6"/>
  <c r="AI57" i="6"/>
  <c r="AI61" i="6"/>
  <c r="AI78" i="6"/>
  <c r="AI83" i="6"/>
  <c r="AI89" i="6"/>
  <c r="AI80" i="6"/>
  <c r="AI91" i="6"/>
  <c r="AI88" i="6"/>
  <c r="AI75" i="6"/>
  <c r="AI79" i="6"/>
  <c r="AI94" i="6"/>
  <c r="AI102" i="6"/>
  <c r="AI59" i="6"/>
  <c r="AI77" i="6"/>
  <c r="AI82" i="6"/>
  <c r="AI92" i="6"/>
  <c r="AI96" i="6"/>
  <c r="AI101" i="6"/>
  <c r="AI55" i="6"/>
  <c r="AI98" i="6"/>
  <c r="AI58" i="6"/>
  <c r="AI86" i="6"/>
  <c r="AI90" i="6"/>
  <c r="AI95" i="6"/>
  <c r="AI93" i="6"/>
  <c r="AI99" i="6"/>
  <c r="AI104" i="6"/>
  <c r="AI112" i="6"/>
  <c r="AI97" i="6"/>
  <c r="AI100" i="6"/>
  <c r="AI106" i="6"/>
  <c r="AI114" i="6"/>
  <c r="AI103" i="6"/>
  <c r="AI111" i="6"/>
  <c r="AI60" i="6"/>
  <c r="AI108" i="6"/>
  <c r="AI105" i="6"/>
  <c r="AI109" i="6"/>
  <c r="AI107" i="6"/>
  <c r="AI87" i="6"/>
  <c r="AI85" i="6"/>
  <c r="AI110" i="6"/>
  <c r="AQ56" i="6"/>
  <c r="AQ64" i="6"/>
  <c r="AQ72" i="6"/>
  <c r="AQ53" i="6"/>
  <c r="AQ60" i="6"/>
  <c r="AQ66" i="6"/>
  <c r="AQ74" i="6"/>
  <c r="AQ55" i="6"/>
  <c r="AQ59" i="6"/>
  <c r="AQ62" i="6"/>
  <c r="AQ68" i="6"/>
  <c r="AQ58" i="6"/>
  <c r="AQ63" i="6"/>
  <c r="AQ69" i="6"/>
  <c r="AQ84" i="6"/>
  <c r="AQ75" i="6"/>
  <c r="AQ81" i="6"/>
  <c r="AQ52" i="6"/>
  <c r="AQ78" i="6"/>
  <c r="AQ57" i="6"/>
  <c r="AQ89" i="6"/>
  <c r="AQ91" i="6"/>
  <c r="AQ61" i="6"/>
  <c r="AQ65" i="6"/>
  <c r="AQ73" i="6"/>
  <c r="AQ88" i="6"/>
  <c r="AQ51" i="6"/>
  <c r="AQ92" i="6"/>
  <c r="AQ94" i="6"/>
  <c r="AQ102" i="6"/>
  <c r="AQ85" i="6"/>
  <c r="AQ86" i="6"/>
  <c r="AQ90" i="6"/>
  <c r="AQ96" i="6"/>
  <c r="AQ76" i="6"/>
  <c r="AQ79" i="6"/>
  <c r="AQ77" i="6"/>
  <c r="AQ82" i="6"/>
  <c r="AQ87" i="6"/>
  <c r="AQ98" i="6"/>
  <c r="AQ67" i="6"/>
  <c r="AQ71" i="6"/>
  <c r="AQ95" i="6"/>
  <c r="AQ104" i="6"/>
  <c r="AQ112" i="6"/>
  <c r="AQ54" i="6"/>
  <c r="AQ93" i="6"/>
  <c r="AQ101" i="6"/>
  <c r="AQ106" i="6"/>
  <c r="AQ114" i="6"/>
  <c r="AQ70" i="6"/>
  <c r="AQ99" i="6"/>
  <c r="AQ103" i="6"/>
  <c r="AQ111" i="6"/>
  <c r="AQ80" i="6"/>
  <c r="AQ108" i="6"/>
  <c r="AQ97" i="6"/>
  <c r="AQ100" i="6"/>
  <c r="AQ105" i="6"/>
  <c r="AQ83" i="6"/>
  <c r="AQ107" i="6"/>
  <c r="AQ109" i="6"/>
  <c r="AQ110" i="6"/>
  <c r="AQ39" i="6"/>
  <c r="AB51" i="6"/>
  <c r="AB59" i="6"/>
  <c r="AB67" i="6"/>
  <c r="AB56" i="6"/>
  <c r="AB55" i="6"/>
  <c r="AB64" i="6"/>
  <c r="AB77" i="6"/>
  <c r="AB54" i="6"/>
  <c r="AB66" i="6"/>
  <c r="AB72" i="6"/>
  <c r="AB53" i="6"/>
  <c r="AB57" i="6"/>
  <c r="AB61" i="6"/>
  <c r="AB74" i="6"/>
  <c r="AB79" i="6"/>
  <c r="AB84" i="6"/>
  <c r="AB81" i="6"/>
  <c r="AB52" i="6"/>
  <c r="AB62" i="6"/>
  <c r="AB92" i="6"/>
  <c r="AB63" i="6"/>
  <c r="AB86" i="6"/>
  <c r="AB58" i="6"/>
  <c r="AB68" i="6"/>
  <c r="AB82" i="6"/>
  <c r="AB91" i="6"/>
  <c r="AB80" i="6"/>
  <c r="AB97" i="6"/>
  <c r="AB71" i="6"/>
  <c r="AB85" i="6"/>
  <c r="AB93" i="6"/>
  <c r="AB94" i="6"/>
  <c r="AB99" i="6"/>
  <c r="AB87" i="6"/>
  <c r="AB96" i="6"/>
  <c r="AB70" i="6"/>
  <c r="AB88" i="6"/>
  <c r="AB101" i="6"/>
  <c r="AB65" i="6"/>
  <c r="AB69" i="6"/>
  <c r="AB73" i="6"/>
  <c r="AB98" i="6"/>
  <c r="AB75" i="6"/>
  <c r="AB100" i="6"/>
  <c r="AB107" i="6"/>
  <c r="AB76" i="6"/>
  <c r="AB78" i="6"/>
  <c r="AB89" i="6"/>
  <c r="AB109" i="6"/>
  <c r="AB114" i="6"/>
  <c r="AB60" i="6"/>
  <c r="AB106" i="6"/>
  <c r="AB102" i="6"/>
  <c r="AB103" i="6"/>
  <c r="AB111" i="6"/>
  <c r="AB108" i="6"/>
  <c r="AB110" i="6"/>
  <c r="AB112" i="6"/>
  <c r="AB105" i="6"/>
  <c r="AB104" i="6"/>
  <c r="AB95" i="6"/>
  <c r="AB83" i="6"/>
  <c r="AB90" i="6"/>
  <c r="AO58" i="6"/>
  <c r="AO66" i="6"/>
  <c r="AO55" i="6"/>
  <c r="AO52" i="6"/>
  <c r="AO56" i="6"/>
  <c r="AO61" i="6"/>
  <c r="AO67" i="6"/>
  <c r="AO76" i="6"/>
  <c r="AO51" i="6"/>
  <c r="AO69" i="6"/>
  <c r="AO54" i="6"/>
  <c r="AO64" i="6"/>
  <c r="AO70" i="6"/>
  <c r="AO59" i="6"/>
  <c r="AO75" i="6"/>
  <c r="AO78" i="6"/>
  <c r="AO83" i="6"/>
  <c r="AO74" i="6"/>
  <c r="AO80" i="6"/>
  <c r="AO60" i="6"/>
  <c r="AO84" i="6"/>
  <c r="AO91" i="6"/>
  <c r="AO82" i="6"/>
  <c r="AO90" i="6"/>
  <c r="AO57" i="6"/>
  <c r="AO85" i="6"/>
  <c r="AO96" i="6"/>
  <c r="AO68" i="6"/>
  <c r="AO87" i="6"/>
  <c r="AO98" i="6"/>
  <c r="AO63" i="6"/>
  <c r="AO71" i="6"/>
  <c r="AO72" i="6"/>
  <c r="AO77" i="6"/>
  <c r="AO95" i="6"/>
  <c r="AO53" i="6"/>
  <c r="AO62" i="6"/>
  <c r="AO93" i="6"/>
  <c r="AO100" i="6"/>
  <c r="AO88" i="6"/>
  <c r="AO97" i="6"/>
  <c r="AO65" i="6"/>
  <c r="AO79" i="6"/>
  <c r="AO101" i="6"/>
  <c r="AO106" i="6"/>
  <c r="AO114" i="6"/>
  <c r="AO99" i="6"/>
  <c r="AO108" i="6"/>
  <c r="AO73" i="6"/>
  <c r="AO94" i="6"/>
  <c r="AO105" i="6"/>
  <c r="AO110" i="6"/>
  <c r="AO89" i="6"/>
  <c r="AO107" i="6"/>
  <c r="AO111" i="6"/>
  <c r="AO109" i="6"/>
  <c r="AO112" i="6"/>
  <c r="AO102" i="6"/>
  <c r="AO103" i="6"/>
  <c r="AO92" i="6"/>
  <c r="AO104" i="6"/>
  <c r="AO81" i="6"/>
  <c r="AO86" i="6"/>
  <c r="AO39" i="6"/>
  <c r="AG58" i="6"/>
  <c r="AG66" i="6"/>
  <c r="AG55" i="6"/>
  <c r="AG60" i="6"/>
  <c r="AG72" i="6"/>
  <c r="AG76" i="6"/>
  <c r="AG59" i="6"/>
  <c r="AG63" i="6"/>
  <c r="AG69" i="6"/>
  <c r="AG54" i="6"/>
  <c r="AG64" i="6"/>
  <c r="AG65" i="6"/>
  <c r="AG67" i="6"/>
  <c r="AG68" i="6"/>
  <c r="AG78" i="6"/>
  <c r="AG57" i="6"/>
  <c r="AG61" i="6"/>
  <c r="AG62" i="6"/>
  <c r="AG83" i="6"/>
  <c r="AG75" i="6"/>
  <c r="AG80" i="6"/>
  <c r="AG91" i="6"/>
  <c r="AG51" i="6"/>
  <c r="AG52" i="6"/>
  <c r="AG53" i="6"/>
  <c r="AG84" i="6"/>
  <c r="AG71" i="6"/>
  <c r="AG74" i="6"/>
  <c r="AG90" i="6"/>
  <c r="AG73" i="6"/>
  <c r="AG77" i="6"/>
  <c r="AG82" i="6"/>
  <c r="AG88" i="6"/>
  <c r="AG92" i="6"/>
  <c r="AG96" i="6"/>
  <c r="AG89" i="6"/>
  <c r="AG98" i="6"/>
  <c r="AG95" i="6"/>
  <c r="AG86" i="6"/>
  <c r="AG100" i="6"/>
  <c r="AG70" i="6"/>
  <c r="AG81" i="6"/>
  <c r="AG85" i="6"/>
  <c r="AG87" i="6"/>
  <c r="AG97" i="6"/>
  <c r="AG102" i="6"/>
  <c r="AG106" i="6"/>
  <c r="AG114" i="6"/>
  <c r="AG108" i="6"/>
  <c r="AG105" i="6"/>
  <c r="AG56" i="6"/>
  <c r="AG110" i="6"/>
  <c r="AG101" i="6"/>
  <c r="AG107" i="6"/>
  <c r="AG104" i="6"/>
  <c r="AG109" i="6"/>
  <c r="AG79" i="6"/>
  <c r="AG94" i="6"/>
  <c r="AG93" i="6"/>
  <c r="AG112" i="6"/>
  <c r="AG111" i="6"/>
  <c r="AG99" i="6"/>
  <c r="AG103" i="6"/>
  <c r="AL57" i="6"/>
  <c r="AL65" i="6"/>
  <c r="AL54" i="6"/>
  <c r="AL51" i="6"/>
  <c r="AL55" i="6"/>
  <c r="AL63" i="6"/>
  <c r="AL69" i="6"/>
  <c r="AL75" i="6"/>
  <c r="AL71" i="6"/>
  <c r="AL53" i="6"/>
  <c r="AL66" i="6"/>
  <c r="AL72" i="6"/>
  <c r="AL52" i="6"/>
  <c r="AL74" i="6"/>
  <c r="AL85" i="6"/>
  <c r="AL58" i="6"/>
  <c r="AL77" i="6"/>
  <c r="AL82" i="6"/>
  <c r="AL67" i="6"/>
  <c r="AL70" i="6"/>
  <c r="AL73" i="6"/>
  <c r="AL79" i="6"/>
  <c r="AL61" i="6"/>
  <c r="AL76" i="6"/>
  <c r="AL78" i="6"/>
  <c r="AL90" i="6"/>
  <c r="AL62" i="6"/>
  <c r="AL83" i="6"/>
  <c r="AL89" i="6"/>
  <c r="AL60" i="6"/>
  <c r="AL64" i="6"/>
  <c r="AL95" i="6"/>
  <c r="AL56" i="6"/>
  <c r="AL93" i="6"/>
  <c r="AL97" i="6"/>
  <c r="AL59" i="6"/>
  <c r="AL88" i="6"/>
  <c r="AL94" i="6"/>
  <c r="AL80" i="6"/>
  <c r="AL92" i="6"/>
  <c r="AL99" i="6"/>
  <c r="AL96" i="6"/>
  <c r="AL81" i="6"/>
  <c r="AL105" i="6"/>
  <c r="AL91" i="6"/>
  <c r="AL107" i="6"/>
  <c r="AL104" i="6"/>
  <c r="AL112" i="6"/>
  <c r="AL100" i="6"/>
  <c r="AL102" i="6"/>
  <c r="AL109" i="6"/>
  <c r="AL84" i="6"/>
  <c r="AL106" i="6"/>
  <c r="AL114" i="6"/>
  <c r="AL108" i="6"/>
  <c r="AL98" i="6"/>
  <c r="AL103" i="6"/>
  <c r="AL101" i="6"/>
  <c r="AL86" i="6"/>
  <c r="AL87" i="6"/>
  <c r="AL110" i="6"/>
  <c r="AL68" i="6"/>
  <c r="AL111" i="6"/>
  <c r="AF55" i="6"/>
  <c r="AF63" i="6"/>
  <c r="AF71" i="6"/>
  <c r="AF52" i="6"/>
  <c r="AF60" i="6"/>
  <c r="AF53" i="6"/>
  <c r="AF61" i="6"/>
  <c r="AF67" i="6"/>
  <c r="AF73" i="6"/>
  <c r="AF69" i="6"/>
  <c r="AF51" i="6"/>
  <c r="AF64" i="6"/>
  <c r="AF70" i="6"/>
  <c r="AF77" i="6"/>
  <c r="AF57" i="6"/>
  <c r="AF62" i="6"/>
  <c r="AF66" i="6"/>
  <c r="AF83" i="6"/>
  <c r="AF75" i="6"/>
  <c r="AF80" i="6"/>
  <c r="AF85" i="6"/>
  <c r="AF88" i="6"/>
  <c r="AF74" i="6"/>
  <c r="AF90" i="6"/>
  <c r="AF54" i="6"/>
  <c r="AF56" i="6"/>
  <c r="AF81" i="6"/>
  <c r="AF87" i="6"/>
  <c r="AF68" i="6"/>
  <c r="AF101" i="6"/>
  <c r="AF95" i="6"/>
  <c r="AF78" i="6"/>
  <c r="AF86" i="6"/>
  <c r="AF100" i="6"/>
  <c r="AF58" i="6"/>
  <c r="AF97" i="6"/>
  <c r="AF93" i="6"/>
  <c r="AF72" i="6"/>
  <c r="AF91" i="6"/>
  <c r="AF94" i="6"/>
  <c r="AF103" i="6"/>
  <c r="AF111" i="6"/>
  <c r="AF59" i="6"/>
  <c r="AF105" i="6"/>
  <c r="AF82" i="6"/>
  <c r="AF89" i="6"/>
  <c r="AF110" i="6"/>
  <c r="AF76" i="6"/>
  <c r="AF84" i="6"/>
  <c r="AF98" i="6"/>
  <c r="AF107" i="6"/>
  <c r="AF79" i="6"/>
  <c r="AF104" i="6"/>
  <c r="AF112" i="6"/>
  <c r="AF96" i="6"/>
  <c r="AF92" i="6"/>
  <c r="AF109" i="6"/>
  <c r="AF114" i="6"/>
  <c r="AF106" i="6"/>
  <c r="AF65" i="6"/>
  <c r="AF99" i="6"/>
  <c r="AF102" i="6"/>
  <c r="AF108" i="6"/>
  <c r="AP53" i="6"/>
  <c r="AP61" i="6"/>
  <c r="AP69" i="6"/>
  <c r="AP58" i="6"/>
  <c r="AP72" i="6"/>
  <c r="AP63" i="6"/>
  <c r="AP51" i="6"/>
  <c r="AP75" i="6"/>
  <c r="AP56" i="6"/>
  <c r="AP81" i="6"/>
  <c r="AP52" i="6"/>
  <c r="AP59" i="6"/>
  <c r="AP78" i="6"/>
  <c r="AP55" i="6"/>
  <c r="AP83" i="6"/>
  <c r="AP64" i="6"/>
  <c r="AP68" i="6"/>
  <c r="AP77" i="6"/>
  <c r="AP86" i="6"/>
  <c r="AP65" i="6"/>
  <c r="AP73" i="6"/>
  <c r="AP88" i="6"/>
  <c r="AP70" i="6"/>
  <c r="AP76" i="6"/>
  <c r="AP82" i="6"/>
  <c r="AP54" i="6"/>
  <c r="AP89" i="6"/>
  <c r="AP99" i="6"/>
  <c r="AP74" i="6"/>
  <c r="AP79" i="6"/>
  <c r="AP87" i="6"/>
  <c r="AP98" i="6"/>
  <c r="AP67" i="6"/>
  <c r="AP71" i="6"/>
  <c r="AP84" i="6"/>
  <c r="AP91" i="6"/>
  <c r="AP95" i="6"/>
  <c r="AP62" i="6"/>
  <c r="AP66" i="6"/>
  <c r="AP80" i="6"/>
  <c r="AP93" i="6"/>
  <c r="AP100" i="6"/>
  <c r="AP109" i="6"/>
  <c r="AP92" i="6"/>
  <c r="AP96" i="6"/>
  <c r="AP103" i="6"/>
  <c r="AP111" i="6"/>
  <c r="AP85" i="6"/>
  <c r="AP108" i="6"/>
  <c r="AP90" i="6"/>
  <c r="AP94" i="6"/>
  <c r="AP97" i="6"/>
  <c r="AP105" i="6"/>
  <c r="AP60" i="6"/>
  <c r="AP110" i="6"/>
  <c r="AP101" i="6"/>
  <c r="AP114" i="6"/>
  <c r="AP57" i="6"/>
  <c r="AP106" i="6"/>
  <c r="AP112" i="6"/>
  <c r="AP102" i="6"/>
  <c r="AP104" i="6"/>
  <c r="AP107" i="6"/>
  <c r="AP39" i="6"/>
  <c r="AW58" i="6"/>
  <c r="AW66" i="6"/>
  <c r="AW55" i="6"/>
  <c r="AW62" i="6"/>
  <c r="AW68" i="6"/>
  <c r="AW76" i="6"/>
  <c r="AW57" i="6"/>
  <c r="AW64" i="6"/>
  <c r="AW70" i="6"/>
  <c r="AW65" i="6"/>
  <c r="AW71" i="6"/>
  <c r="AW54" i="6"/>
  <c r="AW72" i="6"/>
  <c r="AW74" i="6"/>
  <c r="AW78" i="6"/>
  <c r="AW60" i="6"/>
  <c r="AW63" i="6"/>
  <c r="AW67" i="6"/>
  <c r="AW69" i="6"/>
  <c r="AW83" i="6"/>
  <c r="AW53" i="6"/>
  <c r="AW61" i="6"/>
  <c r="AW73" i="6"/>
  <c r="AW80" i="6"/>
  <c r="AW56" i="6"/>
  <c r="AW91" i="6"/>
  <c r="AW59" i="6"/>
  <c r="AW85" i="6"/>
  <c r="AW90" i="6"/>
  <c r="AW96" i="6"/>
  <c r="AW88" i="6"/>
  <c r="AW98" i="6"/>
  <c r="AW51" i="6"/>
  <c r="AW93" i="6"/>
  <c r="AW95" i="6"/>
  <c r="AW81" i="6"/>
  <c r="AW89" i="6"/>
  <c r="AW92" i="6"/>
  <c r="AW100" i="6"/>
  <c r="AW75" i="6"/>
  <c r="AW77" i="6"/>
  <c r="AW79" i="6"/>
  <c r="AW97" i="6"/>
  <c r="AW106" i="6"/>
  <c r="AW114" i="6"/>
  <c r="AW86" i="6"/>
  <c r="AW108" i="6"/>
  <c r="AW105" i="6"/>
  <c r="AW102" i="6"/>
  <c r="AW110" i="6"/>
  <c r="AW82" i="6"/>
  <c r="AW52" i="6"/>
  <c r="AW99" i="6"/>
  <c r="AW107" i="6"/>
  <c r="AW84" i="6"/>
  <c r="AW101" i="6"/>
  <c r="AW109" i="6"/>
  <c r="AW104" i="6"/>
  <c r="AW87" i="6"/>
  <c r="AW94" i="6"/>
  <c r="AW112" i="6"/>
  <c r="AW111" i="6"/>
  <c r="AW103" i="6"/>
  <c r="AW40" i="6"/>
  <c r="AW39" i="6"/>
  <c r="J39" i="5"/>
  <c r="I39" i="5"/>
  <c r="E35" i="5"/>
  <c r="V112" i="6"/>
  <c r="H39" i="5"/>
  <c r="G39" i="5"/>
  <c r="AC39" i="6"/>
  <c r="M39" i="5"/>
  <c r="AG39" i="5"/>
  <c r="AD39" i="6"/>
  <c r="N39" i="5"/>
  <c r="AE39" i="6"/>
  <c r="O39" i="5"/>
  <c r="AB39" i="6"/>
  <c r="L39" i="5"/>
  <c r="K39" i="5"/>
  <c r="AJ39" i="6"/>
  <c r="AF39" i="6"/>
  <c r="AL39" i="6"/>
  <c r="AI39" i="6"/>
  <c r="AK39" i="6"/>
  <c r="AM39" i="6"/>
  <c r="AH39" i="6"/>
  <c r="AG39" i="6"/>
  <c r="AU137" i="5"/>
  <c r="AU142" i="5"/>
  <c r="AU143" i="5" s="1"/>
  <c r="AU156" i="5" s="1"/>
  <c r="AU114" i="5"/>
  <c r="T37" i="6" s="1"/>
  <c r="C174" i="6"/>
  <c r="E174" i="6"/>
  <c r="C169" i="6"/>
  <c r="C164" i="6"/>
  <c r="E164" i="6"/>
  <c r="C159" i="6"/>
  <c r="E159" i="6"/>
  <c r="C154" i="6"/>
  <c r="D154" i="6" s="1"/>
  <c r="BA144" i="5" l="1"/>
  <c r="BB144" i="5"/>
  <c r="BB156" i="5"/>
  <c r="BD144" i="5"/>
  <c r="BC144" i="5"/>
  <c r="AY156" i="5"/>
  <c r="AY144" i="5"/>
  <c r="AZ144" i="5"/>
  <c r="AX156" i="5"/>
  <c r="AX144" i="5"/>
  <c r="AV144" i="5"/>
  <c r="AV156" i="5"/>
  <c r="AW144" i="5"/>
  <c r="V92" i="6"/>
  <c r="V84" i="6"/>
  <c r="V111" i="6"/>
  <c r="V82" i="6"/>
  <c r="V67" i="6"/>
  <c r="V104" i="6"/>
  <c r="W109" i="6"/>
  <c r="W77" i="6"/>
  <c r="W103" i="6"/>
  <c r="W107" i="6"/>
  <c r="W92" i="6"/>
  <c r="W72" i="6"/>
  <c r="X64" i="6"/>
  <c r="X107" i="6"/>
  <c r="X88" i="6"/>
  <c r="X83" i="6"/>
  <c r="X109" i="6"/>
  <c r="X89" i="6"/>
  <c r="X74" i="6"/>
  <c r="Z64" i="6"/>
  <c r="Z97" i="6"/>
  <c r="Z66" i="6"/>
  <c r="Z70" i="6"/>
  <c r="Z107" i="6"/>
  <c r="Z92" i="6"/>
  <c r="U67" i="6"/>
  <c r="U96" i="6"/>
  <c r="U93" i="6"/>
  <c r="U89" i="6"/>
  <c r="U74" i="6"/>
  <c r="U103" i="6"/>
  <c r="Y109" i="6"/>
  <c r="Y64" i="6"/>
  <c r="Y88" i="6"/>
  <c r="Y76" i="6"/>
  <c r="Y94" i="6"/>
  <c r="Y74" i="6"/>
  <c r="V76" i="6"/>
  <c r="V68" i="6"/>
  <c r="V105" i="6"/>
  <c r="V74" i="6"/>
  <c r="V103" i="6"/>
  <c r="V96" i="6"/>
  <c r="W93" i="6"/>
  <c r="W112" i="6"/>
  <c r="W87" i="6"/>
  <c r="W99" i="6"/>
  <c r="W84" i="6"/>
  <c r="W64" i="6"/>
  <c r="X112" i="6"/>
  <c r="X75" i="6"/>
  <c r="X72" i="6"/>
  <c r="X67" i="6"/>
  <c r="X101" i="6"/>
  <c r="X81" i="6"/>
  <c r="X66" i="6"/>
  <c r="Z105" i="6"/>
  <c r="Z81" i="6"/>
  <c r="Z101" i="6"/>
  <c r="Z111" i="6"/>
  <c r="Z99" i="6"/>
  <c r="Z84" i="6"/>
  <c r="U110" i="6"/>
  <c r="U91" i="6"/>
  <c r="U77" i="6"/>
  <c r="U81" i="6"/>
  <c r="U66" i="6"/>
  <c r="U95" i="6"/>
  <c r="Y84" i="6"/>
  <c r="Y112" i="6"/>
  <c r="Y72" i="6"/>
  <c r="Y101" i="6"/>
  <c r="Y86" i="6"/>
  <c r="Y66" i="6"/>
  <c r="V101" i="6"/>
  <c r="V109" i="6"/>
  <c r="V97" i="6"/>
  <c r="V66" i="6"/>
  <c r="V95" i="6"/>
  <c r="V88" i="6"/>
  <c r="W101" i="6"/>
  <c r="W102" i="6"/>
  <c r="W98" i="6"/>
  <c r="W91" i="6"/>
  <c r="W76" i="6"/>
  <c r="W105" i="6"/>
  <c r="X94" i="6"/>
  <c r="X86" i="6"/>
  <c r="X96" i="6"/>
  <c r="X108" i="6"/>
  <c r="X93" i="6"/>
  <c r="X73" i="6"/>
  <c r="Z98" i="6"/>
  <c r="Z89" i="6"/>
  <c r="Z65" i="6"/>
  <c r="Z85" i="6"/>
  <c r="Z103" i="6"/>
  <c r="Z91" i="6"/>
  <c r="Z76" i="6"/>
  <c r="U108" i="6"/>
  <c r="U75" i="6"/>
  <c r="U80" i="6"/>
  <c r="U73" i="6"/>
  <c r="U102" i="6"/>
  <c r="U87" i="6"/>
  <c r="Y111" i="6"/>
  <c r="Y100" i="6"/>
  <c r="Y97" i="6"/>
  <c r="Y93" i="6"/>
  <c r="Y78" i="6"/>
  <c r="Y107" i="6"/>
  <c r="V85" i="6"/>
  <c r="V93" i="6"/>
  <c r="V81" i="6"/>
  <c r="V107" i="6"/>
  <c r="V87" i="6"/>
  <c r="V80" i="6"/>
  <c r="W85" i="6"/>
  <c r="W86" i="6"/>
  <c r="W66" i="6"/>
  <c r="W83" i="6"/>
  <c r="W68" i="6"/>
  <c r="W97" i="6"/>
  <c r="X78" i="6"/>
  <c r="X95" i="6"/>
  <c r="X80" i="6"/>
  <c r="X100" i="6"/>
  <c r="X85" i="6"/>
  <c r="X65" i="6"/>
  <c r="Z82" i="6"/>
  <c r="Z73" i="6"/>
  <c r="Z106" i="6"/>
  <c r="Z69" i="6"/>
  <c r="Z95" i="6"/>
  <c r="Z83" i="6"/>
  <c r="Z68" i="6"/>
  <c r="U92" i="6"/>
  <c r="U100" i="6"/>
  <c r="U104" i="6"/>
  <c r="U65" i="6"/>
  <c r="U94" i="6"/>
  <c r="U79" i="6"/>
  <c r="Y103" i="6"/>
  <c r="Y68" i="6"/>
  <c r="Y81" i="6"/>
  <c r="Y85" i="6"/>
  <c r="Y70" i="6"/>
  <c r="Y99" i="6"/>
  <c r="V89" i="6"/>
  <c r="V69" i="6"/>
  <c r="V77" i="6"/>
  <c r="V65" i="6"/>
  <c r="V99" i="6"/>
  <c r="V79" i="6"/>
  <c r="V72" i="6"/>
  <c r="W69" i="6"/>
  <c r="W70" i="6"/>
  <c r="W110" i="6"/>
  <c r="W75" i="6"/>
  <c r="W104" i="6"/>
  <c r="W89" i="6"/>
  <c r="X111" i="6"/>
  <c r="X79" i="6"/>
  <c r="X91" i="6"/>
  <c r="X92" i="6"/>
  <c r="X77" i="6"/>
  <c r="X106" i="6"/>
  <c r="Z93" i="6"/>
  <c r="Z104" i="6"/>
  <c r="Z90" i="6"/>
  <c r="Z102" i="6"/>
  <c r="Z87" i="6"/>
  <c r="Z75" i="6"/>
  <c r="U64" i="6"/>
  <c r="U76" i="6"/>
  <c r="U84" i="6"/>
  <c r="U88" i="6"/>
  <c r="U106" i="6"/>
  <c r="U86" i="6"/>
  <c r="U71" i="6"/>
  <c r="Y87" i="6"/>
  <c r="Y95" i="6"/>
  <c r="Y65" i="6"/>
  <c r="Y77" i="6"/>
  <c r="Y106" i="6"/>
  <c r="Y91" i="6"/>
  <c r="V100" i="6"/>
  <c r="V94" i="6"/>
  <c r="V102" i="6"/>
  <c r="V106" i="6"/>
  <c r="V91" i="6"/>
  <c r="V71" i="6"/>
  <c r="V64" i="6"/>
  <c r="W94" i="6"/>
  <c r="W95" i="6"/>
  <c r="W106" i="6"/>
  <c r="W67" i="6"/>
  <c r="W96" i="6"/>
  <c r="W81" i="6"/>
  <c r="X103" i="6"/>
  <c r="X63" i="6"/>
  <c r="X102" i="6"/>
  <c r="X84" i="6"/>
  <c r="X69" i="6"/>
  <c r="X98" i="6"/>
  <c r="Z77" i="6"/>
  <c r="Z88" i="6"/>
  <c r="Z74" i="6"/>
  <c r="Z94" i="6"/>
  <c r="Z79" i="6"/>
  <c r="Z67" i="6"/>
  <c r="U107" i="6"/>
  <c r="U101" i="6"/>
  <c r="U68" i="6"/>
  <c r="U72" i="6"/>
  <c r="U98" i="6"/>
  <c r="U78" i="6"/>
  <c r="U63" i="6"/>
  <c r="Y71" i="6"/>
  <c r="Y79" i="6"/>
  <c r="Y73" i="6"/>
  <c r="Y69" i="6"/>
  <c r="Y98" i="6"/>
  <c r="Y83" i="6"/>
  <c r="V110" i="6"/>
  <c r="V78" i="6"/>
  <c r="V86" i="6"/>
  <c r="V98" i="6"/>
  <c r="V83" i="6"/>
  <c r="V63" i="6"/>
  <c r="W111" i="6"/>
  <c r="W78" i="6"/>
  <c r="W79" i="6"/>
  <c r="W90" i="6"/>
  <c r="W108" i="6"/>
  <c r="W88" i="6"/>
  <c r="W73" i="6"/>
  <c r="X87" i="6"/>
  <c r="X110" i="6"/>
  <c r="X70" i="6"/>
  <c r="X76" i="6"/>
  <c r="X105" i="6"/>
  <c r="X90" i="6"/>
  <c r="Z96" i="6"/>
  <c r="Z72" i="6"/>
  <c r="Z112" i="6"/>
  <c r="Z86" i="6"/>
  <c r="Z71" i="6"/>
  <c r="Z108" i="6"/>
  <c r="U99" i="6"/>
  <c r="U85" i="6"/>
  <c r="U112" i="6"/>
  <c r="U105" i="6"/>
  <c r="U90" i="6"/>
  <c r="U70" i="6"/>
  <c r="Y105" i="6"/>
  <c r="Y96" i="6"/>
  <c r="Y63" i="6"/>
  <c r="Y108" i="6"/>
  <c r="Y110" i="6"/>
  <c r="Y90" i="6"/>
  <c r="Y75" i="6"/>
  <c r="V108" i="6"/>
  <c r="V73" i="6"/>
  <c r="V70" i="6"/>
  <c r="V90" i="6"/>
  <c r="V75" i="6"/>
  <c r="W71" i="6"/>
  <c r="W82" i="6"/>
  <c r="W63" i="6"/>
  <c r="W74" i="6"/>
  <c r="W100" i="6"/>
  <c r="W80" i="6"/>
  <c r="W65" i="6"/>
  <c r="X71" i="6"/>
  <c r="X104" i="6"/>
  <c r="X99" i="6"/>
  <c r="X68" i="6"/>
  <c r="X97" i="6"/>
  <c r="X82" i="6"/>
  <c r="Z80" i="6"/>
  <c r="Z110" i="6"/>
  <c r="Z109" i="6"/>
  <c r="Z78" i="6"/>
  <c r="Z63" i="6"/>
  <c r="Z100" i="6"/>
  <c r="U83" i="6"/>
  <c r="U69" i="6"/>
  <c r="U109" i="6"/>
  <c r="U97" i="6"/>
  <c r="U82" i="6"/>
  <c r="U111" i="6"/>
  <c r="Y89" i="6"/>
  <c r="Y80" i="6"/>
  <c r="Y104" i="6"/>
  <c r="Y92" i="6"/>
  <c r="Y102" i="6"/>
  <c r="Y82" i="6"/>
  <c r="Y67" i="6"/>
  <c r="AJ177" i="6"/>
  <c r="AJ180" i="6"/>
  <c r="AJ179" i="6"/>
  <c r="AG179" i="6"/>
  <c r="AG177" i="6"/>
  <c r="AG180" i="6"/>
  <c r="AN180" i="6"/>
  <c r="AN179" i="6"/>
  <c r="AN177" i="6"/>
  <c r="AS177" i="6"/>
  <c r="AS180" i="6"/>
  <c r="AS179" i="6"/>
  <c r="AV180" i="6"/>
  <c r="AV179" i="6"/>
  <c r="AV177" i="6"/>
  <c r="AL177" i="6"/>
  <c r="AL180" i="6"/>
  <c r="AL179" i="6"/>
  <c r="AW179" i="6"/>
  <c r="AW177" i="6"/>
  <c r="AW180" i="6"/>
  <c r="AQ177" i="6"/>
  <c r="AQ180" i="6"/>
  <c r="AQ179" i="6"/>
  <c r="AU177" i="6"/>
  <c r="AU180" i="6"/>
  <c r="AU179" i="6"/>
  <c r="AH179" i="6"/>
  <c r="AH177" i="6"/>
  <c r="AH180" i="6"/>
  <c r="AO179" i="6"/>
  <c r="AO177" i="6"/>
  <c r="AO180" i="6"/>
  <c r="AM177" i="6"/>
  <c r="AM180" i="6"/>
  <c r="AM179" i="6"/>
  <c r="AK177" i="6"/>
  <c r="AK180" i="6"/>
  <c r="AK179" i="6"/>
  <c r="AP179" i="6"/>
  <c r="AP177" i="6"/>
  <c r="AP180" i="6"/>
  <c r="AI177" i="6"/>
  <c r="AI180" i="6"/>
  <c r="AI179" i="6"/>
  <c r="AR177" i="6"/>
  <c r="AR180" i="6"/>
  <c r="AR179" i="6"/>
  <c r="AT177" i="6"/>
  <c r="AT180" i="6"/>
  <c r="AT179" i="6"/>
  <c r="AG236" i="6"/>
  <c r="AG206" i="6"/>
  <c r="AG208" i="6" s="1"/>
  <c r="AN236" i="6"/>
  <c r="AN238" i="6" s="1"/>
  <c r="AN206" i="6"/>
  <c r="AN208" i="6" s="1"/>
  <c r="AS236" i="6"/>
  <c r="AS206" i="6"/>
  <c r="AS208" i="6" s="1"/>
  <c r="AO236" i="6"/>
  <c r="AO239" i="6" s="1"/>
  <c r="AO206" i="6"/>
  <c r="AO208" i="6" s="1"/>
  <c r="V236" i="6"/>
  <c r="V238" i="6" s="1"/>
  <c r="V206" i="6"/>
  <c r="AB236" i="6"/>
  <c r="AB206" i="6"/>
  <c r="AB208" i="6" s="1"/>
  <c r="AV236" i="6"/>
  <c r="AV206" i="6"/>
  <c r="AV208" i="6" s="1"/>
  <c r="AH236" i="6"/>
  <c r="AH206" i="6"/>
  <c r="AH208" i="6" s="1"/>
  <c r="AL236" i="6"/>
  <c r="AL206" i="6"/>
  <c r="AL208" i="6" s="1"/>
  <c r="AW236" i="6"/>
  <c r="AW238" i="6" s="1"/>
  <c r="AW206" i="6"/>
  <c r="AW208" i="6" s="1"/>
  <c r="AQ236" i="6"/>
  <c r="AQ206" i="6"/>
  <c r="AQ208" i="6" s="1"/>
  <c r="AU236" i="6"/>
  <c r="AU206" i="6"/>
  <c r="AU208" i="6" s="1"/>
  <c r="AJ236" i="6"/>
  <c r="AJ206" i="6"/>
  <c r="AJ208" i="6" s="1"/>
  <c r="AM236" i="6"/>
  <c r="AM238" i="6" s="1"/>
  <c r="AM206" i="6"/>
  <c r="AM208" i="6" s="1"/>
  <c r="AK236" i="6"/>
  <c r="AK238" i="6" s="1"/>
  <c r="AK206" i="6"/>
  <c r="AK208" i="6" s="1"/>
  <c r="AF236" i="6"/>
  <c r="AF238" i="6" s="1"/>
  <c r="AF206" i="6"/>
  <c r="AF208" i="6" s="1"/>
  <c r="AP236" i="6"/>
  <c r="AP206" i="6"/>
  <c r="AP208" i="6" s="1"/>
  <c r="AI236" i="6"/>
  <c r="AI238" i="6" s="1"/>
  <c r="AI206" i="6"/>
  <c r="AI208" i="6" s="1"/>
  <c r="AR236" i="6"/>
  <c r="AR206" i="6"/>
  <c r="AR208" i="6" s="1"/>
  <c r="AT236" i="6"/>
  <c r="AT206" i="6"/>
  <c r="AT208" i="6" s="1"/>
  <c r="AG237" i="6"/>
  <c r="AB176" i="6"/>
  <c r="AB186" i="6"/>
  <c r="V176" i="6"/>
  <c r="V186" i="6"/>
  <c r="V188" i="6" s="1"/>
  <c r="AF176" i="6"/>
  <c r="AF178" i="6" s="1"/>
  <c r="AF186" i="6"/>
  <c r="AF188" i="6" s="1"/>
  <c r="G54" i="5"/>
  <c r="G62" i="5"/>
  <c r="G70" i="5"/>
  <c r="G78" i="5"/>
  <c r="G86" i="5"/>
  <c r="G53" i="5"/>
  <c r="G61" i="5"/>
  <c r="G69" i="5"/>
  <c r="G77" i="5"/>
  <c r="G85" i="5"/>
  <c r="G52" i="5"/>
  <c r="G60" i="5"/>
  <c r="G68" i="5"/>
  <c r="G76" i="5"/>
  <c r="G84" i="5"/>
  <c r="G51" i="5"/>
  <c r="G59" i="5"/>
  <c r="G67" i="5"/>
  <c r="G75" i="5"/>
  <c r="G83" i="5"/>
  <c r="G50" i="5"/>
  <c r="G58" i="5"/>
  <c r="G66" i="5"/>
  <c r="G74" i="5"/>
  <c r="G82" i="5"/>
  <c r="G57" i="5"/>
  <c r="G65" i="5"/>
  <c r="G73" i="5"/>
  <c r="G81" i="5"/>
  <c r="G56" i="5"/>
  <c r="G64" i="5"/>
  <c r="G72" i="5"/>
  <c r="G80" i="5"/>
  <c r="G88" i="5"/>
  <c r="G55" i="5"/>
  <c r="G63" i="5"/>
  <c r="G71" i="5"/>
  <c r="G79" i="5"/>
  <c r="G87" i="5"/>
  <c r="H55" i="5"/>
  <c r="H63" i="5"/>
  <c r="H71" i="5"/>
  <c r="H79" i="5"/>
  <c r="H87" i="5"/>
  <c r="H54" i="5"/>
  <c r="H62" i="5"/>
  <c r="H70" i="5"/>
  <c r="H78" i="5"/>
  <c r="H86" i="5"/>
  <c r="H53" i="5"/>
  <c r="H61" i="5"/>
  <c r="H69" i="5"/>
  <c r="H77" i="5"/>
  <c r="H85" i="5"/>
  <c r="H52" i="5"/>
  <c r="H60" i="5"/>
  <c r="H68" i="5"/>
  <c r="H76" i="5"/>
  <c r="H84" i="5"/>
  <c r="H51" i="5"/>
  <c r="H59" i="5"/>
  <c r="H67" i="5"/>
  <c r="H75" i="5"/>
  <c r="H83" i="5"/>
  <c r="H50" i="5"/>
  <c r="H58" i="5"/>
  <c r="H66" i="5"/>
  <c r="H74" i="5"/>
  <c r="H82" i="5"/>
  <c r="H57" i="5"/>
  <c r="H65" i="5"/>
  <c r="H73" i="5"/>
  <c r="H81" i="5"/>
  <c r="H56" i="5"/>
  <c r="H64" i="5"/>
  <c r="H72" i="5"/>
  <c r="H80" i="5"/>
  <c r="H88" i="5"/>
  <c r="F39" i="5"/>
  <c r="F53" i="5"/>
  <c r="F61" i="5"/>
  <c r="F69" i="5"/>
  <c r="F77" i="5"/>
  <c r="F85" i="5"/>
  <c r="F52" i="5"/>
  <c r="F60" i="5"/>
  <c r="F68" i="5"/>
  <c r="F76" i="5"/>
  <c r="F84" i="5"/>
  <c r="F51" i="5"/>
  <c r="F59" i="5"/>
  <c r="F67" i="5"/>
  <c r="F75" i="5"/>
  <c r="F83" i="5"/>
  <c r="F50" i="5"/>
  <c r="F58" i="5"/>
  <c r="F66" i="5"/>
  <c r="F74" i="5"/>
  <c r="F82" i="5"/>
  <c r="F57" i="5"/>
  <c r="F65" i="5"/>
  <c r="F73" i="5"/>
  <c r="F81" i="5"/>
  <c r="F56" i="5"/>
  <c r="F64" i="5"/>
  <c r="F72" i="5"/>
  <c r="F80" i="5"/>
  <c r="F88" i="5"/>
  <c r="F55" i="5"/>
  <c r="F63" i="5"/>
  <c r="F71" i="5"/>
  <c r="F79" i="5"/>
  <c r="F87" i="5"/>
  <c r="F54" i="5"/>
  <c r="F62" i="5"/>
  <c r="F70" i="5"/>
  <c r="F78" i="5"/>
  <c r="F86" i="5"/>
  <c r="E52" i="5"/>
  <c r="E60" i="5"/>
  <c r="E68" i="5"/>
  <c r="E76" i="5"/>
  <c r="E84" i="5"/>
  <c r="E51" i="5"/>
  <c r="E59" i="5"/>
  <c r="E67" i="5"/>
  <c r="E75" i="5"/>
  <c r="E83" i="5"/>
  <c r="E50" i="5"/>
  <c r="E58" i="5"/>
  <c r="E66" i="5"/>
  <c r="E74" i="5"/>
  <c r="E82" i="5"/>
  <c r="E57" i="5"/>
  <c r="E65" i="5"/>
  <c r="E73" i="5"/>
  <c r="E81" i="5"/>
  <c r="E56" i="5"/>
  <c r="E64" i="5"/>
  <c r="E72" i="5"/>
  <c r="E80" i="5"/>
  <c r="E88" i="5"/>
  <c r="E55" i="5"/>
  <c r="E63" i="5"/>
  <c r="E71" i="5"/>
  <c r="E79" i="5"/>
  <c r="E87" i="5"/>
  <c r="E54" i="5"/>
  <c r="E62" i="5"/>
  <c r="E70" i="5"/>
  <c r="E78" i="5"/>
  <c r="E86" i="5"/>
  <c r="E53" i="5"/>
  <c r="E61" i="5"/>
  <c r="E69" i="5"/>
  <c r="E77" i="5"/>
  <c r="E85" i="5"/>
  <c r="E39" i="5"/>
  <c r="I56" i="5"/>
  <c r="I64" i="5"/>
  <c r="I72" i="5"/>
  <c r="I80" i="5"/>
  <c r="I88" i="5"/>
  <c r="I55" i="5"/>
  <c r="I63" i="5"/>
  <c r="I71" i="5"/>
  <c r="I79" i="5"/>
  <c r="I87" i="5"/>
  <c r="I54" i="5"/>
  <c r="I62" i="5"/>
  <c r="I70" i="5"/>
  <c r="I78" i="5"/>
  <c r="I86" i="5"/>
  <c r="I53" i="5"/>
  <c r="I61" i="5"/>
  <c r="I69" i="5"/>
  <c r="I77" i="5"/>
  <c r="I85" i="5"/>
  <c r="I52" i="5"/>
  <c r="I60" i="5"/>
  <c r="I68" i="5"/>
  <c r="I76" i="5"/>
  <c r="I84" i="5"/>
  <c r="I51" i="5"/>
  <c r="I59" i="5"/>
  <c r="I67" i="5"/>
  <c r="I75" i="5"/>
  <c r="I83" i="5"/>
  <c r="I50" i="5"/>
  <c r="I58" i="5"/>
  <c r="I66" i="5"/>
  <c r="I74" i="5"/>
  <c r="I82" i="5"/>
  <c r="I57" i="5"/>
  <c r="I65" i="5"/>
  <c r="I73" i="5"/>
  <c r="I81" i="5"/>
  <c r="J57" i="5"/>
  <c r="J65" i="5"/>
  <c r="J73" i="5"/>
  <c r="J81" i="5"/>
  <c r="J56" i="5"/>
  <c r="J64" i="5"/>
  <c r="J72" i="5"/>
  <c r="J80" i="5"/>
  <c r="J88" i="5"/>
  <c r="J55" i="5"/>
  <c r="J63" i="5"/>
  <c r="J71" i="5"/>
  <c r="J79" i="5"/>
  <c r="J87" i="5"/>
  <c r="J54" i="5"/>
  <c r="J62" i="5"/>
  <c r="J70" i="5"/>
  <c r="J78" i="5"/>
  <c r="J86" i="5"/>
  <c r="J53" i="5"/>
  <c r="J61" i="5"/>
  <c r="J69" i="5"/>
  <c r="J77" i="5"/>
  <c r="J85" i="5"/>
  <c r="J52" i="5"/>
  <c r="J60" i="5"/>
  <c r="J68" i="5"/>
  <c r="J76" i="5"/>
  <c r="J84" i="5"/>
  <c r="J51" i="5"/>
  <c r="J59" i="5"/>
  <c r="J67" i="5"/>
  <c r="J75" i="5"/>
  <c r="J83" i="5"/>
  <c r="J50" i="5"/>
  <c r="J58" i="5"/>
  <c r="J66" i="5"/>
  <c r="J74" i="5"/>
  <c r="J82" i="5"/>
  <c r="H45" i="5"/>
  <c r="H49" i="5"/>
  <c r="H44" i="5"/>
  <c r="H48" i="5"/>
  <c r="H47" i="5"/>
  <c r="H43" i="5"/>
  <c r="H41" i="5"/>
  <c r="H40" i="5"/>
  <c r="H46" i="5"/>
  <c r="H42" i="5"/>
  <c r="E42" i="5"/>
  <c r="E46" i="5"/>
  <c r="E44" i="5"/>
  <c r="E41" i="5"/>
  <c r="E49" i="5"/>
  <c r="E45" i="5"/>
  <c r="E40" i="5"/>
  <c r="E48" i="5"/>
  <c r="E47" i="5"/>
  <c r="E43" i="5"/>
  <c r="J47" i="5"/>
  <c r="J46" i="5"/>
  <c r="J43" i="5"/>
  <c r="J42" i="5"/>
  <c r="J49" i="5"/>
  <c r="J45" i="5"/>
  <c r="J48" i="5"/>
  <c r="J44" i="5"/>
  <c r="J41" i="5"/>
  <c r="J40" i="5"/>
  <c r="F43" i="5"/>
  <c r="F42" i="5"/>
  <c r="F41" i="5"/>
  <c r="F49" i="5"/>
  <c r="F47" i="5"/>
  <c r="F46" i="5"/>
  <c r="F45" i="5"/>
  <c r="F44" i="5"/>
  <c r="F40" i="5"/>
  <c r="F48" i="5"/>
  <c r="G44" i="5"/>
  <c r="G43" i="5"/>
  <c r="G42" i="5"/>
  <c r="G41" i="5"/>
  <c r="G49" i="5"/>
  <c r="G40" i="5"/>
  <c r="G48" i="5"/>
  <c r="G47" i="5"/>
  <c r="G46" i="5"/>
  <c r="G45" i="5"/>
  <c r="I46" i="5"/>
  <c r="I42" i="5"/>
  <c r="I49" i="5"/>
  <c r="I45" i="5"/>
  <c r="I40" i="5"/>
  <c r="I44" i="5"/>
  <c r="I48" i="5"/>
  <c r="I43" i="5"/>
  <c r="I41" i="5"/>
  <c r="I47" i="5"/>
  <c r="G32" i="5"/>
  <c r="G29" i="5"/>
  <c r="G34" i="5"/>
  <c r="G31" i="5"/>
  <c r="G33" i="5"/>
  <c r="G30" i="5"/>
  <c r="G35" i="5"/>
  <c r="G36" i="5"/>
  <c r="G37" i="5"/>
  <c r="H32" i="5"/>
  <c r="H29" i="5"/>
  <c r="H34" i="5"/>
  <c r="H31" i="5"/>
  <c r="H33" i="5"/>
  <c r="H30" i="5"/>
  <c r="H37" i="5"/>
  <c r="H36" i="5"/>
  <c r="H35" i="5"/>
  <c r="F29" i="5"/>
  <c r="F34" i="5"/>
  <c r="F31" i="5"/>
  <c r="F33" i="5"/>
  <c r="F30" i="5"/>
  <c r="F32" i="5"/>
  <c r="F35" i="5"/>
  <c r="F37" i="5"/>
  <c r="F36" i="5"/>
  <c r="E34" i="5"/>
  <c r="E31" i="5"/>
  <c r="E33" i="5"/>
  <c r="E30" i="5"/>
  <c r="E32" i="5"/>
  <c r="E29" i="5"/>
  <c r="E37" i="5"/>
  <c r="E36" i="5"/>
  <c r="I30" i="5"/>
  <c r="I32" i="5"/>
  <c r="I29" i="5"/>
  <c r="I34" i="5"/>
  <c r="I31" i="5"/>
  <c r="I33" i="5"/>
  <c r="I35" i="5"/>
  <c r="I36" i="5"/>
  <c r="I37" i="5"/>
  <c r="J33" i="5"/>
  <c r="J30" i="5"/>
  <c r="J32" i="5"/>
  <c r="J29" i="5"/>
  <c r="J34" i="5"/>
  <c r="J31" i="5"/>
  <c r="J37" i="5"/>
  <c r="J36" i="5"/>
  <c r="J35" i="5"/>
  <c r="W52" i="6"/>
  <c r="G28" i="5"/>
  <c r="H28" i="5"/>
  <c r="V57" i="6"/>
  <c r="F28" i="5"/>
  <c r="U60" i="6"/>
  <c r="E28" i="5"/>
  <c r="I28" i="5"/>
  <c r="J28" i="5"/>
  <c r="AB241" i="6"/>
  <c r="AB246" i="6"/>
  <c r="AB231" i="6"/>
  <c r="AB211" i="6"/>
  <c r="AB226" i="6"/>
  <c r="AB221" i="6"/>
  <c r="AB216" i="6"/>
  <c r="AG246" i="6"/>
  <c r="AG248" i="6" s="1"/>
  <c r="AG231" i="6"/>
  <c r="AG233" i="6" s="1"/>
  <c r="AG221" i="6"/>
  <c r="AG223" i="6" s="1"/>
  <c r="AG216" i="6"/>
  <c r="AG218" i="6" s="1"/>
  <c r="AG226" i="6"/>
  <c r="AG228" i="6" s="1"/>
  <c r="AG241" i="6"/>
  <c r="AG243" i="6" s="1"/>
  <c r="AG211" i="6"/>
  <c r="AG213" i="6" s="1"/>
  <c r="V246" i="6"/>
  <c r="V241" i="6"/>
  <c r="V243" i="6" s="1"/>
  <c r="V231" i="6"/>
  <c r="V211" i="6"/>
  <c r="V213" i="6" s="1"/>
  <c r="V221" i="6"/>
  <c r="V223" i="6" s="1"/>
  <c r="V216" i="6"/>
  <c r="V218" i="6" s="1"/>
  <c r="V226" i="6"/>
  <c r="AQ241" i="6"/>
  <c r="AQ243" i="6" s="1"/>
  <c r="AQ246" i="6"/>
  <c r="AQ248" i="6" s="1"/>
  <c r="AQ221" i="6"/>
  <c r="AQ223" i="6" s="1"/>
  <c r="AQ231" i="6"/>
  <c r="AQ233" i="6" s="1"/>
  <c r="AQ211" i="6"/>
  <c r="AQ213" i="6" s="1"/>
  <c r="AQ226" i="6"/>
  <c r="AQ228" i="6" s="1"/>
  <c r="AQ216" i="6"/>
  <c r="AQ218" i="6" s="1"/>
  <c r="AF241" i="6"/>
  <c r="AF226" i="6"/>
  <c r="AF228" i="6" s="1"/>
  <c r="AF246" i="6"/>
  <c r="AF231" i="6"/>
  <c r="AF233" i="6" s="1"/>
  <c r="AF221" i="6"/>
  <c r="AF216" i="6"/>
  <c r="AF211" i="6"/>
  <c r="AF213" i="6" s="1"/>
  <c r="AM246" i="6"/>
  <c r="AM248" i="6" s="1"/>
  <c r="AM226" i="6"/>
  <c r="AM228" i="6" s="1"/>
  <c r="AM216" i="6"/>
  <c r="AM218" i="6" s="1"/>
  <c r="AM241" i="6"/>
  <c r="AM243" i="6" s="1"/>
  <c r="AM221" i="6"/>
  <c r="AM223" i="6" s="1"/>
  <c r="AM231" i="6"/>
  <c r="AM233" i="6" s="1"/>
  <c r="AM211" i="6"/>
  <c r="AM213" i="6" s="1"/>
  <c r="AV241" i="6"/>
  <c r="AV243" i="6" s="1"/>
  <c r="AV231" i="6"/>
  <c r="AV233" i="6" s="1"/>
  <c r="AV226" i="6"/>
  <c r="AV228" i="6" s="1"/>
  <c r="AV246" i="6"/>
  <c r="AV248" i="6" s="1"/>
  <c r="AV216" i="6"/>
  <c r="AV218" i="6" s="1"/>
  <c r="AV221" i="6"/>
  <c r="AV223" i="6" s="1"/>
  <c r="AV211" i="6"/>
  <c r="AV213" i="6" s="1"/>
  <c r="AL246" i="6"/>
  <c r="AL248" i="6" s="1"/>
  <c r="AL241" i="6"/>
  <c r="AL243" i="6" s="1"/>
  <c r="AL231" i="6"/>
  <c r="AL233" i="6" s="1"/>
  <c r="AL211" i="6"/>
  <c r="AL213" i="6" s="1"/>
  <c r="AL216" i="6"/>
  <c r="AL218" i="6" s="1"/>
  <c r="AL221" i="6"/>
  <c r="AL223" i="6" s="1"/>
  <c r="AL226" i="6"/>
  <c r="AL228" i="6" s="1"/>
  <c r="AH241" i="6"/>
  <c r="AH243" i="6" s="1"/>
  <c r="AH226" i="6"/>
  <c r="AH228" i="6" s="1"/>
  <c r="AH246" i="6"/>
  <c r="AH248" i="6" s="1"/>
  <c r="AH231" i="6"/>
  <c r="AH233" i="6" s="1"/>
  <c r="AH221" i="6"/>
  <c r="AH223" i="6" s="1"/>
  <c r="AH211" i="6"/>
  <c r="AH213" i="6" s="1"/>
  <c r="AH216" i="6"/>
  <c r="AH218" i="6" s="1"/>
  <c r="AP241" i="6"/>
  <c r="AP243" i="6" s="1"/>
  <c r="AP226" i="6"/>
  <c r="AP228" i="6" s="1"/>
  <c r="AP231" i="6"/>
  <c r="AP233" i="6" s="1"/>
  <c r="AP246" i="6"/>
  <c r="AP248" i="6" s="1"/>
  <c r="AP221" i="6"/>
  <c r="AP223" i="6" s="1"/>
  <c r="AP211" i="6"/>
  <c r="AP213" i="6" s="1"/>
  <c r="AP216" i="6"/>
  <c r="AP218" i="6" s="1"/>
  <c r="AI226" i="6"/>
  <c r="AI228" i="6" s="1"/>
  <c r="AI246" i="6"/>
  <c r="AI248" i="6" s="1"/>
  <c r="AI241" i="6"/>
  <c r="AI243" i="6" s="1"/>
  <c r="AI211" i="6"/>
  <c r="AI213" i="6" s="1"/>
  <c r="AI221" i="6"/>
  <c r="AI223" i="6" s="1"/>
  <c r="AI216" i="6"/>
  <c r="AI218" i="6" s="1"/>
  <c r="AI231" i="6"/>
  <c r="AI233" i="6" s="1"/>
  <c r="AU246" i="6"/>
  <c r="AU248" i="6" s="1"/>
  <c r="AU231" i="6"/>
  <c r="AU233" i="6" s="1"/>
  <c r="AU241" i="6"/>
  <c r="AU243" i="6" s="1"/>
  <c r="AU226" i="6"/>
  <c r="AU228" i="6" s="1"/>
  <c r="AU216" i="6"/>
  <c r="AU218" i="6" s="1"/>
  <c r="AU221" i="6"/>
  <c r="AU223" i="6" s="1"/>
  <c r="AU211" i="6"/>
  <c r="AU213" i="6" s="1"/>
  <c r="AR241" i="6"/>
  <c r="AR243" i="6" s="1"/>
  <c r="AR246" i="6"/>
  <c r="AR248" i="6" s="1"/>
  <c r="AR226" i="6"/>
  <c r="AR228" i="6" s="1"/>
  <c r="AR231" i="6"/>
  <c r="AR233" i="6" s="1"/>
  <c r="AR211" i="6"/>
  <c r="AR213" i="6" s="1"/>
  <c r="AR216" i="6"/>
  <c r="AR218" i="6" s="1"/>
  <c r="AR221" i="6"/>
  <c r="AR223" i="6" s="1"/>
  <c r="AT246" i="6"/>
  <c r="AT248" i="6" s="1"/>
  <c r="AT241" i="6"/>
  <c r="AT243" i="6" s="1"/>
  <c r="AT211" i="6"/>
  <c r="AT213" i="6" s="1"/>
  <c r="AT231" i="6"/>
  <c r="AT233" i="6" s="1"/>
  <c r="AT226" i="6"/>
  <c r="AT228" i="6" s="1"/>
  <c r="AT216" i="6"/>
  <c r="AT218" i="6" s="1"/>
  <c r="AT221" i="6"/>
  <c r="AT223" i="6" s="1"/>
  <c r="AJ241" i="6"/>
  <c r="AJ243" i="6" s="1"/>
  <c r="AJ246" i="6"/>
  <c r="AJ248" i="6" s="1"/>
  <c r="AJ226" i="6"/>
  <c r="AJ228" i="6" s="1"/>
  <c r="AJ211" i="6"/>
  <c r="AJ213" i="6" s="1"/>
  <c r="AJ216" i="6"/>
  <c r="AJ218" i="6" s="1"/>
  <c r="AJ231" i="6"/>
  <c r="AJ233" i="6" s="1"/>
  <c r="AJ221" i="6"/>
  <c r="AJ223" i="6" s="1"/>
  <c r="AW246" i="6"/>
  <c r="AW248" i="6" s="1"/>
  <c r="AW221" i="6"/>
  <c r="AW223" i="6" s="1"/>
  <c r="AW241" i="6"/>
  <c r="AW243" i="6" s="1"/>
  <c r="AW231" i="6"/>
  <c r="AW233" i="6" s="1"/>
  <c r="AW226" i="6"/>
  <c r="AW228" i="6" s="1"/>
  <c r="AW216" i="6"/>
  <c r="AW218" i="6" s="1"/>
  <c r="AW211" i="6"/>
  <c r="AW213" i="6" s="1"/>
  <c r="AK246" i="6"/>
  <c r="AK248" i="6" s="1"/>
  <c r="AK231" i="6"/>
  <c r="AK233" i="6" s="1"/>
  <c r="AK211" i="6"/>
  <c r="AK213" i="6" s="1"/>
  <c r="AK241" i="6"/>
  <c r="AK243" i="6" s="1"/>
  <c r="AK216" i="6"/>
  <c r="AK218" i="6" s="1"/>
  <c r="AK221" i="6"/>
  <c r="AK223" i="6" s="1"/>
  <c r="AK226" i="6"/>
  <c r="AK228" i="6" s="1"/>
  <c r="AN246" i="6"/>
  <c r="AN248" i="6" s="1"/>
  <c r="AN241" i="6"/>
  <c r="AN243" i="6" s="1"/>
  <c r="AN231" i="6"/>
  <c r="AN233" i="6" s="1"/>
  <c r="AN216" i="6"/>
  <c r="AN218" i="6" s="1"/>
  <c r="AN221" i="6"/>
  <c r="AN223" i="6" s="1"/>
  <c r="AN226" i="6"/>
  <c r="AN228" i="6" s="1"/>
  <c r="AN211" i="6"/>
  <c r="AN213" i="6" s="1"/>
  <c r="AS246" i="6"/>
  <c r="AS248" i="6" s="1"/>
  <c r="AS231" i="6"/>
  <c r="AS233" i="6" s="1"/>
  <c r="AS211" i="6"/>
  <c r="AS213" i="6" s="1"/>
  <c r="AS241" i="6"/>
  <c r="AS243" i="6" s="1"/>
  <c r="AS226" i="6"/>
  <c r="AS228" i="6" s="1"/>
  <c r="AS216" i="6"/>
  <c r="AS218" i="6" s="1"/>
  <c r="AS221" i="6"/>
  <c r="AS223" i="6" s="1"/>
  <c r="AO246" i="6"/>
  <c r="AO248" i="6" s="1"/>
  <c r="AO221" i="6"/>
  <c r="AO223" i="6" s="1"/>
  <c r="AO241" i="6"/>
  <c r="AO243" i="6" s="1"/>
  <c r="AO226" i="6"/>
  <c r="AO228" i="6" s="1"/>
  <c r="AO216" i="6"/>
  <c r="AO218" i="6" s="1"/>
  <c r="AO231" i="6"/>
  <c r="AO233" i="6" s="1"/>
  <c r="AO211" i="6"/>
  <c r="AO213" i="6" s="1"/>
  <c r="AH196" i="6"/>
  <c r="AH198" i="6" s="1"/>
  <c r="AH191" i="6"/>
  <c r="AH193" i="6" s="1"/>
  <c r="AH186" i="6"/>
  <c r="AH188" i="6" s="1"/>
  <c r="AH181" i="6"/>
  <c r="AH183" i="6" s="1"/>
  <c r="AH201" i="6"/>
  <c r="AH203" i="6" s="1"/>
  <c r="AW196" i="6"/>
  <c r="AW198" i="6" s="1"/>
  <c r="AW191" i="6"/>
  <c r="AW193" i="6" s="1"/>
  <c r="AW181" i="6"/>
  <c r="AW183" i="6" s="1"/>
  <c r="AW201" i="6"/>
  <c r="AW203" i="6" s="1"/>
  <c r="AW186" i="6"/>
  <c r="AW188" i="6" s="1"/>
  <c r="AQ201" i="6"/>
  <c r="AQ203" i="6" s="1"/>
  <c r="AQ186" i="6"/>
  <c r="AQ188" i="6" s="1"/>
  <c r="AQ191" i="6"/>
  <c r="AQ193" i="6" s="1"/>
  <c r="AQ196" i="6"/>
  <c r="AQ198" i="6" s="1"/>
  <c r="AQ181" i="6"/>
  <c r="AQ183" i="6" s="1"/>
  <c r="AL201" i="6"/>
  <c r="AL203" i="6" s="1"/>
  <c r="AL196" i="6"/>
  <c r="AL198" i="6" s="1"/>
  <c r="AL181" i="6"/>
  <c r="AL183" i="6" s="1"/>
  <c r="AL191" i="6"/>
  <c r="AL193" i="6" s="1"/>
  <c r="AL186" i="6"/>
  <c r="AL188" i="6" s="1"/>
  <c r="AO191" i="6"/>
  <c r="AO193" i="6" s="1"/>
  <c r="AO201" i="6"/>
  <c r="AO203" i="6" s="1"/>
  <c r="AO181" i="6"/>
  <c r="AO183" i="6" s="1"/>
  <c r="AO186" i="6"/>
  <c r="AO188" i="6" s="1"/>
  <c r="AO196" i="6"/>
  <c r="AO198" i="6" s="1"/>
  <c r="AB201" i="6"/>
  <c r="AB191" i="6"/>
  <c r="AB181" i="6"/>
  <c r="AB183" i="6" s="1"/>
  <c r="AB196" i="6"/>
  <c r="AG201" i="6"/>
  <c r="AG203" i="6" s="1"/>
  <c r="AG181" i="6"/>
  <c r="AG183" i="6" s="1"/>
  <c r="AG191" i="6"/>
  <c r="AG193" i="6" s="1"/>
  <c r="AG186" i="6"/>
  <c r="AG188" i="6" s="1"/>
  <c r="AG196" i="6"/>
  <c r="AG198" i="6" s="1"/>
  <c r="V196" i="6"/>
  <c r="V198" i="6" s="1"/>
  <c r="V191" i="6"/>
  <c r="V193" i="6" s="1"/>
  <c r="V201" i="6"/>
  <c r="V181" i="6"/>
  <c r="AS201" i="6"/>
  <c r="AS203" i="6" s="1"/>
  <c r="AS186" i="6"/>
  <c r="AS188" i="6" s="1"/>
  <c r="AS191" i="6"/>
  <c r="AS193" i="6" s="1"/>
  <c r="AS181" i="6"/>
  <c r="AS183" i="6" s="1"/>
  <c r="AS196" i="6"/>
  <c r="AS198" i="6" s="1"/>
  <c r="AF191" i="6"/>
  <c r="AF196" i="6"/>
  <c r="AF181" i="6"/>
  <c r="AF183" i="6" s="1"/>
  <c r="AF201" i="6"/>
  <c r="AF203" i="6" s="1"/>
  <c r="AM191" i="6"/>
  <c r="AM193" i="6" s="1"/>
  <c r="AM201" i="6"/>
  <c r="AM203" i="6" s="1"/>
  <c r="AM196" i="6"/>
  <c r="AM198" i="6" s="1"/>
  <c r="AM181" i="6"/>
  <c r="AM183" i="6" s="1"/>
  <c r="AM186" i="6"/>
  <c r="AM188" i="6" s="1"/>
  <c r="AR186" i="6"/>
  <c r="AR188" i="6" s="1"/>
  <c r="AR201" i="6"/>
  <c r="AR203" i="6" s="1"/>
  <c r="AR196" i="6"/>
  <c r="AR198" i="6" s="1"/>
  <c r="AR191" i="6"/>
  <c r="AR193" i="6" s="1"/>
  <c r="AR181" i="6"/>
  <c r="AR183" i="6" s="1"/>
  <c r="AU191" i="6"/>
  <c r="AU193" i="6" s="1"/>
  <c r="AU201" i="6"/>
  <c r="AU203" i="6" s="1"/>
  <c r="AU181" i="6"/>
  <c r="AU183" i="6" s="1"/>
  <c r="AU196" i="6"/>
  <c r="AU198" i="6" s="1"/>
  <c r="AU186" i="6"/>
  <c r="AU188" i="6" s="1"/>
  <c r="AJ186" i="6"/>
  <c r="AJ188" i="6" s="1"/>
  <c r="AJ191" i="6"/>
  <c r="AJ193" i="6" s="1"/>
  <c r="AJ201" i="6"/>
  <c r="AJ203" i="6" s="1"/>
  <c r="AJ196" i="6"/>
  <c r="AJ198" i="6" s="1"/>
  <c r="AJ181" i="6"/>
  <c r="AJ183" i="6" s="1"/>
  <c r="AI201" i="6"/>
  <c r="AI203" i="6" s="1"/>
  <c r="AI196" i="6"/>
  <c r="AI198" i="6" s="1"/>
  <c r="AI191" i="6"/>
  <c r="AI193" i="6" s="1"/>
  <c r="AI186" i="6"/>
  <c r="AI188" i="6" s="1"/>
  <c r="AI181" i="6"/>
  <c r="AI183" i="6" s="1"/>
  <c r="AT186" i="6"/>
  <c r="AT188" i="6" s="1"/>
  <c r="AT196" i="6"/>
  <c r="AT198" i="6" s="1"/>
  <c r="AT191" i="6"/>
  <c r="AT193" i="6" s="1"/>
  <c r="AT181" i="6"/>
  <c r="AT183" i="6" s="1"/>
  <c r="AT201" i="6"/>
  <c r="AT203" i="6" s="1"/>
  <c r="AK201" i="6"/>
  <c r="AK203" i="6" s="1"/>
  <c r="AK181" i="6"/>
  <c r="AK183" i="6" s="1"/>
  <c r="AK196" i="6"/>
  <c r="AK198" i="6" s="1"/>
  <c r="AK191" i="6"/>
  <c r="AK193" i="6" s="1"/>
  <c r="AK186" i="6"/>
  <c r="AK188" i="6" s="1"/>
  <c r="AN196" i="6"/>
  <c r="AN198" i="6" s="1"/>
  <c r="AN191" i="6"/>
  <c r="AN193" i="6" s="1"/>
  <c r="AN201" i="6"/>
  <c r="AN203" i="6" s="1"/>
  <c r="AN181" i="6"/>
  <c r="AN183" i="6" s="1"/>
  <c r="AN186" i="6"/>
  <c r="AN188" i="6" s="1"/>
  <c r="AV201" i="6"/>
  <c r="AV203" i="6" s="1"/>
  <c r="AV196" i="6"/>
  <c r="AV198" i="6" s="1"/>
  <c r="AV191" i="6"/>
  <c r="AV193" i="6" s="1"/>
  <c r="AV181" i="6"/>
  <c r="AV183" i="6" s="1"/>
  <c r="AV186" i="6"/>
  <c r="AV188" i="6" s="1"/>
  <c r="AP196" i="6"/>
  <c r="AP198" i="6" s="1"/>
  <c r="AP201" i="6"/>
  <c r="AP203" i="6" s="1"/>
  <c r="AP186" i="6"/>
  <c r="AP188" i="6" s="1"/>
  <c r="AP191" i="6"/>
  <c r="AP193" i="6" s="1"/>
  <c r="AP181" i="6"/>
  <c r="AP183" i="6" s="1"/>
  <c r="W59" i="6"/>
  <c r="W53" i="6"/>
  <c r="X52" i="6"/>
  <c r="V52" i="6"/>
  <c r="W55" i="6"/>
  <c r="Z60" i="6"/>
  <c r="Y53" i="6"/>
  <c r="X61" i="6"/>
  <c r="V56" i="6"/>
  <c r="X54" i="6"/>
  <c r="U59" i="6"/>
  <c r="Y57" i="6"/>
  <c r="V58" i="6"/>
  <c r="Z56" i="6"/>
  <c r="X59" i="6"/>
  <c r="Y59" i="6"/>
  <c r="Y54" i="6"/>
  <c r="U52" i="6"/>
  <c r="V61" i="6"/>
  <c r="V53" i="6"/>
  <c r="W56" i="6"/>
  <c r="W61" i="6"/>
  <c r="Z57" i="6"/>
  <c r="X56" i="6"/>
  <c r="X55" i="6"/>
  <c r="Y55" i="6"/>
  <c r="U56" i="6"/>
  <c r="V60" i="6"/>
  <c r="V55" i="6"/>
  <c r="V54" i="6"/>
  <c r="W57" i="6"/>
  <c r="Z55" i="6"/>
  <c r="Z58" i="6"/>
  <c r="X53" i="6"/>
  <c r="U58" i="6"/>
  <c r="Y56" i="6"/>
  <c r="V59" i="6"/>
  <c r="W54" i="6"/>
  <c r="Z54" i="6"/>
  <c r="U57" i="6"/>
  <c r="U55" i="6"/>
  <c r="U54" i="6"/>
  <c r="Y60" i="6"/>
  <c r="Y61" i="6"/>
  <c r="Y52" i="6"/>
  <c r="Y58" i="6"/>
  <c r="W58" i="6"/>
  <c r="W60" i="6"/>
  <c r="Z59" i="6"/>
  <c r="Z61" i="6"/>
  <c r="X58" i="6"/>
  <c r="X57" i="6"/>
  <c r="U53" i="6"/>
  <c r="Z52" i="6"/>
  <c r="Z53" i="6"/>
  <c r="X60" i="6"/>
  <c r="U61" i="6"/>
  <c r="T125" i="6"/>
  <c r="T133" i="6"/>
  <c r="T127" i="6"/>
  <c r="T128" i="6"/>
  <c r="T129" i="6"/>
  <c r="T138" i="6"/>
  <c r="T132" i="6"/>
  <c r="T126" i="6"/>
  <c r="T134" i="6"/>
  <c r="T135" i="6"/>
  <c r="T136" i="6"/>
  <c r="T137" i="6"/>
  <c r="T130" i="6"/>
  <c r="T124" i="6"/>
  <c r="T131" i="6"/>
  <c r="AA39" i="6"/>
  <c r="V37" i="6"/>
  <c r="AB37" i="6"/>
  <c r="T139" i="6"/>
  <c r="T142" i="6"/>
  <c r="T140" i="6"/>
  <c r="T141" i="6"/>
  <c r="T123" i="6"/>
  <c r="AG156" i="6"/>
  <c r="AG171" i="6"/>
  <c r="AG161" i="6"/>
  <c r="AG166" i="6"/>
  <c r="AG151" i="6"/>
  <c r="AC37" i="6"/>
  <c r="AC150" i="6"/>
  <c r="AI151" i="6"/>
  <c r="AI156" i="6"/>
  <c r="AI161" i="6"/>
  <c r="AI171" i="6"/>
  <c r="AI166" i="6"/>
  <c r="Y37" i="6"/>
  <c r="Y150" i="6"/>
  <c r="Y181" i="6" s="1"/>
  <c r="Y183" i="6" s="1"/>
  <c r="AM166" i="6"/>
  <c r="AM151" i="6"/>
  <c r="AM161" i="6"/>
  <c r="AM171" i="6"/>
  <c r="AM156" i="6"/>
  <c r="U37" i="6"/>
  <c r="U150" i="6"/>
  <c r="W37" i="6"/>
  <c r="W150" i="6"/>
  <c r="AU166" i="6"/>
  <c r="AU156" i="6"/>
  <c r="AU151" i="6"/>
  <c r="AU161" i="6"/>
  <c r="AU171" i="6"/>
  <c r="AA37" i="6"/>
  <c r="AA150" i="6"/>
  <c r="AQ151" i="6"/>
  <c r="AQ156" i="6"/>
  <c r="AQ161" i="6"/>
  <c r="AQ171" i="6"/>
  <c r="AQ166" i="6"/>
  <c r="AP151" i="6"/>
  <c r="AP156" i="6"/>
  <c r="AP161" i="6"/>
  <c r="AP166" i="6"/>
  <c r="AP171" i="6"/>
  <c r="AN161" i="6"/>
  <c r="AN156" i="6"/>
  <c r="AN166" i="6"/>
  <c r="AN151" i="6"/>
  <c r="AN171" i="6"/>
  <c r="AL171" i="6"/>
  <c r="AL151" i="6"/>
  <c r="AL166" i="6"/>
  <c r="AL156" i="6"/>
  <c r="AL161" i="6"/>
  <c r="AJ151" i="6"/>
  <c r="AJ156" i="6"/>
  <c r="AJ161" i="6"/>
  <c r="AJ171" i="6"/>
  <c r="AJ166" i="6"/>
  <c r="AK151" i="6"/>
  <c r="AK156" i="6"/>
  <c r="AK166" i="6"/>
  <c r="AK161" i="6"/>
  <c r="AK171" i="6"/>
  <c r="AE37" i="6"/>
  <c r="AE150" i="6"/>
  <c r="AT171" i="6"/>
  <c r="AT151" i="6"/>
  <c r="AT156" i="6"/>
  <c r="AT161" i="6"/>
  <c r="AT166" i="6"/>
  <c r="AH151" i="6"/>
  <c r="AH156" i="6"/>
  <c r="AH161" i="6"/>
  <c r="AH166" i="6"/>
  <c r="AH171" i="6"/>
  <c r="AO156" i="6"/>
  <c r="AO171" i="6"/>
  <c r="AO151" i="6"/>
  <c r="AO166" i="6"/>
  <c r="AO161" i="6"/>
  <c r="V171" i="6"/>
  <c r="V151" i="6"/>
  <c r="V156" i="6"/>
  <c r="V161" i="6"/>
  <c r="V166" i="6"/>
  <c r="X37" i="6"/>
  <c r="X150" i="6"/>
  <c r="AD37" i="6"/>
  <c r="AD150" i="6"/>
  <c r="AR151" i="6"/>
  <c r="AR156" i="6"/>
  <c r="AR161" i="6"/>
  <c r="AR171" i="6"/>
  <c r="AR166" i="6"/>
  <c r="Z37" i="6"/>
  <c r="Z150" i="6"/>
  <c r="AF161" i="6"/>
  <c r="AF171" i="6"/>
  <c r="AF151" i="6"/>
  <c r="AF166" i="6"/>
  <c r="AF156" i="6"/>
  <c r="AB151" i="6"/>
  <c r="AB156" i="6"/>
  <c r="AB166" i="6"/>
  <c r="AB161" i="6"/>
  <c r="AB171" i="6"/>
  <c r="AW156" i="6"/>
  <c r="AW171" i="6"/>
  <c r="AW166" i="6"/>
  <c r="AW161" i="6"/>
  <c r="AW151" i="6"/>
  <c r="AV161" i="6"/>
  <c r="AV166" i="6"/>
  <c r="AV156" i="6"/>
  <c r="AV151" i="6"/>
  <c r="AV171" i="6"/>
  <c r="AS151" i="6"/>
  <c r="AS156" i="6"/>
  <c r="AS161" i="6"/>
  <c r="AS171" i="6"/>
  <c r="AS166" i="6"/>
  <c r="AH37" i="6"/>
  <c r="AH38" i="6" s="1"/>
  <c r="AW37" i="6"/>
  <c r="AW38" i="6" s="1"/>
  <c r="AV37" i="6"/>
  <c r="AV38" i="6" s="1"/>
  <c r="AL37" i="6"/>
  <c r="AL38" i="6" s="1"/>
  <c r="AM37" i="6"/>
  <c r="AM38" i="6" s="1"/>
  <c r="AU37" i="6"/>
  <c r="AU38" i="6" s="1"/>
  <c r="AR37" i="6"/>
  <c r="AR38" i="6" s="1"/>
  <c r="AF37" i="6"/>
  <c r="AS37" i="6"/>
  <c r="AS38" i="6" s="1"/>
  <c r="AN37" i="6"/>
  <c r="AN38" i="6" s="1"/>
  <c r="AT37" i="6"/>
  <c r="AT38" i="6" s="1"/>
  <c r="AK37" i="6"/>
  <c r="AK38" i="6" s="1"/>
  <c r="AG37" i="6"/>
  <c r="AG38" i="6" s="1"/>
  <c r="AQ37" i="6"/>
  <c r="AQ38" i="6" s="1"/>
  <c r="AO37" i="6"/>
  <c r="AO38" i="6" s="1"/>
  <c r="AI37" i="6"/>
  <c r="AI38" i="6" s="1"/>
  <c r="AP37" i="6"/>
  <c r="AP38" i="6" s="1"/>
  <c r="AJ37" i="6"/>
  <c r="AJ38" i="6" s="1"/>
  <c r="AU144" i="5"/>
  <c r="T122" i="6"/>
  <c r="D174" i="6"/>
  <c r="C158" i="6"/>
  <c r="D158" i="6"/>
  <c r="C173" i="6"/>
  <c r="D168" i="6"/>
  <c r="C168" i="6"/>
  <c r="E169" i="6"/>
  <c r="D169" i="6" s="1"/>
  <c r="D159" i="6"/>
  <c r="D164" i="6"/>
  <c r="D173" i="6"/>
  <c r="C163" i="6"/>
  <c r="D163" i="6"/>
  <c r="C153" i="6"/>
  <c r="D153" i="6"/>
  <c r="V168" i="6" l="1"/>
  <c r="V163" i="6"/>
  <c r="V173" i="6"/>
  <c r="AR240" i="6"/>
  <c r="AR238" i="6"/>
  <c r="AQ240" i="6"/>
  <c r="AQ238" i="6"/>
  <c r="AV239" i="6"/>
  <c r="AV238" i="6"/>
  <c r="AS237" i="6"/>
  <c r="AS238" i="6"/>
  <c r="AB237" i="6"/>
  <c r="AP237" i="6"/>
  <c r="AP238" i="6"/>
  <c r="AJ240" i="6"/>
  <c r="AJ238" i="6"/>
  <c r="AL239" i="6"/>
  <c r="AL238" i="6"/>
  <c r="AG240" i="6"/>
  <c r="AG238" i="6"/>
  <c r="AT237" i="6"/>
  <c r="AT238" i="6"/>
  <c r="AU237" i="6"/>
  <c r="AU238" i="6"/>
  <c r="AH237" i="6"/>
  <c r="AH238" i="6"/>
  <c r="AO237" i="6"/>
  <c r="AO238" i="6"/>
  <c r="AS240" i="6"/>
  <c r="AB177" i="6"/>
  <c r="AV172" i="6"/>
  <c r="AV173" i="6"/>
  <c r="AW172" i="6"/>
  <c r="AW173" i="6"/>
  <c r="AP172" i="6"/>
  <c r="AP173" i="6"/>
  <c r="AH172" i="6"/>
  <c r="AH173" i="6"/>
  <c r="AB172" i="6"/>
  <c r="AF172" i="6"/>
  <c r="AT172" i="6"/>
  <c r="AT173" i="6"/>
  <c r="AJ172" i="6"/>
  <c r="AJ173" i="6"/>
  <c r="AL172" i="6"/>
  <c r="AL173" i="6"/>
  <c r="AS172" i="6"/>
  <c r="AS173" i="6"/>
  <c r="AN172" i="6"/>
  <c r="AN173" i="6"/>
  <c r="AK172" i="6"/>
  <c r="AK173" i="6"/>
  <c r="AU172" i="6"/>
  <c r="AU173" i="6"/>
  <c r="AI172" i="6"/>
  <c r="AI173" i="6"/>
  <c r="AR172" i="6"/>
  <c r="AR173" i="6"/>
  <c r="AO172" i="6"/>
  <c r="AO173" i="6"/>
  <c r="AQ172" i="6"/>
  <c r="AQ173" i="6"/>
  <c r="AM172" i="6"/>
  <c r="AM173" i="6"/>
  <c r="AG172" i="6"/>
  <c r="AG173" i="6"/>
  <c r="AJ167" i="6"/>
  <c r="AJ168" i="6"/>
  <c r="AM167" i="6"/>
  <c r="AM168" i="6"/>
  <c r="AB167" i="6"/>
  <c r="AO167" i="6"/>
  <c r="AO168" i="6"/>
  <c r="AI167" i="6"/>
  <c r="AI168" i="6"/>
  <c r="AG167" i="6"/>
  <c r="AG168" i="6"/>
  <c r="AF167" i="6"/>
  <c r="AL167" i="6"/>
  <c r="AL168" i="6"/>
  <c r="AH167" i="6"/>
  <c r="AH168" i="6"/>
  <c r="AS167" i="6"/>
  <c r="AS168" i="6"/>
  <c r="AR167" i="6"/>
  <c r="AR168" i="6"/>
  <c r="AT167" i="6"/>
  <c r="AT168" i="6"/>
  <c r="AN167" i="6"/>
  <c r="AN168" i="6"/>
  <c r="AQ167" i="6"/>
  <c r="AQ168" i="6"/>
  <c r="AU167" i="6"/>
  <c r="AU168" i="6"/>
  <c r="AP167" i="6"/>
  <c r="AP168" i="6"/>
  <c r="AV167" i="6"/>
  <c r="AV168" i="6"/>
  <c r="AW167" i="6"/>
  <c r="AW168" i="6"/>
  <c r="AK167" i="6"/>
  <c r="AK168" i="6"/>
  <c r="AR162" i="6"/>
  <c r="AR163" i="6"/>
  <c r="AN162" i="6"/>
  <c r="AN163" i="6"/>
  <c r="AQ162" i="6"/>
  <c r="AQ163" i="6"/>
  <c r="AM162" i="6"/>
  <c r="AM163" i="6"/>
  <c r="AB162" i="6"/>
  <c r="AF162" i="6"/>
  <c r="AF163" i="6"/>
  <c r="AH162" i="6"/>
  <c r="AH163" i="6"/>
  <c r="AP162" i="6"/>
  <c r="AP163" i="6"/>
  <c r="AO162" i="6"/>
  <c r="AO163" i="6"/>
  <c r="AJ162" i="6"/>
  <c r="AJ163" i="6"/>
  <c r="AV162" i="6"/>
  <c r="AV163" i="6"/>
  <c r="AS162" i="6"/>
  <c r="AS163" i="6"/>
  <c r="AW162" i="6"/>
  <c r="AW163" i="6"/>
  <c r="AK162" i="6"/>
  <c r="AK163" i="6"/>
  <c r="AU162" i="6"/>
  <c r="AU163" i="6"/>
  <c r="AG162" i="6"/>
  <c r="AG163" i="6"/>
  <c r="AT162" i="6"/>
  <c r="AT163" i="6"/>
  <c r="AL162" i="6"/>
  <c r="AL163" i="6"/>
  <c r="AI162" i="6"/>
  <c r="AI163" i="6"/>
  <c r="AO157" i="6"/>
  <c r="AO158" i="6"/>
  <c r="AT157" i="6"/>
  <c r="AT158" i="6"/>
  <c r="AK157" i="6"/>
  <c r="AK158" i="6"/>
  <c r="AL157" i="6"/>
  <c r="AL158" i="6"/>
  <c r="AU157" i="6"/>
  <c r="AU158" i="6"/>
  <c r="AI157" i="6"/>
  <c r="AI158" i="6"/>
  <c r="AG157" i="6"/>
  <c r="AG158" i="6"/>
  <c r="AQ157" i="6"/>
  <c r="AQ158" i="6"/>
  <c r="AW157" i="6"/>
  <c r="AW158" i="6"/>
  <c r="AH157" i="6"/>
  <c r="AH158" i="6"/>
  <c r="AP157" i="6"/>
  <c r="AP158" i="6"/>
  <c r="AB157" i="6"/>
  <c r="AJ157" i="6"/>
  <c r="AJ158" i="6"/>
  <c r="AR157" i="6"/>
  <c r="AR158" i="6"/>
  <c r="AV157" i="6"/>
  <c r="AV158" i="6"/>
  <c r="AS157" i="6"/>
  <c r="AS158" i="6"/>
  <c r="AM157" i="6"/>
  <c r="AM158" i="6"/>
  <c r="AF157" i="6"/>
  <c r="AF158" i="6"/>
  <c r="AN157" i="6"/>
  <c r="AN158" i="6"/>
  <c r="AV152" i="6"/>
  <c r="AV153" i="6"/>
  <c r="AF152" i="6"/>
  <c r="AF153" i="6"/>
  <c r="AT152" i="6"/>
  <c r="AT153" i="6"/>
  <c r="AK152" i="6"/>
  <c r="AK153" i="6"/>
  <c r="AM152" i="6"/>
  <c r="AM153" i="6"/>
  <c r="AI152" i="6"/>
  <c r="AI153" i="6"/>
  <c r="AR152" i="6"/>
  <c r="AR153" i="6"/>
  <c r="AL152" i="6"/>
  <c r="AL153" i="6"/>
  <c r="AQ152" i="6"/>
  <c r="AQ153" i="6"/>
  <c r="AG152" i="6"/>
  <c r="AG153" i="6"/>
  <c r="AP152" i="6"/>
  <c r="AP153" i="6"/>
  <c r="AW152" i="6"/>
  <c r="AW153" i="6"/>
  <c r="AH152" i="6"/>
  <c r="AH153" i="6"/>
  <c r="AN152" i="6"/>
  <c r="AN153" i="6"/>
  <c r="AB152" i="6"/>
  <c r="AO152" i="6"/>
  <c r="AO153" i="6"/>
  <c r="AJ152" i="6"/>
  <c r="AJ153" i="6"/>
  <c r="AS152" i="6"/>
  <c r="AS153" i="6"/>
  <c r="AU152" i="6"/>
  <c r="AU153" i="6"/>
  <c r="AO240" i="6"/>
  <c r="W113" i="6"/>
  <c r="W40" i="6"/>
  <c r="W39" i="6" s="1"/>
  <c r="V113" i="6"/>
  <c r="V40" i="6"/>
  <c r="V39" i="6" s="1"/>
  <c r="U113" i="6"/>
  <c r="U40" i="6"/>
  <c r="U39" i="6" s="1"/>
  <c r="Z113" i="6"/>
  <c r="Z40" i="6"/>
  <c r="Z39" i="6" s="1"/>
  <c r="X113" i="6"/>
  <c r="X40" i="6"/>
  <c r="X39" i="6" s="1"/>
  <c r="Y113" i="6"/>
  <c r="Y40" i="6"/>
  <c r="Y39" i="6" s="1"/>
  <c r="AU240" i="6"/>
  <c r="U62" i="6"/>
  <c r="U51" i="6"/>
  <c r="AK239" i="6"/>
  <c r="AF237" i="6"/>
  <c r="AU239" i="6"/>
  <c r="AT240" i="6"/>
  <c r="AT239" i="6"/>
  <c r="AQ237" i="6"/>
  <c r="AV240" i="6"/>
  <c r="AR237" i="6"/>
  <c r="AR239" i="6"/>
  <c r="AV237" i="6"/>
  <c r="AS239" i="6"/>
  <c r="AK240" i="6"/>
  <c r="AK237" i="6"/>
  <c r="AQ239" i="6"/>
  <c r="AG239" i="6"/>
  <c r="AL240" i="6"/>
  <c r="AW240" i="6"/>
  <c r="AI239" i="6"/>
  <c r="AW239" i="6"/>
  <c r="AI240" i="6"/>
  <c r="AJ237" i="6"/>
  <c r="AM239" i="6"/>
  <c r="AP239" i="6"/>
  <c r="AM240" i="6"/>
  <c r="AL237" i="6"/>
  <c r="AP240" i="6"/>
  <c r="AM237" i="6"/>
  <c r="AJ239" i="6"/>
  <c r="AI237" i="6"/>
  <c r="AW237" i="6"/>
  <c r="AN240" i="6"/>
  <c r="AN239" i="6"/>
  <c r="AN237" i="6"/>
  <c r="AE236" i="6"/>
  <c r="AE206" i="6"/>
  <c r="AE208" i="6" s="1"/>
  <c r="AT207" i="6"/>
  <c r="AT209" i="6"/>
  <c r="AT210" i="6"/>
  <c r="AF207" i="6"/>
  <c r="AU209" i="6"/>
  <c r="AU210" i="6"/>
  <c r="AU207" i="6"/>
  <c r="AH209" i="6"/>
  <c r="AH210" i="6"/>
  <c r="AH207" i="6"/>
  <c r="AO209" i="6"/>
  <c r="AO210" i="6"/>
  <c r="AO207" i="6"/>
  <c r="AD236" i="6"/>
  <c r="AD206" i="6"/>
  <c r="AD208" i="6" s="1"/>
  <c r="AA236" i="6"/>
  <c r="AA206" i="6"/>
  <c r="AA208" i="6" s="1"/>
  <c r="Y236" i="6"/>
  <c r="Y206" i="6"/>
  <c r="Y208" i="6" s="1"/>
  <c r="Z236" i="6"/>
  <c r="Z206" i="6"/>
  <c r="Z208" i="6" s="1"/>
  <c r="U236" i="6"/>
  <c r="U206" i="6"/>
  <c r="AR207" i="6"/>
  <c r="AR209" i="6"/>
  <c r="AR210" i="6"/>
  <c r="AK207" i="6"/>
  <c r="AK209" i="6"/>
  <c r="AK210" i="6"/>
  <c r="AQ210" i="6"/>
  <c r="AQ207" i="6"/>
  <c r="AQ209" i="6"/>
  <c r="AV209" i="6"/>
  <c r="AV210" i="6"/>
  <c r="AV207" i="6"/>
  <c r="AS207" i="6"/>
  <c r="AS209" i="6"/>
  <c r="AS210" i="6"/>
  <c r="AI210" i="6"/>
  <c r="AI207" i="6"/>
  <c r="AI209" i="6"/>
  <c r="AM207" i="6"/>
  <c r="AM209" i="6"/>
  <c r="AM210" i="6"/>
  <c r="AW209" i="6"/>
  <c r="AW210" i="6"/>
  <c r="AW207" i="6"/>
  <c r="AB207" i="6"/>
  <c r="AN209" i="6"/>
  <c r="AN210" i="6"/>
  <c r="AN207" i="6"/>
  <c r="AH239" i="6"/>
  <c r="X236" i="6"/>
  <c r="X206" i="6"/>
  <c r="X208" i="6" s="1"/>
  <c r="AH240" i="6"/>
  <c r="AP210" i="6"/>
  <c r="AP209" i="6"/>
  <c r="AP207" i="6"/>
  <c r="AJ207" i="6"/>
  <c r="AJ209" i="6"/>
  <c r="AJ210" i="6"/>
  <c r="AL207" i="6"/>
  <c r="AL209" i="6"/>
  <c r="AL210" i="6"/>
  <c r="V207" i="6"/>
  <c r="AG209" i="6"/>
  <c r="AG210" i="6"/>
  <c r="AG207" i="6"/>
  <c r="W236" i="6"/>
  <c r="W206" i="6"/>
  <c r="AC236" i="6"/>
  <c r="AC206" i="6"/>
  <c r="AC208" i="6" s="1"/>
  <c r="V237" i="6"/>
  <c r="AF177" i="6"/>
  <c r="V187" i="6"/>
  <c r="W176" i="6"/>
  <c r="W186" i="6"/>
  <c r="AC176" i="6"/>
  <c r="AC186" i="6"/>
  <c r="AD176" i="6"/>
  <c r="AD186" i="6"/>
  <c r="AE176" i="6"/>
  <c r="AE186" i="6"/>
  <c r="AA176" i="6"/>
  <c r="AA186" i="6"/>
  <c r="Y176" i="6"/>
  <c r="Y186" i="6"/>
  <c r="Z176" i="6"/>
  <c r="Z186" i="6"/>
  <c r="U176" i="6"/>
  <c r="U186" i="6"/>
  <c r="U188" i="6" s="1"/>
  <c r="X176" i="6"/>
  <c r="X186" i="6"/>
  <c r="V177" i="6"/>
  <c r="V162" i="6"/>
  <c r="V152" i="6"/>
  <c r="AD246" i="6"/>
  <c r="AD241" i="6"/>
  <c r="AD226" i="6"/>
  <c r="AD228" i="6" s="1"/>
  <c r="AD211" i="6"/>
  <c r="AD231" i="6"/>
  <c r="AD233" i="6" s="1"/>
  <c r="AD221" i="6"/>
  <c r="AD216" i="6"/>
  <c r="AA246" i="6"/>
  <c r="AA241" i="6"/>
  <c r="AA231" i="6"/>
  <c r="AA211" i="6"/>
  <c r="AA226" i="6"/>
  <c r="AA221" i="6"/>
  <c r="AA216" i="6"/>
  <c r="AS235" i="6"/>
  <c r="AS234" i="6"/>
  <c r="AS232" i="6"/>
  <c r="AJ232" i="6"/>
  <c r="AJ235" i="6"/>
  <c r="AJ234" i="6"/>
  <c r="AI247" i="6"/>
  <c r="AI250" i="6"/>
  <c r="AI249" i="6"/>
  <c r="AM222" i="6"/>
  <c r="AM224" i="6"/>
  <c r="AM225" i="6"/>
  <c r="V242" i="6"/>
  <c r="Z241" i="6"/>
  <c r="Z226" i="6"/>
  <c r="Z246" i="6"/>
  <c r="Z231" i="6"/>
  <c r="Z211" i="6"/>
  <c r="Z221" i="6"/>
  <c r="Z216" i="6"/>
  <c r="AO225" i="6"/>
  <c r="AO224" i="6"/>
  <c r="AO222" i="6"/>
  <c r="AS247" i="6"/>
  <c r="AS250" i="6"/>
  <c r="AS249" i="6"/>
  <c r="AK230" i="6"/>
  <c r="AK227" i="6"/>
  <c r="AK229" i="6"/>
  <c r="AW219" i="6"/>
  <c r="AW217" i="6"/>
  <c r="AW220" i="6"/>
  <c r="AJ220" i="6"/>
  <c r="AJ217" i="6"/>
  <c r="AJ219" i="6"/>
  <c r="AT232" i="6"/>
  <c r="AT235" i="6"/>
  <c r="AT234" i="6"/>
  <c r="AR230" i="6"/>
  <c r="AR229" i="6"/>
  <c r="AR227" i="6"/>
  <c r="AU235" i="6"/>
  <c r="AU234" i="6"/>
  <c r="AU232" i="6"/>
  <c r="AI227" i="6"/>
  <c r="AI230" i="6"/>
  <c r="AI229" i="6"/>
  <c r="AH220" i="6"/>
  <c r="AH219" i="6"/>
  <c r="AH217" i="6"/>
  <c r="AL225" i="6"/>
  <c r="AL222" i="6"/>
  <c r="AL224" i="6"/>
  <c r="AV220" i="6"/>
  <c r="AV219" i="6"/>
  <c r="AV217" i="6"/>
  <c r="AM244" i="6"/>
  <c r="AM245" i="6"/>
  <c r="AM242" i="6"/>
  <c r="AF247" i="6"/>
  <c r="AQ247" i="6"/>
  <c r="AQ250" i="6"/>
  <c r="AQ249" i="6"/>
  <c r="V247" i="6"/>
  <c r="AB217" i="6"/>
  <c r="Y246" i="6"/>
  <c r="Y226" i="6"/>
  <c r="Y221" i="6"/>
  <c r="Y216" i="6"/>
  <c r="Y231" i="6"/>
  <c r="Y211" i="6"/>
  <c r="Y241" i="6"/>
  <c r="AO242" i="6"/>
  <c r="AO245" i="6"/>
  <c r="AO244" i="6"/>
  <c r="AT230" i="6"/>
  <c r="AT227" i="6"/>
  <c r="AT229" i="6"/>
  <c r="AP242" i="6"/>
  <c r="AP245" i="6"/>
  <c r="AP244" i="6"/>
  <c r="AG250" i="6"/>
  <c r="AG249" i="6"/>
  <c r="AG247" i="6"/>
  <c r="U246" i="6"/>
  <c r="U231" i="6"/>
  <c r="U241" i="6"/>
  <c r="U243" i="6" s="1"/>
  <c r="U226" i="6"/>
  <c r="U211" i="6"/>
  <c r="U213" i="6" s="1"/>
  <c r="U221" i="6"/>
  <c r="U223" i="6" s="1"/>
  <c r="U216" i="6"/>
  <c r="U218" i="6" s="1"/>
  <c r="X231" i="6"/>
  <c r="X246" i="6"/>
  <c r="X241" i="6"/>
  <c r="X221" i="6"/>
  <c r="X216" i="6"/>
  <c r="X226" i="6"/>
  <c r="X211" i="6"/>
  <c r="AO250" i="6"/>
  <c r="AO249" i="6"/>
  <c r="AO247" i="6"/>
  <c r="AN215" i="6"/>
  <c r="AN214" i="6"/>
  <c r="AN212" i="6"/>
  <c r="AK225" i="6"/>
  <c r="AK222" i="6"/>
  <c r="AK224" i="6"/>
  <c r="AW227" i="6"/>
  <c r="AW230" i="6"/>
  <c r="AW229" i="6"/>
  <c r="AJ212" i="6"/>
  <c r="AJ215" i="6"/>
  <c r="AJ214" i="6"/>
  <c r="AT215" i="6"/>
  <c r="AT214" i="6"/>
  <c r="AT212" i="6"/>
  <c r="AR247" i="6"/>
  <c r="AR250" i="6"/>
  <c r="AR249" i="6"/>
  <c r="AU250" i="6"/>
  <c r="AU249" i="6"/>
  <c r="AU247" i="6"/>
  <c r="AP219" i="6"/>
  <c r="AP220" i="6"/>
  <c r="AP217" i="6"/>
  <c r="AH212" i="6"/>
  <c r="AH215" i="6"/>
  <c r="AH214" i="6"/>
  <c r="AL217" i="6"/>
  <c r="AL219" i="6"/>
  <c r="AL220" i="6"/>
  <c r="AV250" i="6"/>
  <c r="AV249" i="6"/>
  <c r="AV247" i="6"/>
  <c r="AM217" i="6"/>
  <c r="AM219" i="6"/>
  <c r="AM220" i="6"/>
  <c r="AF227" i="6"/>
  <c r="AQ242" i="6"/>
  <c r="AQ245" i="6"/>
  <c r="AQ244" i="6"/>
  <c r="AG212" i="6"/>
  <c r="AG215" i="6"/>
  <c r="AG214" i="6"/>
  <c r="AB222" i="6"/>
  <c r="AW212" i="6"/>
  <c r="AW215" i="6"/>
  <c r="AW214" i="6"/>
  <c r="AU245" i="6"/>
  <c r="AU242" i="6"/>
  <c r="AU244" i="6"/>
  <c r="AL230" i="6"/>
  <c r="AL229" i="6"/>
  <c r="AL227" i="6"/>
  <c r="AF232" i="6"/>
  <c r="AS225" i="6"/>
  <c r="AS222" i="6"/>
  <c r="AS224" i="6"/>
  <c r="AN229" i="6"/>
  <c r="AN227" i="6"/>
  <c r="AN230" i="6"/>
  <c r="AK220" i="6"/>
  <c r="AK217" i="6"/>
  <c r="AK219" i="6"/>
  <c r="AW235" i="6"/>
  <c r="AW234" i="6"/>
  <c r="AW232" i="6"/>
  <c r="AJ230" i="6"/>
  <c r="AJ229" i="6"/>
  <c r="AJ227" i="6"/>
  <c r="AT245" i="6"/>
  <c r="AT244" i="6"/>
  <c r="AT242" i="6"/>
  <c r="AR245" i="6"/>
  <c r="AR244" i="6"/>
  <c r="AR242" i="6"/>
  <c r="AI235" i="6"/>
  <c r="AI234" i="6"/>
  <c r="AI232" i="6"/>
  <c r="AP212" i="6"/>
  <c r="AP215" i="6"/>
  <c r="AP214" i="6"/>
  <c r="AH225" i="6"/>
  <c r="AH222" i="6"/>
  <c r="AH224" i="6"/>
  <c r="AL215" i="6"/>
  <c r="AL214" i="6"/>
  <c r="AL212" i="6"/>
  <c r="AV229" i="6"/>
  <c r="AV230" i="6"/>
  <c r="AV227" i="6"/>
  <c r="AM229" i="6"/>
  <c r="AM227" i="6"/>
  <c r="AM230" i="6"/>
  <c r="AF242" i="6"/>
  <c r="V227" i="6"/>
  <c r="AG242" i="6"/>
  <c r="AG244" i="6"/>
  <c r="AG245" i="6"/>
  <c r="AB227" i="6"/>
  <c r="AN250" i="6"/>
  <c r="AN249" i="6"/>
  <c r="AN247" i="6"/>
  <c r="AR232" i="6"/>
  <c r="AR235" i="6"/>
  <c r="AR234" i="6"/>
  <c r="AV222" i="6"/>
  <c r="AV225" i="6"/>
  <c r="AV224" i="6"/>
  <c r="AQ224" i="6"/>
  <c r="AQ225" i="6"/>
  <c r="AQ222" i="6"/>
  <c r="AO212" i="6"/>
  <c r="AO215" i="6"/>
  <c r="AO214" i="6"/>
  <c r="AS220" i="6"/>
  <c r="AS217" i="6"/>
  <c r="AS219" i="6"/>
  <c r="AN222" i="6"/>
  <c r="AN224" i="6"/>
  <c r="AN225" i="6"/>
  <c r="AK245" i="6"/>
  <c r="AK244" i="6"/>
  <c r="AK242" i="6"/>
  <c r="AW242" i="6"/>
  <c r="AW245" i="6"/>
  <c r="AW244" i="6"/>
  <c r="AJ247" i="6"/>
  <c r="AJ249" i="6"/>
  <c r="AJ250" i="6"/>
  <c r="AT247" i="6"/>
  <c r="AT250" i="6"/>
  <c r="AT249" i="6"/>
  <c r="AU215" i="6"/>
  <c r="AU214" i="6"/>
  <c r="AU212" i="6"/>
  <c r="AI220" i="6"/>
  <c r="AI217" i="6"/>
  <c r="AI219" i="6"/>
  <c r="AP224" i="6"/>
  <c r="AP225" i="6"/>
  <c r="AP222" i="6"/>
  <c r="AH235" i="6"/>
  <c r="AH234" i="6"/>
  <c r="AH232" i="6"/>
  <c r="AL232" i="6"/>
  <c r="AL235" i="6"/>
  <c r="AL234" i="6"/>
  <c r="AV235" i="6"/>
  <c r="AV234" i="6"/>
  <c r="AV232" i="6"/>
  <c r="AM250" i="6"/>
  <c r="AM249" i="6"/>
  <c r="AM247" i="6"/>
  <c r="AQ220" i="6"/>
  <c r="AQ217" i="6"/>
  <c r="AQ219" i="6"/>
  <c r="V217" i="6"/>
  <c r="AG227" i="6"/>
  <c r="AG230" i="6"/>
  <c r="AG229" i="6"/>
  <c r="AB212" i="6"/>
  <c r="AO235" i="6"/>
  <c r="AO234" i="6"/>
  <c r="AO232" i="6"/>
  <c r="AS230" i="6"/>
  <c r="AS229" i="6"/>
  <c r="AS227" i="6"/>
  <c r="AN220" i="6"/>
  <c r="AN219" i="6"/>
  <c r="AN217" i="6"/>
  <c r="AK212" i="6"/>
  <c r="AK215" i="6"/>
  <c r="AK214" i="6"/>
  <c r="AW225" i="6"/>
  <c r="AW224" i="6"/>
  <c r="AW222" i="6"/>
  <c r="AJ245" i="6"/>
  <c r="AJ244" i="6"/>
  <c r="AJ242" i="6"/>
  <c r="AR224" i="6"/>
  <c r="AR225" i="6"/>
  <c r="AR222" i="6"/>
  <c r="AU225" i="6"/>
  <c r="AU222" i="6"/>
  <c r="AU224" i="6"/>
  <c r="AI224" i="6"/>
  <c r="AI225" i="6"/>
  <c r="AI222" i="6"/>
  <c r="AP250" i="6"/>
  <c r="AP247" i="6"/>
  <c r="AP249" i="6"/>
  <c r="AH249" i="6"/>
  <c r="AH250" i="6"/>
  <c r="AH247" i="6"/>
  <c r="AL245" i="6"/>
  <c r="AL244" i="6"/>
  <c r="AL242" i="6"/>
  <c r="AV245" i="6"/>
  <c r="AV244" i="6"/>
  <c r="AV242" i="6"/>
  <c r="AF212" i="6"/>
  <c r="AQ230" i="6"/>
  <c r="AQ227" i="6"/>
  <c r="AQ229" i="6"/>
  <c r="V222" i="6"/>
  <c r="AG219" i="6"/>
  <c r="AG220" i="6"/>
  <c r="AG217" i="6"/>
  <c r="AB232" i="6"/>
  <c r="AO219" i="6"/>
  <c r="AO220" i="6"/>
  <c r="AO217" i="6"/>
  <c r="AS245" i="6"/>
  <c r="AS244" i="6"/>
  <c r="AS242" i="6"/>
  <c r="AN232" i="6"/>
  <c r="AN235" i="6"/>
  <c r="AN234" i="6"/>
  <c r="AK235" i="6"/>
  <c r="AK234" i="6"/>
  <c r="AK232" i="6"/>
  <c r="AW250" i="6"/>
  <c r="AW249" i="6"/>
  <c r="AW247" i="6"/>
  <c r="AT222" i="6"/>
  <c r="AT225" i="6"/>
  <c r="AT224" i="6"/>
  <c r="AR220" i="6"/>
  <c r="AR217" i="6"/>
  <c r="AR219" i="6"/>
  <c r="AU217" i="6"/>
  <c r="AU219" i="6"/>
  <c r="AU220" i="6"/>
  <c r="AI212" i="6"/>
  <c r="AI215" i="6"/>
  <c r="AI214" i="6"/>
  <c r="AP235" i="6"/>
  <c r="AP234" i="6"/>
  <c r="AP232" i="6"/>
  <c r="AH230" i="6"/>
  <c r="AH229" i="6"/>
  <c r="AH227" i="6"/>
  <c r="AL247" i="6"/>
  <c r="AL250" i="6"/>
  <c r="AL249" i="6"/>
  <c r="AM215" i="6"/>
  <c r="AM214" i="6"/>
  <c r="AM212" i="6"/>
  <c r="AF217" i="6"/>
  <c r="AQ212" i="6"/>
  <c r="AQ215" i="6"/>
  <c r="AQ214" i="6"/>
  <c r="V212" i="6"/>
  <c r="AG225" i="6"/>
  <c r="AG224" i="6"/>
  <c r="AG222" i="6"/>
  <c r="AB247" i="6"/>
  <c r="AE246" i="6"/>
  <c r="AE241" i="6"/>
  <c r="AE231" i="6"/>
  <c r="AE233" i="6" s="1"/>
  <c r="AE226" i="6"/>
  <c r="AE228" i="6" s="1"/>
  <c r="AE221" i="6"/>
  <c r="AE216" i="6"/>
  <c r="AE211" i="6"/>
  <c r="W246" i="6"/>
  <c r="W226" i="6"/>
  <c r="W241" i="6"/>
  <c r="W243" i="6" s="1"/>
  <c r="W221" i="6"/>
  <c r="W223" i="6" s="1"/>
  <c r="W216" i="6"/>
  <c r="W218" i="6" s="1"/>
  <c r="W231" i="6"/>
  <c r="W211" i="6"/>
  <c r="AC246" i="6"/>
  <c r="AC231" i="6"/>
  <c r="AC211" i="6"/>
  <c r="AC226" i="6"/>
  <c r="AC221" i="6"/>
  <c r="AC216" i="6"/>
  <c r="AC241" i="6"/>
  <c r="AO227" i="6"/>
  <c r="AO229" i="6"/>
  <c r="AO230" i="6"/>
  <c r="AS212" i="6"/>
  <c r="AS215" i="6"/>
  <c r="AS214" i="6"/>
  <c r="AN245" i="6"/>
  <c r="AN244" i="6"/>
  <c r="AN242" i="6"/>
  <c r="AK247" i="6"/>
  <c r="AK250" i="6"/>
  <c r="AK249" i="6"/>
  <c r="AJ225" i="6"/>
  <c r="AJ222" i="6"/>
  <c r="AJ224" i="6"/>
  <c r="AT220" i="6"/>
  <c r="AT217" i="6"/>
  <c r="AT219" i="6"/>
  <c r="AR212" i="6"/>
  <c r="AR215" i="6"/>
  <c r="AR214" i="6"/>
  <c r="AU230" i="6"/>
  <c r="AU229" i="6"/>
  <c r="AU227" i="6"/>
  <c r="AI242" i="6"/>
  <c r="AI245" i="6"/>
  <c r="AI244" i="6"/>
  <c r="AP227" i="6"/>
  <c r="AP229" i="6"/>
  <c r="AP230" i="6"/>
  <c r="AH242" i="6"/>
  <c r="AH244" i="6"/>
  <c r="AH245" i="6"/>
  <c r="AV215" i="6"/>
  <c r="AV214" i="6"/>
  <c r="AV212" i="6"/>
  <c r="AM235" i="6"/>
  <c r="AM234" i="6"/>
  <c r="AM232" i="6"/>
  <c r="AF222" i="6"/>
  <c r="AQ235" i="6"/>
  <c r="AQ234" i="6"/>
  <c r="AQ232" i="6"/>
  <c r="V232" i="6"/>
  <c r="AG235" i="6"/>
  <c r="AG234" i="6"/>
  <c r="AG232" i="6"/>
  <c r="AB242" i="6"/>
  <c r="AP200" i="6"/>
  <c r="AP197" i="6"/>
  <c r="AP199" i="6"/>
  <c r="AN204" i="6"/>
  <c r="AN202" i="6"/>
  <c r="AN205" i="6"/>
  <c r="AT202" i="6"/>
  <c r="AT205" i="6"/>
  <c r="AT204" i="6"/>
  <c r="AI199" i="6"/>
  <c r="AI197" i="6"/>
  <c r="AI200" i="6"/>
  <c r="AU199" i="6"/>
  <c r="AU197" i="6"/>
  <c r="AU200" i="6"/>
  <c r="AR190" i="6"/>
  <c r="AR187" i="6"/>
  <c r="AR189" i="6"/>
  <c r="AF197" i="6"/>
  <c r="V182" i="6"/>
  <c r="AG185" i="6"/>
  <c r="AG182" i="6"/>
  <c r="AG184" i="6"/>
  <c r="AO187" i="6"/>
  <c r="AO190" i="6"/>
  <c r="AO189" i="6"/>
  <c r="AL205" i="6"/>
  <c r="AL204" i="6"/>
  <c r="AL202" i="6"/>
  <c r="AW184" i="6"/>
  <c r="AW182" i="6"/>
  <c r="AW185" i="6"/>
  <c r="AV190" i="6"/>
  <c r="AV187" i="6"/>
  <c r="AV189" i="6"/>
  <c r="AN195" i="6"/>
  <c r="AN194" i="6"/>
  <c r="AN192" i="6"/>
  <c r="AT184" i="6"/>
  <c r="AT185" i="6"/>
  <c r="AT182" i="6"/>
  <c r="AI205" i="6"/>
  <c r="AI204" i="6"/>
  <c r="AI202" i="6"/>
  <c r="AU184" i="6"/>
  <c r="AU182" i="6"/>
  <c r="AU185" i="6"/>
  <c r="AM190" i="6"/>
  <c r="AM187" i="6"/>
  <c r="AM189" i="6"/>
  <c r="AF187" i="6"/>
  <c r="V202" i="6"/>
  <c r="AG205" i="6"/>
  <c r="AG204" i="6"/>
  <c r="AG202" i="6"/>
  <c r="AO182" i="6"/>
  <c r="AO185" i="6"/>
  <c r="AO184" i="6"/>
  <c r="AQ185" i="6"/>
  <c r="AQ182" i="6"/>
  <c r="AQ184" i="6"/>
  <c r="AW195" i="6"/>
  <c r="AW194" i="6"/>
  <c r="AW192" i="6"/>
  <c r="AV185" i="6"/>
  <c r="AV184" i="6"/>
  <c r="AV182" i="6"/>
  <c r="AN197" i="6"/>
  <c r="AN199" i="6"/>
  <c r="AN200" i="6"/>
  <c r="AT192" i="6"/>
  <c r="AT195" i="6"/>
  <c r="AT194" i="6"/>
  <c r="AJ184" i="6"/>
  <c r="AJ185" i="6"/>
  <c r="AJ182" i="6"/>
  <c r="AU205" i="6"/>
  <c r="AU204" i="6"/>
  <c r="AU202" i="6"/>
  <c r="AM185" i="6"/>
  <c r="AM184" i="6"/>
  <c r="AM182" i="6"/>
  <c r="AF192" i="6"/>
  <c r="AB197" i="6"/>
  <c r="AO205" i="6"/>
  <c r="AO202" i="6"/>
  <c r="AO204" i="6"/>
  <c r="AQ199" i="6"/>
  <c r="AQ197" i="6"/>
  <c r="AQ200" i="6"/>
  <c r="AW197" i="6"/>
  <c r="AW199" i="6"/>
  <c r="AW200" i="6"/>
  <c r="W191" i="6"/>
  <c r="W193" i="6" s="1"/>
  <c r="W201" i="6"/>
  <c r="W181" i="6"/>
  <c r="W196" i="6"/>
  <c r="W198" i="6" s="1"/>
  <c r="AC201" i="6"/>
  <c r="AC181" i="6"/>
  <c r="AC183" i="6" s="1"/>
  <c r="AC191" i="6"/>
  <c r="AC196" i="6"/>
  <c r="AV192" i="6"/>
  <c r="AV194" i="6"/>
  <c r="AV195" i="6"/>
  <c r="AK189" i="6"/>
  <c r="AK190" i="6"/>
  <c r="AK187" i="6"/>
  <c r="AT200" i="6"/>
  <c r="AT197" i="6"/>
  <c r="AT199" i="6"/>
  <c r="AJ200" i="6"/>
  <c r="AJ199" i="6"/>
  <c r="AJ197" i="6"/>
  <c r="AU195" i="6"/>
  <c r="AU194" i="6"/>
  <c r="AU192" i="6"/>
  <c r="AM200" i="6"/>
  <c r="AM199" i="6"/>
  <c r="AM197" i="6"/>
  <c r="AS197" i="6"/>
  <c r="AS199" i="6"/>
  <c r="AS200" i="6"/>
  <c r="V192" i="6"/>
  <c r="AB182" i="6"/>
  <c r="AO195" i="6"/>
  <c r="AO194" i="6"/>
  <c r="AO192" i="6"/>
  <c r="AQ194" i="6"/>
  <c r="AQ195" i="6"/>
  <c r="AQ192" i="6"/>
  <c r="AH205" i="6"/>
  <c r="AH204" i="6"/>
  <c r="AH202" i="6"/>
  <c r="AD201" i="6"/>
  <c r="AD203" i="6" s="1"/>
  <c r="AD196" i="6"/>
  <c r="AD191" i="6"/>
  <c r="AD181" i="6"/>
  <c r="AD183" i="6" s="1"/>
  <c r="AA191" i="6"/>
  <c r="AA201" i="6"/>
  <c r="AA181" i="6"/>
  <c r="AA183" i="6" s="1"/>
  <c r="AA196" i="6"/>
  <c r="Y196" i="6"/>
  <c r="Y201" i="6"/>
  <c r="Y191" i="6"/>
  <c r="AP185" i="6"/>
  <c r="AP182" i="6"/>
  <c r="AP184" i="6"/>
  <c r="AV200" i="6"/>
  <c r="AV197" i="6"/>
  <c r="AV199" i="6"/>
  <c r="AK195" i="6"/>
  <c r="AK192" i="6"/>
  <c r="AK194" i="6"/>
  <c r="AT190" i="6"/>
  <c r="AT189" i="6"/>
  <c r="AT187" i="6"/>
  <c r="AJ202" i="6"/>
  <c r="AJ205" i="6"/>
  <c r="AJ204" i="6"/>
  <c r="AR182" i="6"/>
  <c r="AR185" i="6"/>
  <c r="AR184" i="6"/>
  <c r="AM205" i="6"/>
  <c r="AM204" i="6"/>
  <c r="AM202" i="6"/>
  <c r="AS185" i="6"/>
  <c r="AS184" i="6"/>
  <c r="AS182" i="6"/>
  <c r="V197" i="6"/>
  <c r="AB192" i="6"/>
  <c r="AL190" i="6"/>
  <c r="AL189" i="6"/>
  <c r="AL187" i="6"/>
  <c r="AQ187" i="6"/>
  <c r="AQ189" i="6"/>
  <c r="AQ190" i="6"/>
  <c r="AH185" i="6"/>
  <c r="AH182" i="6"/>
  <c r="AH184" i="6"/>
  <c r="AE191" i="6"/>
  <c r="AE196" i="6"/>
  <c r="AE181" i="6"/>
  <c r="AE183" i="6" s="1"/>
  <c r="AE201" i="6"/>
  <c r="AE203" i="6" s="1"/>
  <c r="AP192" i="6"/>
  <c r="AP194" i="6"/>
  <c r="AP195" i="6"/>
  <c r="AV202" i="6"/>
  <c r="AV205" i="6"/>
  <c r="AV204" i="6"/>
  <c r="AK200" i="6"/>
  <c r="AK197" i="6"/>
  <c r="AK199" i="6"/>
  <c r="AI185" i="6"/>
  <c r="AI182" i="6"/>
  <c r="AI184" i="6"/>
  <c r="AJ194" i="6"/>
  <c r="AJ192" i="6"/>
  <c r="AJ195" i="6"/>
  <c r="AR195" i="6"/>
  <c r="AR192" i="6"/>
  <c r="AR194" i="6"/>
  <c r="AM192" i="6"/>
  <c r="AM194" i="6"/>
  <c r="AM195" i="6"/>
  <c r="AS192" i="6"/>
  <c r="AS194" i="6"/>
  <c r="AS195" i="6"/>
  <c r="AG197" i="6"/>
  <c r="AG200" i="6"/>
  <c r="AG199" i="6"/>
  <c r="AB202" i="6"/>
  <c r="AL192" i="6"/>
  <c r="AL195" i="6"/>
  <c r="AL194" i="6"/>
  <c r="AQ202" i="6"/>
  <c r="AQ204" i="6"/>
  <c r="AQ205" i="6"/>
  <c r="AH189" i="6"/>
  <c r="AH190" i="6"/>
  <c r="AH187" i="6"/>
  <c r="Z196" i="6"/>
  <c r="Z201" i="6"/>
  <c r="Z191" i="6"/>
  <c r="Z181" i="6"/>
  <c r="Z183" i="6" s="1"/>
  <c r="U201" i="6"/>
  <c r="U196" i="6"/>
  <c r="U198" i="6" s="1"/>
  <c r="U191" i="6"/>
  <c r="U193" i="6" s="1"/>
  <c r="U181" i="6"/>
  <c r="X201" i="6"/>
  <c r="X196" i="6"/>
  <c r="X181" i="6"/>
  <c r="X191" i="6"/>
  <c r="AP190" i="6"/>
  <c r="AP187" i="6"/>
  <c r="AP189" i="6"/>
  <c r="AN189" i="6"/>
  <c r="AN187" i="6"/>
  <c r="AN190" i="6"/>
  <c r="AK184" i="6"/>
  <c r="AK185" i="6"/>
  <c r="AK182" i="6"/>
  <c r="AI187" i="6"/>
  <c r="AI190" i="6"/>
  <c r="AI189" i="6"/>
  <c r="AJ190" i="6"/>
  <c r="AJ189" i="6"/>
  <c r="AJ187" i="6"/>
  <c r="AR200" i="6"/>
  <c r="AR199" i="6"/>
  <c r="AR197" i="6"/>
  <c r="AF202" i="6"/>
  <c r="AS189" i="6"/>
  <c r="AS190" i="6"/>
  <c r="AS187" i="6"/>
  <c r="AG187" i="6"/>
  <c r="AG190" i="6"/>
  <c r="AG189" i="6"/>
  <c r="AB187" i="6"/>
  <c r="AL184" i="6"/>
  <c r="AL185" i="6"/>
  <c r="AL182" i="6"/>
  <c r="AW189" i="6"/>
  <c r="AW187" i="6"/>
  <c r="AW190" i="6"/>
  <c r="AH194" i="6"/>
  <c r="AH195" i="6"/>
  <c r="AH192" i="6"/>
  <c r="AP205" i="6"/>
  <c r="AP204" i="6"/>
  <c r="AP202" i="6"/>
  <c r="AN182" i="6"/>
  <c r="AN185" i="6"/>
  <c r="AN184" i="6"/>
  <c r="AK202" i="6"/>
  <c r="AK205" i="6"/>
  <c r="AK204" i="6"/>
  <c r="AI195" i="6"/>
  <c r="AI192" i="6"/>
  <c r="AI194" i="6"/>
  <c r="AU190" i="6"/>
  <c r="AU189" i="6"/>
  <c r="AU187" i="6"/>
  <c r="AR202" i="6"/>
  <c r="AR205" i="6"/>
  <c r="AR204" i="6"/>
  <c r="AF182" i="6"/>
  <c r="AS205" i="6"/>
  <c r="AS204" i="6"/>
  <c r="AS202" i="6"/>
  <c r="AG195" i="6"/>
  <c r="AG194" i="6"/>
  <c r="AG192" i="6"/>
  <c r="AO197" i="6"/>
  <c r="AO199" i="6"/>
  <c r="AO200" i="6"/>
  <c r="AL199" i="6"/>
  <c r="AL200" i="6"/>
  <c r="AL197" i="6"/>
  <c r="AW205" i="6"/>
  <c r="AW204" i="6"/>
  <c r="AW202" i="6"/>
  <c r="AH199" i="6"/>
  <c r="AH197" i="6"/>
  <c r="AH200" i="6"/>
  <c r="X51" i="6"/>
  <c r="AD124" i="6"/>
  <c r="AD132" i="6"/>
  <c r="AD140" i="6"/>
  <c r="AD130" i="6"/>
  <c r="AD123" i="6"/>
  <c r="AD131" i="6"/>
  <c r="AD139" i="6"/>
  <c r="AD122" i="6"/>
  <c r="AD127" i="6"/>
  <c r="AD135" i="6"/>
  <c r="AD126" i="6"/>
  <c r="AD134" i="6"/>
  <c r="AD142" i="6"/>
  <c r="AD128" i="6"/>
  <c r="AD129" i="6"/>
  <c r="AD137" i="6"/>
  <c r="AD141" i="6"/>
  <c r="AD133" i="6"/>
  <c r="AD138" i="6"/>
  <c r="AD125" i="6"/>
  <c r="AD136" i="6"/>
  <c r="AQ129" i="6"/>
  <c r="AQ137" i="6"/>
  <c r="AQ127" i="6"/>
  <c r="AQ135" i="6"/>
  <c r="AQ128" i="6"/>
  <c r="AQ136" i="6"/>
  <c r="AQ124" i="6"/>
  <c r="AQ132" i="6"/>
  <c r="AQ140" i="6"/>
  <c r="AQ123" i="6"/>
  <c r="AQ131" i="6"/>
  <c r="AQ139" i="6"/>
  <c r="AQ122" i="6"/>
  <c r="AQ138" i="6"/>
  <c r="AQ133" i="6"/>
  <c r="AQ134" i="6"/>
  <c r="AQ142" i="6"/>
  <c r="AQ125" i="6"/>
  <c r="AQ126" i="6"/>
  <c r="AQ143" i="6"/>
  <c r="AQ141" i="6"/>
  <c r="AQ130" i="6"/>
  <c r="AU125" i="6"/>
  <c r="AU133" i="6"/>
  <c r="AU141" i="6"/>
  <c r="AU123" i="6"/>
  <c r="AU131" i="6"/>
  <c r="AU124" i="6"/>
  <c r="AU132" i="6"/>
  <c r="AU140" i="6"/>
  <c r="AU128" i="6"/>
  <c r="AU136" i="6"/>
  <c r="AU127" i="6"/>
  <c r="AU135" i="6"/>
  <c r="AU143" i="6"/>
  <c r="AU129" i="6"/>
  <c r="AU130" i="6"/>
  <c r="AU139" i="6"/>
  <c r="AU122" i="6"/>
  <c r="AU134" i="6"/>
  <c r="AU142" i="6"/>
  <c r="AU137" i="6"/>
  <c r="AU138" i="6"/>
  <c r="AU126" i="6"/>
  <c r="AE125" i="6"/>
  <c r="AE133" i="6"/>
  <c r="AE141" i="6"/>
  <c r="AE123" i="6"/>
  <c r="AE124" i="6"/>
  <c r="AE132" i="6"/>
  <c r="AE140" i="6"/>
  <c r="AE131" i="6"/>
  <c r="AE128" i="6"/>
  <c r="AE136" i="6"/>
  <c r="AE127" i="6"/>
  <c r="AE135" i="6"/>
  <c r="AE126" i="6"/>
  <c r="AE139" i="6"/>
  <c r="AE142" i="6"/>
  <c r="AE129" i="6"/>
  <c r="AE130" i="6"/>
  <c r="AE137" i="6"/>
  <c r="AE134" i="6"/>
  <c r="AE138" i="6"/>
  <c r="AE122" i="6"/>
  <c r="AA129" i="6"/>
  <c r="AA137" i="6"/>
  <c r="AA127" i="6"/>
  <c r="AA135" i="6"/>
  <c r="AA128" i="6"/>
  <c r="AA136" i="6"/>
  <c r="AA124" i="6"/>
  <c r="AA132" i="6"/>
  <c r="AA140" i="6"/>
  <c r="AA123" i="6"/>
  <c r="AA131" i="6"/>
  <c r="AA139" i="6"/>
  <c r="AA122" i="6"/>
  <c r="AA142" i="6"/>
  <c r="AA134" i="6"/>
  <c r="AA130" i="6"/>
  <c r="AA138" i="6"/>
  <c r="AA133" i="6"/>
  <c r="AA141" i="6"/>
  <c r="AA125" i="6"/>
  <c r="AA126" i="6"/>
  <c r="AG127" i="6"/>
  <c r="AG135" i="6"/>
  <c r="AG143" i="6"/>
  <c r="AG125" i="6"/>
  <c r="AG126" i="6"/>
  <c r="AG134" i="6"/>
  <c r="AG142" i="6"/>
  <c r="AG133" i="6"/>
  <c r="AG122" i="6"/>
  <c r="AG130" i="6"/>
  <c r="AG138" i="6"/>
  <c r="AG129" i="6"/>
  <c r="AG137" i="6"/>
  <c r="AG141" i="6"/>
  <c r="AG136" i="6"/>
  <c r="AG123" i="6"/>
  <c r="AG128" i="6"/>
  <c r="AG139" i="6"/>
  <c r="AG131" i="6"/>
  <c r="AG132" i="6"/>
  <c r="AG140" i="6"/>
  <c r="AG124" i="6"/>
  <c r="AM125" i="6"/>
  <c r="AM133" i="6"/>
  <c r="AM141" i="6"/>
  <c r="AM131" i="6"/>
  <c r="AM124" i="6"/>
  <c r="AM132" i="6"/>
  <c r="AM140" i="6"/>
  <c r="AM123" i="6"/>
  <c r="AM128" i="6"/>
  <c r="AM136" i="6"/>
  <c r="AM127" i="6"/>
  <c r="AM135" i="6"/>
  <c r="AM143" i="6"/>
  <c r="AM134" i="6"/>
  <c r="AM126" i="6"/>
  <c r="AM122" i="6"/>
  <c r="AM138" i="6"/>
  <c r="AM139" i="6"/>
  <c r="AM142" i="6"/>
  <c r="AM129" i="6"/>
  <c r="AM130" i="6"/>
  <c r="AM137" i="6"/>
  <c r="AB122" i="6"/>
  <c r="AB130" i="6"/>
  <c r="AB138" i="6"/>
  <c r="AB129" i="6"/>
  <c r="AB137" i="6"/>
  <c r="AB128" i="6"/>
  <c r="AB136" i="6"/>
  <c r="AB125" i="6"/>
  <c r="AB133" i="6"/>
  <c r="AB141" i="6"/>
  <c r="AB124" i="6"/>
  <c r="AB132" i="6"/>
  <c r="AB140" i="6"/>
  <c r="AB126" i="6"/>
  <c r="AB139" i="6"/>
  <c r="AB131" i="6"/>
  <c r="AB142" i="6"/>
  <c r="AB134" i="6"/>
  <c r="AB135" i="6"/>
  <c r="AB123" i="6"/>
  <c r="AB127" i="6"/>
  <c r="AK123" i="6"/>
  <c r="AK131" i="6"/>
  <c r="AK139" i="6"/>
  <c r="AK122" i="6"/>
  <c r="AK130" i="6"/>
  <c r="AK138" i="6"/>
  <c r="AK129" i="6"/>
  <c r="AK126" i="6"/>
  <c r="AK134" i="6"/>
  <c r="AK142" i="6"/>
  <c r="AK125" i="6"/>
  <c r="AK133" i="6"/>
  <c r="AK141" i="6"/>
  <c r="AK135" i="6"/>
  <c r="AK143" i="6"/>
  <c r="AK127" i="6"/>
  <c r="AK128" i="6"/>
  <c r="AK124" i="6"/>
  <c r="AK136" i="6"/>
  <c r="AK140" i="6"/>
  <c r="AK137" i="6"/>
  <c r="AK132" i="6"/>
  <c r="AT124" i="6"/>
  <c r="AT132" i="6"/>
  <c r="AT140" i="6"/>
  <c r="AT130" i="6"/>
  <c r="AT123" i="6"/>
  <c r="AT131" i="6"/>
  <c r="AT139" i="6"/>
  <c r="AT122" i="6"/>
  <c r="AT127" i="6"/>
  <c r="AT135" i="6"/>
  <c r="AT143" i="6"/>
  <c r="AT126" i="6"/>
  <c r="AT134" i="6"/>
  <c r="AT142" i="6"/>
  <c r="AT141" i="6"/>
  <c r="AT137" i="6"/>
  <c r="AT133" i="6"/>
  <c r="AT128" i="6"/>
  <c r="AT138" i="6"/>
  <c r="AT136" i="6"/>
  <c r="AT129" i="6"/>
  <c r="AT125" i="6"/>
  <c r="V62" i="6"/>
  <c r="W51" i="6"/>
  <c r="AJ122" i="6"/>
  <c r="AJ130" i="6"/>
  <c r="AJ138" i="6"/>
  <c r="AJ128" i="6"/>
  <c r="AJ129" i="6"/>
  <c r="AJ137" i="6"/>
  <c r="AJ125" i="6"/>
  <c r="AJ133" i="6"/>
  <c r="AJ141" i="6"/>
  <c r="AJ124" i="6"/>
  <c r="AJ132" i="6"/>
  <c r="AJ140" i="6"/>
  <c r="AJ123" i="6"/>
  <c r="AJ136" i="6"/>
  <c r="AJ142" i="6"/>
  <c r="AJ143" i="6"/>
  <c r="AJ126" i="6"/>
  <c r="AJ127" i="6"/>
  <c r="AJ139" i="6"/>
  <c r="AJ134" i="6"/>
  <c r="AJ131" i="6"/>
  <c r="AJ135" i="6"/>
  <c r="AN126" i="6"/>
  <c r="AN134" i="6"/>
  <c r="AN142" i="6"/>
  <c r="AN124" i="6"/>
  <c r="AN132" i="6"/>
  <c r="AN125" i="6"/>
  <c r="AN133" i="6"/>
  <c r="AN141" i="6"/>
  <c r="AN129" i="6"/>
  <c r="AN137" i="6"/>
  <c r="AN128" i="6"/>
  <c r="AN136" i="6"/>
  <c r="AN140" i="6"/>
  <c r="AN123" i="6"/>
  <c r="AN135" i="6"/>
  <c r="AN122" i="6"/>
  <c r="AN138" i="6"/>
  <c r="AN143" i="6"/>
  <c r="AN127" i="6"/>
  <c r="AN130" i="6"/>
  <c r="AN139" i="6"/>
  <c r="AN131" i="6"/>
  <c r="AW127" i="6"/>
  <c r="AW135" i="6"/>
  <c r="AW143" i="6"/>
  <c r="AW126" i="6"/>
  <c r="AW134" i="6"/>
  <c r="AW142" i="6"/>
  <c r="AW125" i="6"/>
  <c r="AW133" i="6"/>
  <c r="AW122" i="6"/>
  <c r="AW130" i="6"/>
  <c r="AW138" i="6"/>
  <c r="AW129" i="6"/>
  <c r="AW137" i="6"/>
  <c r="AW128" i="6"/>
  <c r="AW141" i="6"/>
  <c r="AW136" i="6"/>
  <c r="AW131" i="6"/>
  <c r="AW132" i="6"/>
  <c r="AW139" i="6"/>
  <c r="AW123" i="6"/>
  <c r="AW124" i="6"/>
  <c r="AW140" i="6"/>
  <c r="V51" i="6"/>
  <c r="AR122" i="6"/>
  <c r="AR130" i="6"/>
  <c r="AR138" i="6"/>
  <c r="AR129" i="6"/>
  <c r="AR137" i="6"/>
  <c r="AR128" i="6"/>
  <c r="AR125" i="6"/>
  <c r="AR133" i="6"/>
  <c r="AR141" i="6"/>
  <c r="AR124" i="6"/>
  <c r="AR132" i="6"/>
  <c r="AR140" i="6"/>
  <c r="AR131" i="6"/>
  <c r="AR123" i="6"/>
  <c r="AR134" i="6"/>
  <c r="AR135" i="6"/>
  <c r="AR142" i="6"/>
  <c r="AR136" i="6"/>
  <c r="AR126" i="6"/>
  <c r="AR127" i="6"/>
  <c r="AR143" i="6"/>
  <c r="AR139" i="6"/>
  <c r="AL124" i="6"/>
  <c r="AL132" i="6"/>
  <c r="AL140" i="6"/>
  <c r="AL122" i="6"/>
  <c r="AL123" i="6"/>
  <c r="AL131" i="6"/>
  <c r="AL139" i="6"/>
  <c r="AL130" i="6"/>
  <c r="AL127" i="6"/>
  <c r="AL135" i="6"/>
  <c r="AL143" i="6"/>
  <c r="AL126" i="6"/>
  <c r="AL134" i="6"/>
  <c r="AL142" i="6"/>
  <c r="AL138" i="6"/>
  <c r="AL141" i="6"/>
  <c r="AL125" i="6"/>
  <c r="AL136" i="6"/>
  <c r="AL133" i="6"/>
  <c r="AL128" i="6"/>
  <c r="AL129" i="6"/>
  <c r="AL137" i="6"/>
  <c r="AV126" i="6"/>
  <c r="AV134" i="6"/>
  <c r="AV142" i="6"/>
  <c r="AV132" i="6"/>
  <c r="AV125" i="6"/>
  <c r="AV133" i="6"/>
  <c r="AV141" i="6"/>
  <c r="AV124" i="6"/>
  <c r="AV129" i="6"/>
  <c r="AV137" i="6"/>
  <c r="AV128" i="6"/>
  <c r="AV136" i="6"/>
  <c r="AV130" i="6"/>
  <c r="AV131" i="6"/>
  <c r="AV139" i="6"/>
  <c r="AV138" i="6"/>
  <c r="AV127" i="6"/>
  <c r="AV122" i="6"/>
  <c r="AV123" i="6"/>
  <c r="AV135" i="6"/>
  <c r="AV140" i="6"/>
  <c r="AV143" i="6"/>
  <c r="AP128" i="6"/>
  <c r="AP136" i="6"/>
  <c r="AP127" i="6"/>
  <c r="AP135" i="6"/>
  <c r="AP143" i="6"/>
  <c r="AP126" i="6"/>
  <c r="AP134" i="6"/>
  <c r="AP123" i="6"/>
  <c r="AP131" i="6"/>
  <c r="AP139" i="6"/>
  <c r="AP122" i="6"/>
  <c r="AP130" i="6"/>
  <c r="AP138" i="6"/>
  <c r="AP132" i="6"/>
  <c r="AP133" i="6"/>
  <c r="AP142" i="6"/>
  <c r="AP125" i="6"/>
  <c r="AP124" i="6"/>
  <c r="AP140" i="6"/>
  <c r="AP137" i="6"/>
  <c r="AP141" i="6"/>
  <c r="AP129" i="6"/>
  <c r="AS123" i="6"/>
  <c r="AS131" i="6"/>
  <c r="AS139" i="6"/>
  <c r="AS122" i="6"/>
  <c r="AS130" i="6"/>
  <c r="AS138" i="6"/>
  <c r="AS129" i="6"/>
  <c r="AS126" i="6"/>
  <c r="AS134" i="6"/>
  <c r="AS142" i="6"/>
  <c r="AS125" i="6"/>
  <c r="AS133" i="6"/>
  <c r="AS141" i="6"/>
  <c r="AS137" i="6"/>
  <c r="AS132" i="6"/>
  <c r="AS135" i="6"/>
  <c r="AS140" i="6"/>
  <c r="AS124" i="6"/>
  <c r="AS127" i="6"/>
  <c r="AS143" i="6"/>
  <c r="AS136" i="6"/>
  <c r="AS128" i="6"/>
  <c r="AH128" i="6"/>
  <c r="AH136" i="6"/>
  <c r="AH126" i="6"/>
  <c r="AH134" i="6"/>
  <c r="AH127" i="6"/>
  <c r="AH135" i="6"/>
  <c r="AH143" i="6"/>
  <c r="AH123" i="6"/>
  <c r="AH131" i="6"/>
  <c r="AH139" i="6"/>
  <c r="AH122" i="6"/>
  <c r="AH130" i="6"/>
  <c r="AH138" i="6"/>
  <c r="AH124" i="6"/>
  <c r="AH125" i="6"/>
  <c r="AH141" i="6"/>
  <c r="AH129" i="6"/>
  <c r="AH137" i="6"/>
  <c r="AH140" i="6"/>
  <c r="AH142" i="6"/>
  <c r="AH132" i="6"/>
  <c r="AH133" i="6"/>
  <c r="AO127" i="6"/>
  <c r="AO135" i="6"/>
  <c r="AO143" i="6"/>
  <c r="AO125" i="6"/>
  <c r="AO133" i="6"/>
  <c r="AO126" i="6"/>
  <c r="AO134" i="6"/>
  <c r="AO142" i="6"/>
  <c r="AO122" i="6"/>
  <c r="AO130" i="6"/>
  <c r="AO138" i="6"/>
  <c r="AO129" i="6"/>
  <c r="AO137" i="6"/>
  <c r="AO136" i="6"/>
  <c r="AO139" i="6"/>
  <c r="AO131" i="6"/>
  <c r="AO140" i="6"/>
  <c r="AO132" i="6"/>
  <c r="AO123" i="6"/>
  <c r="AO124" i="6"/>
  <c r="AO141" i="6"/>
  <c r="AO128" i="6"/>
  <c r="AI129" i="6"/>
  <c r="AI137" i="6"/>
  <c r="AI128" i="6"/>
  <c r="AI136" i="6"/>
  <c r="AI127" i="6"/>
  <c r="AI135" i="6"/>
  <c r="AI124" i="6"/>
  <c r="AI132" i="6"/>
  <c r="AI140" i="6"/>
  <c r="AI123" i="6"/>
  <c r="AI131" i="6"/>
  <c r="AI139" i="6"/>
  <c r="AI122" i="6"/>
  <c r="AI143" i="6"/>
  <c r="AI125" i="6"/>
  <c r="AI126" i="6"/>
  <c r="AI141" i="6"/>
  <c r="AI130" i="6"/>
  <c r="AI134" i="6"/>
  <c r="AI138" i="6"/>
  <c r="AI142" i="6"/>
  <c r="AI133" i="6"/>
  <c r="AF126" i="6"/>
  <c r="AF134" i="6"/>
  <c r="AF142" i="6"/>
  <c r="AF125" i="6"/>
  <c r="AF133" i="6"/>
  <c r="AF141" i="6"/>
  <c r="AF124" i="6"/>
  <c r="AF132" i="6"/>
  <c r="AF129" i="6"/>
  <c r="AF137" i="6"/>
  <c r="AF128" i="6"/>
  <c r="AF136" i="6"/>
  <c r="AF130" i="6"/>
  <c r="AF127" i="6"/>
  <c r="AF139" i="6"/>
  <c r="AF131" i="6"/>
  <c r="AF122" i="6"/>
  <c r="AF140" i="6"/>
  <c r="AF123" i="6"/>
  <c r="AF138" i="6"/>
  <c r="AF135" i="6"/>
  <c r="AC123" i="6"/>
  <c r="AC131" i="6"/>
  <c r="AC139" i="6"/>
  <c r="AC129" i="6"/>
  <c r="AC122" i="6"/>
  <c r="AC130" i="6"/>
  <c r="AC138" i="6"/>
  <c r="AC126" i="6"/>
  <c r="AC134" i="6"/>
  <c r="AC142" i="6"/>
  <c r="AC125" i="6"/>
  <c r="AC133" i="6"/>
  <c r="AC141" i="6"/>
  <c r="AC127" i="6"/>
  <c r="AC128" i="6"/>
  <c r="AC137" i="6"/>
  <c r="AC132" i="6"/>
  <c r="AC140" i="6"/>
  <c r="AC135" i="6"/>
  <c r="AC136" i="6"/>
  <c r="AC124" i="6"/>
  <c r="W62" i="6"/>
  <c r="X62" i="6"/>
  <c r="Y62" i="6"/>
  <c r="Z62" i="6"/>
  <c r="Z51" i="6"/>
  <c r="Y51" i="6"/>
  <c r="X126" i="6"/>
  <c r="X130" i="6"/>
  <c r="X134" i="6"/>
  <c r="X138" i="6"/>
  <c r="X125" i="6"/>
  <c r="X129" i="6"/>
  <c r="X133" i="6"/>
  <c r="X137" i="6"/>
  <c r="X124" i="6"/>
  <c r="X128" i="6"/>
  <c r="X132" i="6"/>
  <c r="X136" i="6"/>
  <c r="X123" i="6"/>
  <c r="X127" i="6"/>
  <c r="X131" i="6"/>
  <c r="X135" i="6"/>
  <c r="W125" i="6"/>
  <c r="W129" i="6"/>
  <c r="W133" i="6"/>
  <c r="W137" i="6"/>
  <c r="W124" i="6"/>
  <c r="W128" i="6"/>
  <c r="W132" i="6"/>
  <c r="W136" i="6"/>
  <c r="W123" i="6"/>
  <c r="W127" i="6"/>
  <c r="W131" i="6"/>
  <c r="W135" i="6"/>
  <c r="W126" i="6"/>
  <c r="W134" i="6"/>
  <c r="W138" i="6"/>
  <c r="W130" i="6"/>
  <c r="Y126" i="6"/>
  <c r="Y130" i="6"/>
  <c r="Y134" i="6"/>
  <c r="Y138" i="6"/>
  <c r="Y125" i="6"/>
  <c r="Y129" i="6"/>
  <c r="Y133" i="6"/>
  <c r="Y137" i="6"/>
  <c r="Y124" i="6"/>
  <c r="Y128" i="6"/>
  <c r="Y132" i="6"/>
  <c r="Y136" i="6"/>
  <c r="Y123" i="6"/>
  <c r="Y135" i="6"/>
  <c r="Y131" i="6"/>
  <c r="Y127" i="6"/>
  <c r="Z123" i="6"/>
  <c r="Z127" i="6"/>
  <c r="Z131" i="6"/>
  <c r="Z135" i="6"/>
  <c r="Z126" i="6"/>
  <c r="Z130" i="6"/>
  <c r="Z134" i="6"/>
  <c r="Z138" i="6"/>
  <c r="Z125" i="6"/>
  <c r="Z129" i="6"/>
  <c r="Z133" i="6"/>
  <c r="Z137" i="6"/>
  <c r="Z124" i="6"/>
  <c r="Z128" i="6"/>
  <c r="Z132" i="6"/>
  <c r="Z136" i="6"/>
  <c r="U124" i="6"/>
  <c r="U128" i="6"/>
  <c r="U132" i="6"/>
  <c r="U136" i="6"/>
  <c r="U123" i="6"/>
  <c r="U127" i="6"/>
  <c r="U131" i="6"/>
  <c r="U135" i="6"/>
  <c r="U126" i="6"/>
  <c r="U130" i="6"/>
  <c r="U134" i="6"/>
  <c r="U138" i="6"/>
  <c r="U125" i="6"/>
  <c r="U129" i="6"/>
  <c r="U137" i="6"/>
  <c r="U133" i="6"/>
  <c r="V125" i="6"/>
  <c r="V129" i="6"/>
  <c r="V133" i="6"/>
  <c r="V137" i="6"/>
  <c r="V124" i="6"/>
  <c r="V128" i="6"/>
  <c r="V132" i="6"/>
  <c r="V136" i="6"/>
  <c r="V123" i="6"/>
  <c r="V127" i="6"/>
  <c r="V131" i="6"/>
  <c r="V135" i="6"/>
  <c r="V126" i="6"/>
  <c r="V130" i="6"/>
  <c r="V134" i="6"/>
  <c r="V138" i="6"/>
  <c r="V167" i="6"/>
  <c r="V157" i="6"/>
  <c r="V172" i="6"/>
  <c r="S27" i="6"/>
  <c r="V142" i="6"/>
  <c r="V141" i="6"/>
  <c r="V122" i="6"/>
  <c r="V139" i="6"/>
  <c r="V140" i="6"/>
  <c r="W140" i="6"/>
  <c r="W139" i="6"/>
  <c r="W142" i="6"/>
  <c r="W141" i="6"/>
  <c r="Z142" i="6"/>
  <c r="Z141" i="6"/>
  <c r="Z140" i="6"/>
  <c r="Z139" i="6"/>
  <c r="U139" i="6"/>
  <c r="U142" i="6"/>
  <c r="U141" i="6"/>
  <c r="U140" i="6"/>
  <c r="X141" i="6"/>
  <c r="X140" i="6"/>
  <c r="X142" i="6"/>
  <c r="X139" i="6"/>
  <c r="Y140" i="6"/>
  <c r="Y139" i="6"/>
  <c r="Y141" i="6"/>
  <c r="Y142" i="6"/>
  <c r="W122" i="6"/>
  <c r="Y122" i="6"/>
  <c r="Z122" i="6"/>
  <c r="U122" i="6"/>
  <c r="X122" i="6"/>
  <c r="AT174" i="6"/>
  <c r="AT175" i="6"/>
  <c r="AQ154" i="6"/>
  <c r="AQ155" i="6"/>
  <c r="W166" i="6"/>
  <c r="W151" i="6"/>
  <c r="W171" i="6"/>
  <c r="W156" i="6"/>
  <c r="W161" i="6"/>
  <c r="AC151" i="6"/>
  <c r="AC156" i="6"/>
  <c r="AC166" i="6"/>
  <c r="AC171" i="6"/>
  <c r="AC161" i="6"/>
  <c r="AT155" i="6"/>
  <c r="AT154" i="6"/>
  <c r="AQ159" i="6"/>
  <c r="AQ160" i="6"/>
  <c r="AV160" i="6"/>
  <c r="AV159" i="6"/>
  <c r="AS170" i="6"/>
  <c r="AS169" i="6"/>
  <c r="Y156" i="6"/>
  <c r="Y166" i="6"/>
  <c r="Y171" i="6"/>
  <c r="Y151" i="6"/>
  <c r="Y161" i="6"/>
  <c r="AS175" i="6"/>
  <c r="AS174" i="6"/>
  <c r="AV164" i="6"/>
  <c r="AV165" i="6"/>
  <c r="Z151" i="6"/>
  <c r="Z156" i="6"/>
  <c r="Z161" i="6"/>
  <c r="Z166" i="6"/>
  <c r="Z171" i="6"/>
  <c r="U151" i="6"/>
  <c r="U156" i="6"/>
  <c r="U171" i="6"/>
  <c r="U161" i="6"/>
  <c r="U166" i="6"/>
  <c r="AE166" i="6"/>
  <c r="AE171" i="6"/>
  <c r="AE161" i="6"/>
  <c r="AE156" i="6"/>
  <c r="AE151" i="6"/>
  <c r="AS165" i="6"/>
  <c r="AS164" i="6"/>
  <c r="AW155" i="6"/>
  <c r="AW154" i="6"/>
  <c r="X161" i="6"/>
  <c r="X156" i="6"/>
  <c r="X151" i="6"/>
  <c r="X171" i="6"/>
  <c r="X166" i="6"/>
  <c r="AU174" i="6"/>
  <c r="AU175" i="6"/>
  <c r="AR159" i="6"/>
  <c r="AR160" i="6"/>
  <c r="AR154" i="6"/>
  <c r="AR155" i="6"/>
  <c r="AS160" i="6"/>
  <c r="AS159" i="6"/>
  <c r="AW164" i="6"/>
  <c r="AW165" i="6"/>
  <c r="AR170" i="6"/>
  <c r="AR169" i="6"/>
  <c r="AT170" i="6"/>
  <c r="AT169" i="6"/>
  <c r="AQ170" i="6"/>
  <c r="AQ169" i="6"/>
  <c r="AU165" i="6"/>
  <c r="AU164" i="6"/>
  <c r="AV155" i="6"/>
  <c r="AV154" i="6"/>
  <c r="AU169" i="6"/>
  <c r="AU170" i="6"/>
  <c r="AV169" i="6"/>
  <c r="AV170" i="6"/>
  <c r="AD171" i="6"/>
  <c r="AD151" i="6"/>
  <c r="AD161" i="6"/>
  <c r="AD156" i="6"/>
  <c r="AD166" i="6"/>
  <c r="AS154" i="6"/>
  <c r="AS155" i="6"/>
  <c r="AW170" i="6"/>
  <c r="AW169" i="6"/>
  <c r="AR175" i="6"/>
  <c r="AR174" i="6"/>
  <c r="AT165" i="6"/>
  <c r="AT164" i="6"/>
  <c r="AQ174" i="6"/>
  <c r="AQ175" i="6"/>
  <c r="AU155" i="6"/>
  <c r="AU154" i="6"/>
  <c r="AW159" i="6"/>
  <c r="AW160" i="6"/>
  <c r="AA151" i="6"/>
  <c r="AA156" i="6"/>
  <c r="AA161" i="6"/>
  <c r="AA166" i="6"/>
  <c r="AA171" i="6"/>
  <c r="AV175" i="6"/>
  <c r="AV174" i="6"/>
  <c r="AW175" i="6"/>
  <c r="AW174" i="6"/>
  <c r="AR165" i="6"/>
  <c r="AR164" i="6"/>
  <c r="AT160" i="6"/>
  <c r="AT159" i="6"/>
  <c r="AQ164" i="6"/>
  <c r="AQ165" i="6"/>
  <c r="AU160" i="6"/>
  <c r="AU159" i="6"/>
  <c r="AW41" i="6"/>
  <c r="AW43" i="6" s="1"/>
  <c r="AU42" i="6"/>
  <c r="AU41" i="6"/>
  <c r="AU43" i="6" s="1"/>
  <c r="AW42" i="6"/>
  <c r="AS41" i="6"/>
  <c r="AR41" i="6"/>
  <c r="AR43" i="6" s="1"/>
  <c r="AQ41" i="6"/>
  <c r="AQ43" i="6" s="1"/>
  <c r="AQ42" i="6"/>
  <c r="AS42" i="6"/>
  <c r="AV42" i="6"/>
  <c r="AV41" i="6"/>
  <c r="AR42" i="6"/>
  <c r="AT42" i="6"/>
  <c r="AT41" i="6"/>
  <c r="AS43" i="6"/>
  <c r="AT43" i="6"/>
  <c r="AV43" i="6"/>
  <c r="AA237" i="6" l="1"/>
  <c r="AC237" i="6"/>
  <c r="AE237" i="6"/>
  <c r="U237" i="6"/>
  <c r="U238" i="6"/>
  <c r="AD237" i="6"/>
  <c r="W237" i="6"/>
  <c r="X237" i="6"/>
  <c r="Z237" i="6"/>
  <c r="Y237" i="6"/>
  <c r="AA182" i="6"/>
  <c r="U177" i="6"/>
  <c r="AE177" i="6"/>
  <c r="AE178" i="6"/>
  <c r="Z177" i="6"/>
  <c r="AD177" i="6"/>
  <c r="AD178" i="6"/>
  <c r="Y177" i="6"/>
  <c r="AC177" i="6"/>
  <c r="X177" i="6"/>
  <c r="AA177" i="6"/>
  <c r="W177" i="6"/>
  <c r="AC172" i="6"/>
  <c r="AD172" i="6"/>
  <c r="X172" i="6"/>
  <c r="AE172" i="6"/>
  <c r="Z172" i="6"/>
  <c r="Y172" i="6"/>
  <c r="AA172" i="6"/>
  <c r="U172" i="6"/>
  <c r="U173" i="6"/>
  <c r="W172" i="6"/>
  <c r="W173" i="6"/>
  <c r="W167" i="6"/>
  <c r="W168" i="6"/>
  <c r="AC167" i="6"/>
  <c r="X167" i="6"/>
  <c r="Y167" i="6"/>
  <c r="AD167" i="6"/>
  <c r="Z167" i="6"/>
  <c r="AE167" i="6"/>
  <c r="AA167" i="6"/>
  <c r="U167" i="6"/>
  <c r="U168" i="6"/>
  <c r="U162" i="6"/>
  <c r="U163" i="6"/>
  <c r="W162" i="6"/>
  <c r="AC162" i="6"/>
  <c r="AC163" i="6"/>
  <c r="X162" i="6"/>
  <c r="AA162" i="6"/>
  <c r="AD162" i="6"/>
  <c r="AD163" i="6"/>
  <c r="AE162" i="6"/>
  <c r="AE163" i="6"/>
  <c r="Z162" i="6"/>
  <c r="Y162" i="6"/>
  <c r="Z157" i="6"/>
  <c r="U157" i="6"/>
  <c r="AD157" i="6"/>
  <c r="AD158" i="6"/>
  <c r="X157" i="6"/>
  <c r="AE157" i="6"/>
  <c r="AE158" i="6"/>
  <c r="AC157" i="6"/>
  <c r="Y157" i="6"/>
  <c r="AA157" i="6"/>
  <c r="W157" i="6"/>
  <c r="AC152" i="6"/>
  <c r="AD152" i="6"/>
  <c r="AD153" i="6"/>
  <c r="AE152" i="6"/>
  <c r="AE153" i="6"/>
  <c r="X152" i="6"/>
  <c r="U152" i="6"/>
  <c r="Y152" i="6"/>
  <c r="W152" i="6"/>
  <c r="Z152" i="6"/>
  <c r="AA152" i="6"/>
  <c r="U114" i="6"/>
  <c r="U207" i="6"/>
  <c r="AD207" i="6"/>
  <c r="Z207" i="6"/>
  <c r="AC207" i="6"/>
  <c r="Y207" i="6"/>
  <c r="X207" i="6"/>
  <c r="W207" i="6"/>
  <c r="AA207" i="6"/>
  <c r="AE207" i="6"/>
  <c r="AA143" i="6"/>
  <c r="AE143" i="6"/>
  <c r="AF143" i="6"/>
  <c r="AB143" i="6"/>
  <c r="AD143" i="6"/>
  <c r="AC143" i="6"/>
  <c r="AC242" i="6"/>
  <c r="W232" i="6"/>
  <c r="AE222" i="6"/>
  <c r="X222" i="6"/>
  <c r="U242" i="6"/>
  <c r="Y227" i="6"/>
  <c r="Z212" i="6"/>
  <c r="AD217" i="6"/>
  <c r="U227" i="6"/>
  <c r="Y222" i="6"/>
  <c r="Z222" i="6"/>
  <c r="AC217" i="6"/>
  <c r="W217" i="6"/>
  <c r="AE227" i="6"/>
  <c r="X242" i="6"/>
  <c r="U232" i="6"/>
  <c r="Y247" i="6"/>
  <c r="Z232" i="6"/>
  <c r="AA217" i="6"/>
  <c r="AD222" i="6"/>
  <c r="X217" i="6"/>
  <c r="AA247" i="6"/>
  <c r="AC222" i="6"/>
  <c r="W222" i="6"/>
  <c r="AE232" i="6"/>
  <c r="X247" i="6"/>
  <c r="U247" i="6"/>
  <c r="Z247" i="6"/>
  <c r="AA222" i="6"/>
  <c r="AD232" i="6"/>
  <c r="AC227" i="6"/>
  <c r="W242" i="6"/>
  <c r="AE242" i="6"/>
  <c r="X232" i="6"/>
  <c r="Y242" i="6"/>
  <c r="Z227" i="6"/>
  <c r="AA227" i="6"/>
  <c r="AD212" i="6"/>
  <c r="W212" i="6"/>
  <c r="AC212" i="6"/>
  <c r="W227" i="6"/>
  <c r="AE247" i="6"/>
  <c r="U217" i="6"/>
  <c r="Y212" i="6"/>
  <c r="Z242" i="6"/>
  <c r="AA212" i="6"/>
  <c r="AD227" i="6"/>
  <c r="AC232" i="6"/>
  <c r="W247" i="6"/>
  <c r="X212" i="6"/>
  <c r="U222" i="6"/>
  <c r="Y232" i="6"/>
  <c r="AA232" i="6"/>
  <c r="AD242" i="6"/>
  <c r="AE217" i="6"/>
  <c r="AC247" i="6"/>
  <c r="AE212" i="6"/>
  <c r="X227" i="6"/>
  <c r="U212" i="6"/>
  <c r="Y217" i="6"/>
  <c r="Z217" i="6"/>
  <c r="AA242" i="6"/>
  <c r="AD247" i="6"/>
  <c r="U182" i="6"/>
  <c r="Z202" i="6"/>
  <c r="AE182" i="6"/>
  <c r="Y202" i="6"/>
  <c r="AA192" i="6"/>
  <c r="AC192" i="6"/>
  <c r="U187" i="6"/>
  <c r="Z197" i="6"/>
  <c r="AE197" i="6"/>
  <c r="Y187" i="6"/>
  <c r="AD187" i="6"/>
  <c r="AC182" i="6"/>
  <c r="U192" i="6"/>
  <c r="AE192" i="6"/>
  <c r="Y182" i="6"/>
  <c r="AD182" i="6"/>
  <c r="AC202" i="6"/>
  <c r="X192" i="6"/>
  <c r="U197" i="6"/>
  <c r="Y197" i="6"/>
  <c r="AD192" i="6"/>
  <c r="W187" i="6"/>
  <c r="X182" i="6"/>
  <c r="U202" i="6"/>
  <c r="AA197" i="6"/>
  <c r="AD197" i="6"/>
  <c r="W197" i="6"/>
  <c r="X187" i="6"/>
  <c r="Z182" i="6"/>
  <c r="AD202" i="6"/>
  <c r="W182" i="6"/>
  <c r="X197" i="6"/>
  <c r="Z187" i="6"/>
  <c r="AE202" i="6"/>
  <c r="AA187" i="6"/>
  <c r="AC187" i="6"/>
  <c r="W202" i="6"/>
  <c r="X202" i="6"/>
  <c r="Z192" i="6"/>
  <c r="AE187" i="6"/>
  <c r="Y192" i="6"/>
  <c r="AA202" i="6"/>
  <c r="AC197" i="6"/>
  <c r="W192" i="6"/>
  <c r="X114" i="6"/>
  <c r="V114" i="6"/>
  <c r="Z114" i="6"/>
  <c r="W114" i="6"/>
  <c r="Y114" i="6"/>
  <c r="S129" i="6"/>
  <c r="S137" i="6"/>
  <c r="S127" i="6"/>
  <c r="S135" i="6"/>
  <c r="S131" i="6"/>
  <c r="S134" i="6"/>
  <c r="S138" i="6"/>
  <c r="S136" i="6"/>
  <c r="S133" i="6"/>
  <c r="S132" i="6"/>
  <c r="S130" i="6"/>
  <c r="S128" i="6"/>
  <c r="S126" i="6"/>
  <c r="S124" i="6"/>
  <c r="S125" i="6"/>
  <c r="S141" i="6"/>
  <c r="S142" i="6"/>
  <c r="S139" i="6"/>
  <c r="S140" i="6"/>
  <c r="S123" i="6"/>
  <c r="V143" i="6"/>
  <c r="Y143" i="6"/>
  <c r="U143" i="6"/>
  <c r="W143" i="6"/>
  <c r="Z143" i="6"/>
  <c r="X143" i="6"/>
  <c r="U115" i="6"/>
  <c r="W115" i="6"/>
  <c r="V115" i="6"/>
  <c r="AU27" i="5" l="1"/>
  <c r="AU38" i="5"/>
  <c r="AU25" i="5"/>
  <c r="T50" i="6" l="1"/>
  <c r="AU90" i="5"/>
  <c r="T150" i="6"/>
  <c r="T206" i="6" s="1"/>
  <c r="T208" i="6" s="1"/>
  <c r="T186" i="6" l="1"/>
  <c r="T188" i="6" s="1"/>
  <c r="T236" i="6"/>
  <c r="T238" i="6" s="1"/>
  <c r="T181" i="6"/>
  <c r="T183" i="6" s="1"/>
  <c r="T176" i="6"/>
  <c r="T178" i="6" s="1"/>
  <c r="T241" i="6"/>
  <c r="T243" i="6" s="1"/>
  <c r="T246" i="6"/>
  <c r="T226" i="6"/>
  <c r="T228" i="6" s="1"/>
  <c r="T211" i="6"/>
  <c r="T213" i="6" s="1"/>
  <c r="T221" i="6"/>
  <c r="T223" i="6" s="1"/>
  <c r="T216" i="6"/>
  <c r="T218" i="6" s="1"/>
  <c r="T231" i="6"/>
  <c r="T233" i="6" s="1"/>
  <c r="T201" i="6"/>
  <c r="T203" i="6" s="1"/>
  <c r="T196" i="6"/>
  <c r="T198" i="6" s="1"/>
  <c r="T191" i="6"/>
  <c r="T193" i="6" s="1"/>
  <c r="T143" i="6"/>
  <c r="S143" i="6" s="1"/>
  <c r="T161" i="6"/>
  <c r="T163" i="6" s="1"/>
  <c r="T156" i="6"/>
  <c r="T158" i="6" s="1"/>
  <c r="T166" i="6"/>
  <c r="T168" i="6" s="1"/>
  <c r="T171" i="6"/>
  <c r="T173" i="6" s="1"/>
  <c r="T151" i="6"/>
  <c r="T115" i="6" l="1"/>
  <c r="S115" i="6" s="1"/>
  <c r="AG159" i="6" l="1"/>
  <c r="AG155" i="6"/>
  <c r="AG154" i="6"/>
  <c r="AG160" i="6" l="1"/>
  <c r="AH159" i="6"/>
  <c r="AG164" i="6"/>
  <c r="AH164" i="6" s="1"/>
  <c r="AG169" i="6"/>
  <c r="AG174" i="6"/>
  <c r="AH154" i="6"/>
  <c r="AH155" i="6"/>
  <c r="AI159" i="6" l="1"/>
  <c r="AI160" i="6"/>
  <c r="AH160" i="6"/>
  <c r="AH165" i="6"/>
  <c r="AH175" i="6"/>
  <c r="AH170" i="6"/>
  <c r="AG175" i="6"/>
  <c r="AG170" i="6"/>
  <c r="AI155" i="6"/>
  <c r="AI154" i="6"/>
  <c r="AI165" i="6"/>
  <c r="AI164" i="6"/>
  <c r="AJ160" i="6" l="1"/>
  <c r="AJ159" i="6"/>
  <c r="AK160" i="6" s="1"/>
  <c r="AH169" i="6"/>
  <c r="AJ155" i="6"/>
  <c r="AJ154" i="6"/>
  <c r="AH174" i="6"/>
  <c r="AJ165" i="6"/>
  <c r="AJ164" i="6"/>
  <c r="AK159" i="6" l="1"/>
  <c r="AI174" i="6"/>
  <c r="AK154" i="6"/>
  <c r="AK155" i="6"/>
  <c r="AI170" i="6"/>
  <c r="AK165" i="6"/>
  <c r="AK164" i="6"/>
  <c r="AG42" i="6"/>
  <c r="AG41" i="6"/>
  <c r="AL159" i="6" l="1"/>
  <c r="AL160" i="6"/>
  <c r="AI175" i="6"/>
  <c r="AJ41" i="6"/>
  <c r="AI169" i="6"/>
  <c r="AL155" i="6"/>
  <c r="AL154" i="6"/>
  <c r="AM160" i="6"/>
  <c r="AM159" i="6"/>
  <c r="AL165" i="6"/>
  <c r="AL164" i="6"/>
  <c r="AI41" i="6"/>
  <c r="AG43" i="6"/>
  <c r="AJ175" i="6" l="1"/>
  <c r="AM155" i="6"/>
  <c r="AM154" i="6"/>
  <c r="AN159" i="6"/>
  <c r="AN160" i="6"/>
  <c r="AJ169" i="6"/>
  <c r="AJ170" i="6"/>
  <c r="AJ174" i="6"/>
  <c r="AM164" i="6"/>
  <c r="AM165" i="6"/>
  <c r="AH41" i="6"/>
  <c r="AH42" i="6"/>
  <c r="AI42" i="6"/>
  <c r="AI43" i="6" s="1"/>
  <c r="AK170" i="6" l="1"/>
  <c r="AK169" i="6"/>
  <c r="AN165" i="6"/>
  <c r="AN164" i="6"/>
  <c r="AO159" i="6"/>
  <c r="AO160" i="6"/>
  <c r="AK41" i="6"/>
  <c r="AN155" i="6"/>
  <c r="AN154" i="6"/>
  <c r="AH43" i="6"/>
  <c r="AJ42" i="6"/>
  <c r="AJ43" i="6" s="1"/>
  <c r="AK175" i="6" l="1"/>
  <c r="AK42" i="6" s="1"/>
  <c r="AO164" i="6"/>
  <c r="AO165" i="6"/>
  <c r="AO154" i="6"/>
  <c r="AO155" i="6"/>
  <c r="AL169" i="6"/>
  <c r="AL170" i="6"/>
  <c r="AP159" i="6"/>
  <c r="AP160" i="6"/>
  <c r="AK174" i="6"/>
  <c r="AP154" i="6" l="1"/>
  <c r="AP155" i="6"/>
  <c r="AM170" i="6"/>
  <c r="AM169" i="6"/>
  <c r="AL41" i="6"/>
  <c r="AP164" i="6"/>
  <c r="AP165" i="6"/>
  <c r="AK43" i="6"/>
  <c r="AL175" i="6" l="1"/>
  <c r="AL42" i="6" s="1"/>
  <c r="AL43" i="6" s="1"/>
  <c r="AL174" i="6"/>
  <c r="AN170" i="6"/>
  <c r="AN169" i="6"/>
  <c r="AO170" i="6" l="1"/>
  <c r="AO169" i="6"/>
  <c r="AM41" i="6"/>
  <c r="AM174" i="6" l="1"/>
  <c r="AM175" i="6"/>
  <c r="AM42" i="6" s="1"/>
  <c r="AM43" i="6" s="1"/>
  <c r="AP170" i="6"/>
  <c r="AP169" i="6"/>
  <c r="AN41" i="6" l="1"/>
  <c r="AN175" i="6" l="1"/>
  <c r="AN42" i="6" s="1"/>
  <c r="AN43" i="6" s="1"/>
  <c r="AN174" i="6"/>
  <c r="AO175" i="6" l="1"/>
  <c r="AO42" i="6" l="1"/>
  <c r="AO174" i="6"/>
  <c r="AP174" i="6" l="1"/>
  <c r="AO41" i="6"/>
  <c r="AO43" i="6" s="1"/>
  <c r="AP175" i="6" l="1"/>
  <c r="AP42" i="6" l="1"/>
  <c r="AP41" i="6"/>
  <c r="AP43" i="6" l="1"/>
  <c r="AU95" i="5"/>
  <c r="AU96" i="5" s="1"/>
  <c r="T70" i="6" l="1"/>
  <c r="S70" i="6" s="1"/>
  <c r="T85" i="6"/>
  <c r="S85" i="6" s="1"/>
  <c r="T97" i="6"/>
  <c r="S97" i="6" s="1"/>
  <c r="T63" i="6"/>
  <c r="T91" i="6"/>
  <c r="S91" i="6" s="1"/>
  <c r="T67" i="6"/>
  <c r="S67" i="6" s="1"/>
  <c r="T76" i="6"/>
  <c r="S76" i="6" s="1"/>
  <c r="T69" i="6"/>
  <c r="S69" i="6" s="1"/>
  <c r="T108" i="6"/>
  <c r="S108" i="6" s="1"/>
  <c r="T78" i="6"/>
  <c r="S78" i="6" s="1"/>
  <c r="T93" i="6"/>
  <c r="S93" i="6" s="1"/>
  <c r="T105" i="6"/>
  <c r="S105" i="6" s="1"/>
  <c r="T79" i="6"/>
  <c r="S79" i="6" s="1"/>
  <c r="T107" i="6"/>
  <c r="S107" i="6" s="1"/>
  <c r="T83" i="6"/>
  <c r="S83" i="6" s="1"/>
  <c r="T92" i="6"/>
  <c r="S92" i="6" s="1"/>
  <c r="T96" i="6"/>
  <c r="S96" i="6" s="1"/>
  <c r="T103" i="6"/>
  <c r="S103" i="6" s="1"/>
  <c r="T86" i="6"/>
  <c r="S86" i="6" s="1"/>
  <c r="T101" i="6"/>
  <c r="S101" i="6" s="1"/>
  <c r="T64" i="6"/>
  <c r="S64" i="6" s="1"/>
  <c r="T95" i="6"/>
  <c r="S95" i="6" s="1"/>
  <c r="T66" i="6"/>
  <c r="S66" i="6" s="1"/>
  <c r="T99" i="6"/>
  <c r="S99" i="6" s="1"/>
  <c r="T87" i="6"/>
  <c r="S87" i="6" s="1"/>
  <c r="T75" i="6"/>
  <c r="S75" i="6" s="1"/>
  <c r="T94" i="6"/>
  <c r="S94" i="6" s="1"/>
  <c r="T109" i="6"/>
  <c r="S109" i="6" s="1"/>
  <c r="T72" i="6"/>
  <c r="S72" i="6" s="1"/>
  <c r="T112" i="6"/>
  <c r="S112" i="6" s="1"/>
  <c r="T82" i="6"/>
  <c r="S82" i="6" s="1"/>
  <c r="T74" i="6"/>
  <c r="S74" i="6" s="1"/>
  <c r="T100" i="6"/>
  <c r="S100" i="6" s="1"/>
  <c r="T89" i="6"/>
  <c r="S89" i="6" s="1"/>
  <c r="T102" i="6"/>
  <c r="S102" i="6" s="1"/>
  <c r="T65" i="6"/>
  <c r="S65" i="6" s="1"/>
  <c r="T80" i="6"/>
  <c r="S80" i="6" s="1"/>
  <c r="T68" i="6"/>
  <c r="S68" i="6" s="1"/>
  <c r="T98" i="6"/>
  <c r="S98" i="6" s="1"/>
  <c r="T90" i="6"/>
  <c r="S90" i="6" s="1"/>
  <c r="T81" i="6"/>
  <c r="S81" i="6" s="1"/>
  <c r="T104" i="6"/>
  <c r="S104" i="6" s="1"/>
  <c r="T110" i="6"/>
  <c r="S110" i="6" s="1"/>
  <c r="T73" i="6"/>
  <c r="S73" i="6" s="1"/>
  <c r="T88" i="6"/>
  <c r="S88" i="6" s="1"/>
  <c r="T84" i="6"/>
  <c r="S84" i="6" s="1"/>
  <c r="T111" i="6"/>
  <c r="S111" i="6" s="1"/>
  <c r="T106" i="6"/>
  <c r="S106" i="6" s="1"/>
  <c r="T71" i="6"/>
  <c r="S71" i="6" s="1"/>
  <c r="T77" i="6"/>
  <c r="S77" i="6" s="1"/>
  <c r="AU104" i="5"/>
  <c r="T113" i="6" s="1"/>
  <c r="S113" i="6" s="1"/>
  <c r="D39" i="5"/>
  <c r="D51" i="5"/>
  <c r="D59" i="5"/>
  <c r="D67" i="5"/>
  <c r="D75" i="5"/>
  <c r="D83" i="5"/>
  <c r="D50" i="5"/>
  <c r="D58" i="5"/>
  <c r="D66" i="5"/>
  <c r="D74" i="5"/>
  <c r="D82" i="5"/>
  <c r="D57" i="5"/>
  <c r="D65" i="5"/>
  <c r="D73" i="5"/>
  <c r="D81" i="5"/>
  <c r="D56" i="5"/>
  <c r="D64" i="5"/>
  <c r="D72" i="5"/>
  <c r="D80" i="5"/>
  <c r="D88" i="5"/>
  <c r="D55" i="5"/>
  <c r="D63" i="5"/>
  <c r="D71" i="5"/>
  <c r="D79" i="5"/>
  <c r="D87" i="5"/>
  <c r="D54" i="5"/>
  <c r="D62" i="5"/>
  <c r="D70" i="5"/>
  <c r="D78" i="5"/>
  <c r="D86" i="5"/>
  <c r="D53" i="5"/>
  <c r="D61" i="5"/>
  <c r="D69" i="5"/>
  <c r="D77" i="5"/>
  <c r="D85" i="5"/>
  <c r="D52" i="5"/>
  <c r="D60" i="5"/>
  <c r="D68" i="5"/>
  <c r="D76" i="5"/>
  <c r="D84" i="5"/>
  <c r="D41" i="5"/>
  <c r="D49" i="5"/>
  <c r="D40" i="5"/>
  <c r="D48" i="5"/>
  <c r="D45" i="5"/>
  <c r="D47" i="5"/>
  <c r="D42" i="5"/>
  <c r="D46" i="5"/>
  <c r="D44" i="5"/>
  <c r="D43" i="5"/>
  <c r="D32" i="5"/>
  <c r="D33" i="5"/>
  <c r="D34" i="5"/>
  <c r="D29" i="5"/>
  <c r="D30" i="5"/>
  <c r="D31" i="5"/>
  <c r="D36" i="5"/>
  <c r="D37" i="5"/>
  <c r="D35" i="5"/>
  <c r="T59" i="6"/>
  <c r="S59" i="6" s="1"/>
  <c r="D28" i="5"/>
  <c r="T55" i="6"/>
  <c r="S55" i="6" s="1"/>
  <c r="T56" i="6"/>
  <c r="S56" i="6" s="1"/>
  <c r="T53" i="6"/>
  <c r="S53" i="6" s="1"/>
  <c r="T54" i="6"/>
  <c r="S54" i="6" s="1"/>
  <c r="AJ85" i="5"/>
  <c r="AJ76" i="5"/>
  <c r="AJ41" i="5"/>
  <c r="AJ45" i="5"/>
  <c r="AJ49" i="5"/>
  <c r="AJ53" i="5"/>
  <c r="AJ57" i="5"/>
  <c r="AJ61" i="5"/>
  <c r="AJ65" i="5"/>
  <c r="AJ69" i="5"/>
  <c r="AJ73" i="5"/>
  <c r="AJ77" i="5"/>
  <c r="AJ81" i="5"/>
  <c r="AJ80" i="5"/>
  <c r="AJ84" i="5"/>
  <c r="AJ42" i="5"/>
  <c r="AJ46" i="5"/>
  <c r="AJ50" i="5"/>
  <c r="AJ54" i="5"/>
  <c r="AJ58" i="5"/>
  <c r="AJ62" i="5"/>
  <c r="AJ66" i="5"/>
  <c r="AJ70" i="5"/>
  <c r="AJ74" i="5"/>
  <c r="AJ78" i="5"/>
  <c r="AJ82" i="5"/>
  <c r="AJ86" i="5"/>
  <c r="AJ88" i="5"/>
  <c r="AJ56" i="5"/>
  <c r="AJ64" i="5"/>
  <c r="AJ43" i="5"/>
  <c r="AJ47" i="5"/>
  <c r="AJ51" i="5"/>
  <c r="AJ55" i="5"/>
  <c r="AJ59" i="5"/>
  <c r="AJ63" i="5"/>
  <c r="AJ67" i="5"/>
  <c r="AJ71" i="5"/>
  <c r="AJ75" i="5"/>
  <c r="AJ79" i="5"/>
  <c r="AJ83" i="5"/>
  <c r="AJ87" i="5"/>
  <c r="AJ40" i="5"/>
  <c r="AJ44" i="5"/>
  <c r="AJ48" i="5"/>
  <c r="AJ68" i="5"/>
  <c r="AJ72" i="5"/>
  <c r="AJ52" i="5"/>
  <c r="AJ60" i="5"/>
  <c r="AJ30" i="5"/>
  <c r="AJ31" i="5"/>
  <c r="AJ32" i="5"/>
  <c r="AJ29" i="5"/>
  <c r="AJ33" i="5"/>
  <c r="AJ34" i="5"/>
  <c r="AJ28" i="5"/>
  <c r="AJ39" i="5"/>
  <c r="AJ36" i="5"/>
  <c r="T52" i="6"/>
  <c r="AU97" i="5"/>
  <c r="T60" i="6"/>
  <c r="S60" i="6" s="1"/>
  <c r="AJ35" i="5"/>
  <c r="T58" i="6"/>
  <c r="S58" i="6" s="1"/>
  <c r="AJ37" i="5"/>
  <c r="T57" i="6"/>
  <c r="S57" i="6" s="1"/>
  <c r="T61" i="6"/>
  <c r="S61" i="6" s="1"/>
  <c r="S26" i="6" l="1"/>
  <c r="T152" i="6"/>
  <c r="T182" i="6"/>
  <c r="T40" i="6"/>
  <c r="T39" i="6" s="1"/>
  <c r="T207" i="6"/>
  <c r="S207" i="6" s="1"/>
  <c r="T237" i="6"/>
  <c r="S237" i="6" s="1"/>
  <c r="T177" i="6"/>
  <c r="T172" i="6"/>
  <c r="T175" i="6" s="1"/>
  <c r="T162" i="6"/>
  <c r="T165" i="6" s="1"/>
  <c r="T157" i="6"/>
  <c r="S157" i="6" s="1"/>
  <c r="T167" i="6"/>
  <c r="T169" i="6" s="1"/>
  <c r="T247" i="6"/>
  <c r="T248" i="6" s="1"/>
  <c r="T242" i="6"/>
  <c r="T227" i="6"/>
  <c r="T232" i="6"/>
  <c r="T202" i="6"/>
  <c r="T222" i="6"/>
  <c r="T192" i="6"/>
  <c r="T217" i="6"/>
  <c r="T187" i="6"/>
  <c r="T212" i="6"/>
  <c r="T197" i="6"/>
  <c r="AK52" i="5"/>
  <c r="AL52" i="5"/>
  <c r="AL79" i="5"/>
  <c r="AK79" i="5"/>
  <c r="AL47" i="5"/>
  <c r="AK47" i="5"/>
  <c r="AK74" i="5"/>
  <c r="AL74" i="5"/>
  <c r="AK42" i="5"/>
  <c r="AL42" i="5"/>
  <c r="AK61" i="5"/>
  <c r="AL61" i="5"/>
  <c r="AK72" i="5"/>
  <c r="AL72" i="5"/>
  <c r="AL75" i="5"/>
  <c r="AK75" i="5"/>
  <c r="AL43" i="5"/>
  <c r="AK43" i="5"/>
  <c r="AK70" i="5"/>
  <c r="AL70" i="5"/>
  <c r="AK84" i="5"/>
  <c r="AL84" i="5"/>
  <c r="AK57" i="5"/>
  <c r="AL57" i="5"/>
  <c r="AK68" i="5"/>
  <c r="AL68" i="5"/>
  <c r="AL71" i="5"/>
  <c r="AK71" i="5"/>
  <c r="AK64" i="5"/>
  <c r="AL64" i="5"/>
  <c r="AK66" i="5"/>
  <c r="AL66" i="5"/>
  <c r="AK80" i="5"/>
  <c r="AL80" i="5"/>
  <c r="AK53" i="5"/>
  <c r="AL53" i="5"/>
  <c r="AK48" i="5"/>
  <c r="AL48" i="5"/>
  <c r="AL67" i="5"/>
  <c r="AK67" i="5"/>
  <c r="AK56" i="5"/>
  <c r="AL56" i="5"/>
  <c r="AK62" i="5"/>
  <c r="AL62" i="5"/>
  <c r="AK81" i="5"/>
  <c r="AL81" i="5"/>
  <c r="AK49" i="5"/>
  <c r="AL49" i="5"/>
  <c r="AK44" i="5"/>
  <c r="AL44" i="5"/>
  <c r="AL63" i="5"/>
  <c r="AK63" i="5"/>
  <c r="AK88" i="5"/>
  <c r="AL88" i="5"/>
  <c r="AK58" i="5"/>
  <c r="AL58" i="5"/>
  <c r="AK77" i="5"/>
  <c r="AL77" i="5"/>
  <c r="AK45" i="5"/>
  <c r="AL45" i="5"/>
  <c r="AK40" i="5"/>
  <c r="AL40" i="5"/>
  <c r="AL59" i="5"/>
  <c r="AK59" i="5"/>
  <c r="AK86" i="5"/>
  <c r="AL86" i="5"/>
  <c r="AK54" i="5"/>
  <c r="AL54" i="5"/>
  <c r="AK73" i="5"/>
  <c r="AL73" i="5"/>
  <c r="AK41" i="5"/>
  <c r="AL41" i="5"/>
  <c r="AL87" i="5"/>
  <c r="AK87" i="5"/>
  <c r="AL55" i="5"/>
  <c r="AK55" i="5"/>
  <c r="AK82" i="5"/>
  <c r="AL82" i="5"/>
  <c r="AK50" i="5"/>
  <c r="AL50" i="5"/>
  <c r="AK69" i="5"/>
  <c r="AL69" i="5"/>
  <c r="AK76" i="5"/>
  <c r="AL76" i="5"/>
  <c r="AK60" i="5"/>
  <c r="AL60" i="5"/>
  <c r="AL83" i="5"/>
  <c r="AK83" i="5"/>
  <c r="AL51" i="5"/>
  <c r="AK51" i="5"/>
  <c r="AK78" i="5"/>
  <c r="AL78" i="5"/>
  <c r="AK46" i="5"/>
  <c r="AL46" i="5"/>
  <c r="AK65" i="5"/>
  <c r="AL65" i="5"/>
  <c r="AK85" i="5"/>
  <c r="AL85" i="5"/>
  <c r="AK33" i="5"/>
  <c r="AL33" i="5"/>
  <c r="AK29" i="5"/>
  <c r="AL29" i="5"/>
  <c r="AK32" i="5"/>
  <c r="AL32" i="5"/>
  <c r="AL31" i="5"/>
  <c r="AK31" i="5"/>
  <c r="AK30" i="5"/>
  <c r="AL30" i="5"/>
  <c r="AK28" i="5"/>
  <c r="AL28" i="5"/>
  <c r="AK34" i="5"/>
  <c r="AL34" i="5"/>
  <c r="AJ90" i="5"/>
  <c r="AK36" i="5"/>
  <c r="AL36" i="5"/>
  <c r="AL39" i="5"/>
  <c r="AK39" i="5"/>
  <c r="AK37" i="5"/>
  <c r="AL37" i="5"/>
  <c r="AL35" i="5"/>
  <c r="AK35" i="5"/>
  <c r="T62" i="6"/>
  <c r="S62" i="6" s="1"/>
  <c r="S63" i="6"/>
  <c r="AU106" i="5"/>
  <c r="S23" i="6"/>
  <c r="S52" i="6"/>
  <c r="T51" i="6"/>
  <c r="T153" i="6" l="1"/>
  <c r="T38" i="6" s="1"/>
  <c r="T114" i="6"/>
  <c r="S114" i="6" s="1"/>
  <c r="S22" i="6"/>
  <c r="S28" i="6" s="1"/>
  <c r="T210" i="6"/>
  <c r="T209" i="6"/>
  <c r="U208" i="6" s="1"/>
  <c r="S152" i="6"/>
  <c r="T239" i="6"/>
  <c r="T164" i="6"/>
  <c r="U165" i="6" s="1"/>
  <c r="T240" i="6"/>
  <c r="S162" i="6"/>
  <c r="T174" i="6"/>
  <c r="U174" i="6" s="1"/>
  <c r="S172" i="6"/>
  <c r="S167" i="6"/>
  <c r="S177" i="6"/>
  <c r="T180" i="6"/>
  <c r="T179" i="6"/>
  <c r="U178" i="6" s="1"/>
  <c r="T160" i="6"/>
  <c r="T159" i="6"/>
  <c r="U158" i="6" s="1"/>
  <c r="T170" i="6"/>
  <c r="S192" i="6"/>
  <c r="T195" i="6"/>
  <c r="T194" i="6"/>
  <c r="S182" i="6"/>
  <c r="T185" i="6"/>
  <c r="T184" i="6"/>
  <c r="U183" i="6" s="1"/>
  <c r="S222" i="6"/>
  <c r="T225" i="6"/>
  <c r="T224" i="6"/>
  <c r="S202" i="6"/>
  <c r="T204" i="6"/>
  <c r="U203" i="6" s="1"/>
  <c r="T205" i="6"/>
  <c r="S197" i="6"/>
  <c r="T200" i="6"/>
  <c r="T199" i="6"/>
  <c r="S232" i="6"/>
  <c r="T235" i="6"/>
  <c r="T234" i="6"/>
  <c r="U233" i="6" s="1"/>
  <c r="S212" i="6"/>
  <c r="T214" i="6"/>
  <c r="T215" i="6"/>
  <c r="S227" i="6"/>
  <c r="T229" i="6"/>
  <c r="U228" i="6" s="1"/>
  <c r="T230" i="6"/>
  <c r="S187" i="6"/>
  <c r="T190" i="6"/>
  <c r="T189" i="6"/>
  <c r="S242" i="6"/>
  <c r="T245" i="6"/>
  <c r="T244" i="6"/>
  <c r="S217" i="6"/>
  <c r="T220" i="6"/>
  <c r="T219" i="6"/>
  <c r="S247" i="6"/>
  <c r="T249" i="6"/>
  <c r="U248" i="6" s="1"/>
  <c r="T250" i="6"/>
  <c r="U169" i="6"/>
  <c r="U170" i="6"/>
  <c r="AL90" i="5"/>
  <c r="S25" i="6" s="1"/>
  <c r="S40" i="6"/>
  <c r="S39" i="6"/>
  <c r="AK90" i="5"/>
  <c r="S51" i="6"/>
  <c r="T154" i="6" l="1"/>
  <c r="U153" i="6" s="1"/>
  <c r="T155" i="6"/>
  <c r="T42" i="6" s="1"/>
  <c r="T41" i="6"/>
  <c r="U164" i="6"/>
  <c r="U159" i="6"/>
  <c r="U160" i="6"/>
  <c r="U240" i="6"/>
  <c r="U239" i="6"/>
  <c r="U175" i="6"/>
  <c r="U179" i="6"/>
  <c r="V178" i="6" s="1"/>
  <c r="U229" i="6"/>
  <c r="V228" i="6" s="1"/>
  <c r="U200" i="6"/>
  <c r="U199" i="6"/>
  <c r="U245" i="6"/>
  <c r="U244" i="6"/>
  <c r="U215" i="6"/>
  <c r="U214" i="6"/>
  <c r="U250" i="6"/>
  <c r="U249" i="6"/>
  <c r="V248" i="6" s="1"/>
  <c r="U189" i="6"/>
  <c r="U190" i="6"/>
  <c r="U205" i="6"/>
  <c r="U195" i="6"/>
  <c r="U194" i="6"/>
  <c r="U235" i="6"/>
  <c r="U219" i="6"/>
  <c r="U220" i="6"/>
  <c r="U224" i="6"/>
  <c r="U225" i="6"/>
  <c r="R113" i="6"/>
  <c r="R62" i="6"/>
  <c r="V175" i="6"/>
  <c r="V170" i="6"/>
  <c r="S24" i="6"/>
  <c r="R115" i="6"/>
  <c r="R51" i="6"/>
  <c r="U155" i="6" l="1"/>
  <c r="U42" i="6" s="1"/>
  <c r="U154" i="6"/>
  <c r="V153" i="6" s="1"/>
  <c r="V158" i="6"/>
  <c r="V160" i="6" s="1"/>
  <c r="U38" i="6"/>
  <c r="U41" i="6" s="1"/>
  <c r="U210" i="6"/>
  <c r="U209" i="6"/>
  <c r="V208" i="6" s="1"/>
  <c r="V240" i="6"/>
  <c r="V239" i="6"/>
  <c r="W238" i="6" s="1"/>
  <c r="V179" i="6"/>
  <c r="W178" i="6" s="1"/>
  <c r="U180" i="6"/>
  <c r="U204" i="6"/>
  <c r="U230" i="6"/>
  <c r="U234" i="6"/>
  <c r="V229" i="6"/>
  <c r="W228" i="6" s="1"/>
  <c r="V189" i="6"/>
  <c r="W188" i="6" s="1"/>
  <c r="V190" i="6"/>
  <c r="V244" i="6"/>
  <c r="V245" i="6"/>
  <c r="V250" i="6"/>
  <c r="V249" i="6"/>
  <c r="W248" i="6" s="1"/>
  <c r="V194" i="6"/>
  <c r="V195" i="6"/>
  <c r="V200" i="6"/>
  <c r="V199" i="6"/>
  <c r="V215" i="6"/>
  <c r="V214" i="6"/>
  <c r="W213" i="6" s="1"/>
  <c r="V224" i="6"/>
  <c r="V225" i="6"/>
  <c r="U184" i="6"/>
  <c r="V183" i="6" s="1"/>
  <c r="V220" i="6"/>
  <c r="V219" i="6"/>
  <c r="U185" i="6"/>
  <c r="R114" i="6"/>
  <c r="V169" i="6"/>
  <c r="V174" i="6"/>
  <c r="V164" i="6"/>
  <c r="W163" i="6" s="1"/>
  <c r="V165" i="6"/>
  <c r="T43" i="6"/>
  <c r="U43" i="6" l="1"/>
  <c r="V159" i="6"/>
  <c r="W158" i="6" s="1"/>
  <c r="W160" i="6" s="1"/>
  <c r="V233" i="6"/>
  <c r="V235" i="6" s="1"/>
  <c r="V203" i="6"/>
  <c r="V205" i="6" s="1"/>
  <c r="V154" i="6"/>
  <c r="W153" i="6" s="1"/>
  <c r="W179" i="6"/>
  <c r="X178" i="6" s="1"/>
  <c r="V180" i="6"/>
  <c r="W229" i="6"/>
  <c r="X228" i="6" s="1"/>
  <c r="W214" i="6"/>
  <c r="X213" i="6" s="1"/>
  <c r="W245" i="6"/>
  <c r="W244" i="6"/>
  <c r="X243" i="6" s="1"/>
  <c r="W189" i="6"/>
  <c r="X188" i="6" s="1"/>
  <c r="W225" i="6"/>
  <c r="W224" i="6"/>
  <c r="X223" i="6" s="1"/>
  <c r="W199" i="6"/>
  <c r="X198" i="6" s="1"/>
  <c r="W200" i="6"/>
  <c r="W220" i="6"/>
  <c r="W219" i="6"/>
  <c r="X218" i="6" s="1"/>
  <c r="W195" i="6"/>
  <c r="W194" i="6"/>
  <c r="X193" i="6" s="1"/>
  <c r="V230" i="6"/>
  <c r="W250" i="6"/>
  <c r="W249" i="6"/>
  <c r="X248" i="6" s="1"/>
  <c r="V185" i="6"/>
  <c r="W169" i="6"/>
  <c r="X168" i="6" s="1"/>
  <c r="W170" i="6"/>
  <c r="V155" i="6"/>
  <c r="W164" i="6"/>
  <c r="X163" i="6" s="1"/>
  <c r="V234" i="6" l="1"/>
  <c r="W233" i="6" s="1"/>
  <c r="W159" i="6"/>
  <c r="X158" i="6" s="1"/>
  <c r="V204" i="6"/>
  <c r="W203" i="6" s="1"/>
  <c r="W205" i="6" s="1"/>
  <c r="W154" i="6"/>
  <c r="X153" i="6" s="1"/>
  <c r="V38" i="6"/>
  <c r="V41" i="6" s="1"/>
  <c r="V210" i="6"/>
  <c r="V209" i="6"/>
  <c r="W208" i="6" s="1"/>
  <c r="W239" i="6"/>
  <c r="X238" i="6" s="1"/>
  <c r="W240" i="6"/>
  <c r="W180" i="6"/>
  <c r="W215" i="6"/>
  <c r="W190" i="6"/>
  <c r="X230" i="6"/>
  <c r="X224" i="6"/>
  <c r="Y223" i="6" s="1"/>
  <c r="X214" i="6"/>
  <c r="Y213" i="6" s="1"/>
  <c r="X250" i="6"/>
  <c r="X200" i="6"/>
  <c r="X195" i="6"/>
  <c r="V184" i="6"/>
  <c r="W183" i="6" s="1"/>
  <c r="X190" i="6"/>
  <c r="W230" i="6"/>
  <c r="X220" i="6"/>
  <c r="X244" i="6"/>
  <c r="Y243" i="6" s="1"/>
  <c r="X164" i="6"/>
  <c r="Y163" i="6" s="1"/>
  <c r="W155" i="6"/>
  <c r="X169" i="6"/>
  <c r="Y168" i="6" s="1"/>
  <c r="X170" i="6"/>
  <c r="V42" i="6"/>
  <c r="W175" i="6"/>
  <c r="W165" i="6"/>
  <c r="W174" i="6"/>
  <c r="X173" i="6" s="1"/>
  <c r="X160" i="6" l="1"/>
  <c r="W234" i="6"/>
  <c r="X233" i="6" s="1"/>
  <c r="X234" i="6" s="1"/>
  <c r="Y233" i="6" s="1"/>
  <c r="X155" i="6"/>
  <c r="S208" i="6"/>
  <c r="X240" i="6"/>
  <c r="X179" i="6"/>
  <c r="Y178" i="6" s="1"/>
  <c r="X180" i="6"/>
  <c r="X225" i="6"/>
  <c r="X245" i="6"/>
  <c r="X219" i="6"/>
  <c r="X199" i="6"/>
  <c r="W204" i="6"/>
  <c r="X189" i="6"/>
  <c r="X229" i="6"/>
  <c r="Y228" i="6" s="1"/>
  <c r="X249" i="6"/>
  <c r="Y248" i="6" s="1"/>
  <c r="Y249" i="6" s="1"/>
  <c r="Z248" i="6" s="1"/>
  <c r="Y245" i="6"/>
  <c r="Y215" i="6"/>
  <c r="W235" i="6"/>
  <c r="X215" i="6"/>
  <c r="Y225" i="6"/>
  <c r="X194" i="6"/>
  <c r="Y193" i="6" s="1"/>
  <c r="Y164" i="6"/>
  <c r="Z163" i="6" s="1"/>
  <c r="X165" i="6"/>
  <c r="Y170" i="6"/>
  <c r="X159" i="6"/>
  <c r="Y158" i="6" s="1"/>
  <c r="X154" i="6"/>
  <c r="Y153" i="6" s="1"/>
  <c r="V43" i="6"/>
  <c r="W42" i="6"/>
  <c r="Y218" i="6" l="1"/>
  <c r="Y219" i="6" s="1"/>
  <c r="X203" i="6"/>
  <c r="X204" i="6" s="1"/>
  <c r="Y198" i="6"/>
  <c r="Y200" i="6" s="1"/>
  <c r="Y188" i="6"/>
  <c r="Y189" i="6" s="1"/>
  <c r="W184" i="6"/>
  <c r="X183" i="6" s="1"/>
  <c r="W38" i="6"/>
  <c r="W41" i="6" s="1"/>
  <c r="W43" i="6" s="1"/>
  <c r="W210" i="6"/>
  <c r="W209" i="6"/>
  <c r="X239" i="6"/>
  <c r="Y179" i="6"/>
  <c r="Z178" i="6" s="1"/>
  <c r="Y224" i="6"/>
  <c r="Y229" i="6"/>
  <c r="Y214" i="6"/>
  <c r="Y244" i="6"/>
  <c r="Y250" i="6"/>
  <c r="Y235" i="6"/>
  <c r="Z249" i="6"/>
  <c r="AA248" i="6" s="1"/>
  <c r="X235" i="6"/>
  <c r="W185" i="6"/>
  <c r="Y195" i="6"/>
  <c r="X175" i="6"/>
  <c r="X42" i="6" s="1"/>
  <c r="Y169" i="6"/>
  <c r="Z168" i="6" s="1"/>
  <c r="Y165" i="6"/>
  <c r="Y159" i="6"/>
  <c r="Z158" i="6" s="1"/>
  <c r="X174" i="6"/>
  <c r="Y173" i="6" s="1"/>
  <c r="X205" i="6" l="1"/>
  <c r="Y199" i="6"/>
  <c r="Y220" i="6"/>
  <c r="Z243" i="6"/>
  <c r="Z245" i="6" s="1"/>
  <c r="Y238" i="6"/>
  <c r="Y239" i="6" s="1"/>
  <c r="Z228" i="6"/>
  <c r="Z229" i="6" s="1"/>
  <c r="Z223" i="6"/>
  <c r="Z224" i="6" s="1"/>
  <c r="Z218" i="6"/>
  <c r="Z220" i="6" s="1"/>
  <c r="Y190" i="6"/>
  <c r="Z213" i="6"/>
  <c r="Z214" i="6" s="1"/>
  <c r="Y203" i="6"/>
  <c r="Y205" i="6" s="1"/>
  <c r="Z198" i="6"/>
  <c r="Z188" i="6"/>
  <c r="Z190" i="6" s="1"/>
  <c r="X184" i="6"/>
  <c r="Y185" i="6" s="1"/>
  <c r="X38" i="6"/>
  <c r="X41" i="6" s="1"/>
  <c r="X43" i="6" s="1"/>
  <c r="X209" i="6"/>
  <c r="X210" i="6"/>
  <c r="Z179" i="6"/>
  <c r="AA178" i="6" s="1"/>
  <c r="Y180" i="6"/>
  <c r="Y230" i="6"/>
  <c r="Z250" i="6"/>
  <c r="AA250" i="6"/>
  <c r="X185" i="6"/>
  <c r="Y194" i="6"/>
  <c r="Z193" i="6" s="1"/>
  <c r="Y234" i="6"/>
  <c r="Z233" i="6" s="1"/>
  <c r="Z159" i="6"/>
  <c r="AA158" i="6" s="1"/>
  <c r="Z165" i="6"/>
  <c r="Y160" i="6"/>
  <c r="Z164" i="6"/>
  <c r="AA163" i="6" s="1"/>
  <c r="Y154" i="6"/>
  <c r="Z153" i="6" s="1"/>
  <c r="Y155" i="6"/>
  <c r="Z200" i="6" l="1"/>
  <c r="Z244" i="6"/>
  <c r="AA243" i="6" s="1"/>
  <c r="Z230" i="6"/>
  <c r="Z225" i="6"/>
  <c r="Y240" i="6"/>
  <c r="Z219" i="6"/>
  <c r="Y204" i="6"/>
  <c r="Z203" i="6" s="1"/>
  <c r="Z205" i="6" s="1"/>
  <c r="Z215" i="6"/>
  <c r="Z238" i="6"/>
  <c r="Z239" i="6" s="1"/>
  <c r="AA228" i="6"/>
  <c r="AA230" i="6" s="1"/>
  <c r="AA223" i="6"/>
  <c r="AA224" i="6" s="1"/>
  <c r="Z189" i="6"/>
  <c r="AA188" i="6" s="1"/>
  <c r="AA190" i="6" s="1"/>
  <c r="Z199" i="6"/>
  <c r="AA198" i="6" s="1"/>
  <c r="AA200" i="6" s="1"/>
  <c r="AA218" i="6"/>
  <c r="AA220" i="6" s="1"/>
  <c r="AA213" i="6"/>
  <c r="AA215" i="6" s="1"/>
  <c r="Y38" i="6"/>
  <c r="Y41" i="6" s="1"/>
  <c r="Y209" i="6"/>
  <c r="Y210" i="6"/>
  <c r="AA179" i="6"/>
  <c r="AB178" i="6" s="1"/>
  <c r="Z180" i="6"/>
  <c r="AA249" i="6"/>
  <c r="Y184" i="6"/>
  <c r="Z234" i="6"/>
  <c r="AA233" i="6" s="1"/>
  <c r="Z194" i="6"/>
  <c r="AA193" i="6" s="1"/>
  <c r="AA159" i="6"/>
  <c r="AB158" i="6" s="1"/>
  <c r="Y175" i="6"/>
  <c r="Y42" i="6" s="1"/>
  <c r="Z169" i="6"/>
  <c r="AA168" i="6" s="1"/>
  <c r="Y174" i="6"/>
  <c r="Z173" i="6" s="1"/>
  <c r="Z160" i="6"/>
  <c r="Z155" i="6"/>
  <c r="Z154" i="6"/>
  <c r="AA153" i="6" s="1"/>
  <c r="Z170" i="6"/>
  <c r="AA244" i="6" l="1"/>
  <c r="AB243" i="6" s="1"/>
  <c r="AB245" i="6" s="1"/>
  <c r="Z240" i="6"/>
  <c r="AB248" i="6"/>
  <c r="AB249" i="6" s="1"/>
  <c r="AA229" i="6"/>
  <c r="AB228" i="6" s="1"/>
  <c r="AB230" i="6" s="1"/>
  <c r="AA238" i="6"/>
  <c r="AA239" i="6" s="1"/>
  <c r="AA214" i="6"/>
  <c r="AB213" i="6" s="1"/>
  <c r="AB215" i="6" s="1"/>
  <c r="AA225" i="6"/>
  <c r="AA219" i="6"/>
  <c r="AB218" i="6" s="1"/>
  <c r="AB219" i="6" s="1"/>
  <c r="AC218" i="6" s="1"/>
  <c r="AB223" i="6"/>
  <c r="AB225" i="6" s="1"/>
  <c r="AA189" i="6"/>
  <c r="AB188" i="6" s="1"/>
  <c r="Z210" i="6"/>
  <c r="Z209" i="6"/>
  <c r="AB179" i="6"/>
  <c r="AC178" i="6" s="1"/>
  <c r="AA180" i="6"/>
  <c r="AA245" i="6"/>
  <c r="Z204" i="6"/>
  <c r="AA194" i="6"/>
  <c r="AB193" i="6" s="1"/>
  <c r="AA235" i="6"/>
  <c r="Z235" i="6"/>
  <c r="Z195" i="6"/>
  <c r="AA199" i="6"/>
  <c r="AB198" i="6" s="1"/>
  <c r="AA160" i="6"/>
  <c r="AA154" i="6"/>
  <c r="AB153" i="6" s="1"/>
  <c r="AA164" i="6"/>
  <c r="AB163" i="6" s="1"/>
  <c r="AB159" i="6"/>
  <c r="AC158" i="6" s="1"/>
  <c r="AA165" i="6"/>
  <c r="AA170" i="6"/>
  <c r="Y43" i="6"/>
  <c r="AA240" i="6" l="1"/>
  <c r="AB250" i="6"/>
  <c r="AC248" i="6"/>
  <c r="AC249" i="6" s="1"/>
  <c r="AB224" i="6"/>
  <c r="AC223" i="6" s="1"/>
  <c r="AC224" i="6" s="1"/>
  <c r="AD223" i="6" s="1"/>
  <c r="AB220" i="6"/>
  <c r="AB190" i="6"/>
  <c r="AB238" i="6"/>
  <c r="AB240" i="6" s="1"/>
  <c r="AC219" i="6"/>
  <c r="AD218" i="6" s="1"/>
  <c r="AD219" i="6" s="1"/>
  <c r="AE218" i="6" s="1"/>
  <c r="AA203" i="6"/>
  <c r="AA204" i="6" s="1"/>
  <c r="Z175" i="6"/>
  <c r="Z42" i="6" s="1"/>
  <c r="Z38" i="6"/>
  <c r="AA209" i="6"/>
  <c r="AA210" i="6"/>
  <c r="S178" i="6"/>
  <c r="AB180" i="6"/>
  <c r="AC250" i="6"/>
  <c r="AC220" i="6"/>
  <c r="AB244" i="6"/>
  <c r="AB214" i="6"/>
  <c r="AA234" i="6"/>
  <c r="AB194" i="6"/>
  <c r="AC193" i="6" s="1"/>
  <c r="AB229" i="6"/>
  <c r="AC228" i="6" s="1"/>
  <c r="AA195" i="6"/>
  <c r="AB200" i="6"/>
  <c r="Z185" i="6"/>
  <c r="AB189" i="6"/>
  <c r="AC188" i="6" s="1"/>
  <c r="Z184" i="6"/>
  <c r="AC159" i="6"/>
  <c r="AB160" i="6"/>
  <c r="AA155" i="6"/>
  <c r="AA169" i="6"/>
  <c r="AB168" i="6" s="1"/>
  <c r="Z174" i="6"/>
  <c r="AA173" i="6" s="1"/>
  <c r="AD248" i="6" l="1"/>
  <c r="AD249" i="6" s="1"/>
  <c r="AA205" i="6"/>
  <c r="AB239" i="6"/>
  <c r="AC238" i="6" s="1"/>
  <c r="AC239" i="6" s="1"/>
  <c r="AD238" i="6" s="1"/>
  <c r="AC243" i="6"/>
  <c r="AC245" i="6" s="1"/>
  <c r="AB233" i="6"/>
  <c r="AB234" i="6" s="1"/>
  <c r="AC233" i="6" s="1"/>
  <c r="S233" i="6" s="1"/>
  <c r="AC213" i="6"/>
  <c r="AC215" i="6" s="1"/>
  <c r="AB203" i="6"/>
  <c r="AB205" i="6" s="1"/>
  <c r="AB155" i="6"/>
  <c r="AB209" i="6"/>
  <c r="AB210" i="6"/>
  <c r="AC180" i="6"/>
  <c r="AC179" i="6"/>
  <c r="AD220" i="6"/>
  <c r="AB195" i="6"/>
  <c r="AC225" i="6"/>
  <c r="AD250" i="6"/>
  <c r="AC195" i="6"/>
  <c r="AD224" i="6"/>
  <c r="AE223" i="6" s="1"/>
  <c r="AE220" i="6"/>
  <c r="AC190" i="6"/>
  <c r="AB199" i="6"/>
  <c r="AC198" i="6" s="1"/>
  <c r="S228" i="6"/>
  <c r="AA184" i="6"/>
  <c r="AA185" i="6"/>
  <c r="AB169" i="6"/>
  <c r="AC168" i="6" s="1"/>
  <c r="AB164" i="6"/>
  <c r="AD159" i="6"/>
  <c r="AD160" i="6"/>
  <c r="AC160" i="6"/>
  <c r="AA38" i="6"/>
  <c r="AB154" i="6"/>
  <c r="AC153" i="6" s="1"/>
  <c r="S158" i="6"/>
  <c r="AB165" i="6"/>
  <c r="Z41" i="6"/>
  <c r="AC244" i="6" l="1"/>
  <c r="AE248" i="6"/>
  <c r="AE250" i="6" s="1"/>
  <c r="AB235" i="6"/>
  <c r="AB204" i="6"/>
  <c r="AC203" i="6" s="1"/>
  <c r="S203" i="6" s="1"/>
  <c r="AD243" i="6"/>
  <c r="AD244" i="6" s="1"/>
  <c r="AC214" i="6"/>
  <c r="AD213" i="6" s="1"/>
  <c r="AD215" i="6" s="1"/>
  <c r="AA174" i="6"/>
  <c r="AB173" i="6" s="1"/>
  <c r="AC210" i="6"/>
  <c r="AC209" i="6"/>
  <c r="AD239" i="6"/>
  <c r="AE238" i="6" s="1"/>
  <c r="AC240" i="6"/>
  <c r="AD180" i="6"/>
  <c r="AD179" i="6"/>
  <c r="AC230" i="6"/>
  <c r="AC189" i="6"/>
  <c r="AC229" i="6"/>
  <c r="AD229" i="6" s="1"/>
  <c r="AC194" i="6"/>
  <c r="AE219" i="6"/>
  <c r="AE225" i="6"/>
  <c r="AD225" i="6"/>
  <c r="AB184" i="6"/>
  <c r="AB185" i="6"/>
  <c r="AC234" i="6"/>
  <c r="AC199" i="6"/>
  <c r="AD198" i="6" s="1"/>
  <c r="AC235" i="6"/>
  <c r="AC170" i="6"/>
  <c r="AE160" i="6"/>
  <c r="AE159" i="6"/>
  <c r="AC165" i="6"/>
  <c r="AB170" i="6"/>
  <c r="AA175" i="6"/>
  <c r="Z43" i="6"/>
  <c r="AE249" i="6" l="1"/>
  <c r="AF248" i="6" s="1"/>
  <c r="S248" i="6" s="1"/>
  <c r="AD245" i="6"/>
  <c r="AD214" i="6"/>
  <c r="AE213" i="6" s="1"/>
  <c r="S213" i="6" s="1"/>
  <c r="AE243" i="6"/>
  <c r="AE244" i="6" s="1"/>
  <c r="AF243" i="6" s="1"/>
  <c r="S243" i="6" s="1"/>
  <c r="AF218" i="6"/>
  <c r="S218" i="6" s="1"/>
  <c r="AD193" i="6"/>
  <c r="AD194" i="6" s="1"/>
  <c r="AD188" i="6"/>
  <c r="AD190" i="6" s="1"/>
  <c r="AB174" i="6"/>
  <c r="AC173" i="6" s="1"/>
  <c r="AC38" i="6" s="1"/>
  <c r="AB38" i="6"/>
  <c r="AB41" i="6" s="1"/>
  <c r="AD210" i="6"/>
  <c r="AD209" i="6"/>
  <c r="S238" i="6"/>
  <c r="AD240" i="6"/>
  <c r="AD230" i="6"/>
  <c r="AE180" i="6"/>
  <c r="AE179" i="6"/>
  <c r="AE224" i="6"/>
  <c r="AD199" i="6"/>
  <c r="AE198" i="6" s="1"/>
  <c r="AC200" i="6"/>
  <c r="AC185" i="6"/>
  <c r="AC184" i="6"/>
  <c r="AF220" i="6"/>
  <c r="S220" i="6" s="1"/>
  <c r="AE230" i="6"/>
  <c r="AE229" i="6"/>
  <c r="AC204" i="6"/>
  <c r="AD235" i="6"/>
  <c r="AD234" i="6"/>
  <c r="AC205" i="6"/>
  <c r="AF160" i="6"/>
  <c r="S160" i="6" s="1"/>
  <c r="AF159" i="6"/>
  <c r="AC154" i="6"/>
  <c r="AA42" i="6"/>
  <c r="AB175" i="6"/>
  <c r="AB42" i="6" s="1"/>
  <c r="AA41" i="6"/>
  <c r="AC164" i="6"/>
  <c r="AC169" i="6"/>
  <c r="AD168" i="6" s="1"/>
  <c r="AC155" i="6"/>
  <c r="AE245" i="6" l="1"/>
  <c r="AF219" i="6"/>
  <c r="AF223" i="6"/>
  <c r="S223" i="6" s="1"/>
  <c r="AD195" i="6"/>
  <c r="AD189" i="6"/>
  <c r="AE188" i="6" s="1"/>
  <c r="S188" i="6" s="1"/>
  <c r="AE193" i="6"/>
  <c r="AE194" i="6" s="1"/>
  <c r="AF193" i="6" s="1"/>
  <c r="S193" i="6" s="1"/>
  <c r="AE209" i="6"/>
  <c r="AE210" i="6"/>
  <c r="AE239" i="6"/>
  <c r="AF240" i="6" s="1"/>
  <c r="AE240" i="6"/>
  <c r="AF180" i="6"/>
  <c r="S180" i="6" s="1"/>
  <c r="AF179" i="6"/>
  <c r="AD200" i="6"/>
  <c r="AF250" i="6"/>
  <c r="S250" i="6" s="1"/>
  <c r="AE214" i="6"/>
  <c r="AF214" i="6" s="1"/>
  <c r="AE200" i="6"/>
  <c r="AD185" i="6"/>
  <c r="AD184" i="6"/>
  <c r="AF244" i="6"/>
  <c r="AF225" i="6"/>
  <c r="S225" i="6" s="1"/>
  <c r="AD204" i="6"/>
  <c r="AD205" i="6"/>
  <c r="AF224" i="6"/>
  <c r="AF229" i="6"/>
  <c r="AF230" i="6"/>
  <c r="S230" i="6" s="1"/>
  <c r="AF249" i="6"/>
  <c r="AE215" i="6"/>
  <c r="AE235" i="6"/>
  <c r="AE234" i="6"/>
  <c r="AF245" i="6"/>
  <c r="AD169" i="6"/>
  <c r="AE168" i="6" s="1"/>
  <c r="AC174" i="6"/>
  <c r="AD173" i="6" s="1"/>
  <c r="AC41" i="6"/>
  <c r="AD155" i="6"/>
  <c r="AD154" i="6"/>
  <c r="AB43" i="6"/>
  <c r="AC175" i="6"/>
  <c r="AA43" i="6"/>
  <c r="S245" i="6" l="1"/>
  <c r="AE195" i="6"/>
  <c r="AF239" i="6"/>
  <c r="AF209" i="6"/>
  <c r="AF210" i="6"/>
  <c r="S210" i="6" s="1"/>
  <c r="S240" i="6"/>
  <c r="AF215" i="6"/>
  <c r="S215" i="6" s="1"/>
  <c r="AE189" i="6"/>
  <c r="AF190" i="6" s="1"/>
  <c r="AE190" i="6"/>
  <c r="AE199" i="6"/>
  <c r="AE185" i="6"/>
  <c r="AE184" i="6"/>
  <c r="S183" i="6" s="1"/>
  <c r="AF235" i="6"/>
  <c r="S235" i="6" s="1"/>
  <c r="AF234" i="6"/>
  <c r="AF194" i="6"/>
  <c r="AE205" i="6"/>
  <c r="AE204" i="6"/>
  <c r="AF195" i="6"/>
  <c r="AE169" i="6"/>
  <c r="AF168" i="6" s="1"/>
  <c r="AD165" i="6"/>
  <c r="AC42" i="6"/>
  <c r="AD164" i="6"/>
  <c r="AD38" i="6"/>
  <c r="AE154" i="6"/>
  <c r="AE155" i="6"/>
  <c r="AD170" i="6"/>
  <c r="S195" i="6" l="1"/>
  <c r="AF198" i="6"/>
  <c r="S198" i="6" s="1"/>
  <c r="AF189" i="6"/>
  <c r="S190" i="6"/>
  <c r="AF205" i="6"/>
  <c r="S205" i="6" s="1"/>
  <c r="AF204" i="6"/>
  <c r="AF200" i="6"/>
  <c r="S200" i="6" s="1"/>
  <c r="AF185" i="6"/>
  <c r="S185" i="6" s="1"/>
  <c r="AF184" i="6"/>
  <c r="AD41" i="6"/>
  <c r="AC43" i="6"/>
  <c r="AE170" i="6"/>
  <c r="AF169" i="6"/>
  <c r="AD174" i="6"/>
  <c r="AE173" i="6" s="1"/>
  <c r="AD175" i="6"/>
  <c r="AD42" i="6" s="1"/>
  <c r="AF199" i="6" l="1"/>
  <c r="AE164" i="6"/>
  <c r="AF164" i="6" s="1"/>
  <c r="AG165" i="6" s="1"/>
  <c r="AF155" i="6"/>
  <c r="S155" i="6" s="1"/>
  <c r="AD43" i="6"/>
  <c r="AF154" i="6"/>
  <c r="S153" i="6" s="1"/>
  <c r="AE165" i="6"/>
  <c r="S168" i="6"/>
  <c r="AE174" i="6"/>
  <c r="AF173" i="6" s="1"/>
  <c r="S163" i="6"/>
  <c r="AF170" i="6"/>
  <c r="S170" i="6" s="1"/>
  <c r="AF165" i="6" l="1"/>
  <c r="S165" i="6" s="1"/>
  <c r="AE38" i="6"/>
  <c r="AE175" i="6"/>
  <c r="AE42" i="6" s="1"/>
  <c r="AF174" i="6" l="1"/>
  <c r="AF38" i="6"/>
  <c r="AE41" i="6"/>
  <c r="AE43" i="6" s="1"/>
  <c r="S173" i="6"/>
  <c r="AF175" i="6"/>
  <c r="AF41" i="6" l="1"/>
  <c r="S41" i="6" s="1"/>
  <c r="S38" i="6"/>
  <c r="S175" i="6"/>
  <c r="AF42" i="6"/>
  <c r="S42" i="6" s="1"/>
  <c r="AF43" i="6" l="1"/>
  <c r="S43" i="6" s="1"/>
</calcChain>
</file>

<file path=xl/sharedStrings.xml><?xml version="1.0" encoding="utf-8"?>
<sst xmlns="http://schemas.openxmlformats.org/spreadsheetml/2006/main" count="913" uniqueCount="565">
  <si>
    <t>_description</t>
  </si>
  <si>
    <t>_start</t>
  </si>
  <si>
    <t>_end</t>
  </si>
  <si>
    <t>_index</t>
  </si>
  <si>
    <t>c5</t>
  </si>
  <si>
    <t>c6</t>
  </si>
  <si>
    <t>c7</t>
  </si>
  <si>
    <t>md_hd_0</t>
  </si>
  <si>
    <t>md_h_0</t>
  </si>
  <si>
    <t>md_h_1</t>
  </si>
  <si>
    <t>md_0_model_frontpage</t>
  </si>
  <si>
    <t>md_0_model_scenario-assumptions_1</t>
  </si>
  <si>
    <t>c8</t>
  </si>
  <si>
    <t>c9</t>
  </si>
  <si>
    <t>c10</t>
  </si>
  <si>
    <t>c11</t>
  </si>
  <si>
    <t>c12</t>
  </si>
  <si>
    <t>repeaters</t>
  </si>
  <si>
    <t>md_1_header_0</t>
  </si>
  <si>
    <t>md_1_header_1</t>
  </si>
  <si>
    <t>md_1_about_header</t>
  </si>
  <si>
    <t>md_1_about_h4</t>
  </si>
  <si>
    <t>md_1_about_name</t>
  </si>
  <si>
    <t>md_1_about_owner</t>
  </si>
  <si>
    <t>md_1_about_manager</t>
  </si>
  <si>
    <t>md_1_fixed-assets_header</t>
  </si>
  <si>
    <t>md_1_fixed-assets_expl</t>
  </si>
  <si>
    <t>md_1_asset_title</t>
  </si>
  <si>
    <t>md_1_asset_name</t>
  </si>
  <si>
    <t>md_1_asset_start-dtm</t>
  </si>
  <si>
    <t>md_1_asset_depreciation-years</t>
  </si>
  <si>
    <t>md_1_accounting_header</t>
  </si>
  <si>
    <t>md_1_accounting_header2</t>
  </si>
  <si>
    <t>md_1_accounting_pl-year</t>
  </si>
  <si>
    <t>md_1_accounting_side1</t>
  </si>
  <si>
    <t>md_1_accounting_reporting-year</t>
  </si>
  <si>
    <t>md_1_accounting_side2</t>
  </si>
  <si>
    <t>md_1_accounting_accounts-ending</t>
  </si>
  <si>
    <t>md_1_accounting_end</t>
  </si>
  <si>
    <t>c.5</t>
  </si>
  <si>
    <t>c.6</t>
  </si>
  <si>
    <t>c.7</t>
  </si>
  <si>
    <t>c.8</t>
  </si>
  <si>
    <t>c.9</t>
  </si>
  <si>
    <t>c.10</t>
  </si>
  <si>
    <t>c.11</t>
  </si>
  <si>
    <t>g_phase_names</t>
  </si>
  <si>
    <t>g_interest_FF4</t>
  </si>
  <si>
    <t>g_interest_discount</t>
  </si>
  <si>
    <t>g_pl_years_start</t>
  </si>
  <si>
    <t>g_pl_years_end</t>
  </si>
  <si>
    <t>g_pl_years</t>
  </si>
  <si>
    <t>g_pl_factors</t>
  </si>
  <si>
    <t>g_sc_1_capex</t>
  </si>
  <si>
    <t>g_sc_1_opex</t>
  </si>
  <si>
    <t>g_assets_sc_1</t>
  </si>
  <si>
    <t>g_pl_year</t>
  </si>
  <si>
    <t>g_reporting_year</t>
  </si>
  <si>
    <t>g_pl_factor</t>
  </si>
  <si>
    <t>|Vælg fase&gt;|</t>
  </si>
  <si>
    <t>|Vælg anlæg &gt;|</t>
  </si>
  <si>
    <t>Analysefase</t>
  </si>
  <si>
    <t>Gennemførelsesfase</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</si>
  <si>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</si>
  <si>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</si>
  <si>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</si>
  <si>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</si>
  <si>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</si>
  <si>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</si>
  <si>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</si>
  <si>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</si>
  <si>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</si>
  <si>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</si>
  <si>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</si>
  <si>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</si>
  <si>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</si>
  <si>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</si>
  <si>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</si>
  <si>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</si>
  <si>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</si>
  <si>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</si>
  <si>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</si>
  <si>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</si>
  <si>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</si>
  <si>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</si>
  <si>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</si>
  <si>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</si>
  <si>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</si>
  <si>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</si>
  <si>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</si>
  <si>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</si>
  <si>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</si>
  <si>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c46</t>
  </si>
  <si>
    <t>c47</t>
  </si>
  <si>
    <t>header</t>
  </si>
  <si>
    <t>Projekt</t>
  </si>
  <si>
    <t>Stamoplysninger</t>
  </si>
  <si>
    <t>c48</t>
  </si>
  <si>
    <t>c49</t>
  </si>
  <si>
    <t>c50</t>
  </si>
  <si>
    <t>c51</t>
  </si>
  <si>
    <t>c52</t>
  </si>
  <si>
    <t>c53</t>
  </si>
  <si>
    <t>c54</t>
  </si>
  <si>
    <t>c55</t>
  </si>
  <si>
    <t>c56</t>
  </si>
  <si>
    <t>c57</t>
  </si>
  <si>
    <t>c58</t>
  </si>
  <si>
    <t>c59</t>
  </si>
  <si>
    <t>c60</t>
  </si>
  <si>
    <t>c61</t>
  </si>
  <si>
    <t>composite_uid</t>
  </si>
  <si>
    <t>bookmark</t>
  </si>
  <si>
    <t>repeat</t>
  </si>
  <si>
    <t>renderCounter</t>
  </si>
  <si>
    <t>h</t>
  </si>
  <si>
    <t>v</t>
  </si>
  <si>
    <t xml:space="preserve"> </t>
  </si>
  <si>
    <t>Angiver som basisår det år, som data stammer fra, og hvor priser mv. blev beregnet.
Indtastningsåret stemmer ikke nødvendigvis med indeværende år.</t>
  </si>
  <si>
    <t>Angiver det år, som data skal fremregnes til (eller undtagelsesvist tilbageregnes til).
Rapporteringsåret vil som regel være indeværende år.</t>
  </si>
  <si>
    <t>worst-case</t>
  </si>
  <si>
    <t>Vigtigt:</t>
  </si>
  <si>
    <t>Grundlag for estimat</t>
  </si>
  <si>
    <t>Anlæg</t>
  </si>
  <si>
    <t>Risikopulje</t>
  </si>
  <si>
    <t>Oversigtstabel til Finansudvalget</t>
  </si>
  <si>
    <t>Omkostningsbaserede projektudgifter</t>
  </si>
  <si>
    <t>Aktiverbare projektudgifter, afskrivninger</t>
  </si>
  <si>
    <t>Ikke-aktiverbare projektudgifter</t>
  </si>
  <si>
    <t>Renter</t>
  </si>
  <si>
    <t>Fase- og leveranceopdelt budget og forbrug, udgiftsbaseret</t>
  </si>
  <si>
    <t>%</t>
  </si>
  <si>
    <t>Total forbrug</t>
  </si>
  <si>
    <t>Afskrivningsprofiler</t>
  </si>
  <si>
    <t>Køb af anlægsaktiver</t>
  </si>
  <si>
    <t>Afskrivninger</t>
  </si>
  <si>
    <t>FF4-gæld, ultimo året</t>
  </si>
  <si>
    <t>Renter (FF4)</t>
  </si>
  <si>
    <t>Regnskabstekniske oplysninger</t>
  </si>
  <si>
    <t>Projektnavn</t>
  </si>
  <si>
    <t>Projektleder</t>
  </si>
  <si>
    <t>Anlægstitel</t>
  </si>
  <si>
    <t>Ibrugtagningsdato</t>
  </si>
  <si>
    <t>Afskrivningsperiode (3, 5 eller 8 år)</t>
  </si>
  <si>
    <t>Indtastningsår</t>
  </si>
  <si>
    <t>Rapporteringsår</t>
  </si>
  <si>
    <t>Leverancer</t>
  </si>
  <si>
    <t>Indplacering af risikopuljen (pct.):</t>
  </si>
  <si>
    <t>Sådan skal du gøre</t>
  </si>
  <si>
    <t>L1</t>
  </si>
  <si>
    <t>L2</t>
  </si>
  <si>
    <t>L3</t>
  </si>
  <si>
    <t>L4</t>
  </si>
  <si>
    <t>L5</t>
  </si>
  <si>
    <t>L6</t>
  </si>
  <si>
    <t>L7</t>
  </si>
  <si>
    <t>L8</t>
  </si>
  <si>
    <t>L9</t>
  </si>
  <si>
    <t>L10</t>
  </si>
  <si>
    <t>L11</t>
  </si>
  <si>
    <t>L12</t>
  </si>
  <si>
    <t>L13</t>
  </si>
  <si>
    <t>L14</t>
  </si>
  <si>
    <t>L15</t>
  </si>
  <si>
    <t>L17</t>
  </si>
  <si>
    <t>L18</t>
  </si>
  <si>
    <t>L19</t>
  </si>
  <si>
    <t>L20</t>
  </si>
  <si>
    <t>logo</t>
  </si>
  <si>
    <t>h_2</t>
  </si>
  <si>
    <t>h_3</t>
  </si>
  <si>
    <t>h_4</t>
  </si>
  <si>
    <t>capex-section</t>
  </si>
  <si>
    <t>capex-section_title</t>
  </si>
  <si>
    <t>capex</t>
  </si>
  <si>
    <t>capex_pl-adjustment_end</t>
  </si>
  <si>
    <t>capex_years</t>
  </si>
  <si>
    <t>capex_phases</t>
  </si>
  <si>
    <t>capex_phases_2</t>
  </si>
  <si>
    <t>capex_phases_2_1</t>
  </si>
  <si>
    <t>capex_phases_2_2</t>
  </si>
  <si>
    <t>capex_phases_2_3</t>
  </si>
  <si>
    <t>capex_phases_2_4</t>
  </si>
  <si>
    <t>capex_phases_2-end</t>
  </si>
  <si>
    <t>capex_phases_4</t>
  </si>
  <si>
    <t>capex_phases_4_1</t>
  </si>
  <si>
    <t>capex_phases_4_2</t>
  </si>
  <si>
    <t>capex_phases_4_3</t>
  </si>
  <si>
    <t>capex_phases_4_4</t>
  </si>
  <si>
    <t>capex_phases_4_5</t>
  </si>
  <si>
    <t>capex_phases_4_6</t>
  </si>
  <si>
    <t>capex_phases_4_7</t>
  </si>
  <si>
    <t>capex_phases_4_8</t>
  </si>
  <si>
    <t>capex_phases_4_9</t>
  </si>
  <si>
    <t>capex_phases_4_10</t>
  </si>
  <si>
    <t>capex_phases_4_11</t>
  </si>
  <si>
    <t>capex_phases_4_12</t>
  </si>
  <si>
    <t>capex_phases_4_13</t>
  </si>
  <si>
    <t>capex_phases_4_14</t>
  </si>
  <si>
    <t>capex_phases_4_15</t>
  </si>
  <si>
    <t>capex_phases_4-end</t>
  </si>
  <si>
    <t>capex_total</t>
  </si>
  <si>
    <t>capex_categories_1-end1</t>
  </si>
  <si>
    <t>capex_categories_1-end3</t>
  </si>
  <si>
    <t>capex_pl-adjustment_title</t>
  </si>
  <si>
    <t>capex_pl-adjustment_years-av1</t>
  </si>
  <si>
    <t>capex_pl-adjustment_factor</t>
  </si>
  <si>
    <t>capex_pl-factor</t>
  </si>
  <si>
    <t>capex_total-pl-adjusted</t>
  </si>
  <si>
    <t>capex_total_end1</t>
  </si>
  <si>
    <t>capex_total_end2</t>
  </si>
  <si>
    <t>capex_total_end3</t>
  </si>
  <si>
    <t>capex_total_risk</t>
  </si>
  <si>
    <t>capex_total_risk-end</t>
  </si>
  <si>
    <t>capex_total_combined</t>
  </si>
  <si>
    <t>capex_total_combined-end</t>
  </si>
  <si>
    <t>benefits</t>
  </si>
  <si>
    <t>opex_pl-adjustment_end</t>
  </si>
  <si>
    <t>benefits_years</t>
  </si>
  <si>
    <t>benefits_operating-expenses</t>
  </si>
  <si>
    <t>benefits_operating-expenses_1</t>
  </si>
  <si>
    <t>benefits_operating-expenses_2</t>
  </si>
  <si>
    <t>benefits_operating-expenses_3</t>
  </si>
  <si>
    <t>benefits_operating-expenses_4</t>
  </si>
  <si>
    <t>benefits_operating-expenses_5</t>
  </si>
  <si>
    <t>benefits_operating-expenses_end</t>
  </si>
  <si>
    <t>benefits_total</t>
  </si>
  <si>
    <t>benefits_end</t>
  </si>
  <si>
    <t>D1</t>
  </si>
  <si>
    <t>D2</t>
  </si>
  <si>
    <t>D3</t>
  </si>
  <si>
    <t>D4</t>
  </si>
  <si>
    <t>D5</t>
  </si>
  <si>
    <t>Driftseffekter</t>
  </si>
  <si>
    <t>Samlede effekter</t>
  </si>
  <si>
    <t>capex_phases_2_5</t>
  </si>
  <si>
    <t>md_1_phase_name</t>
  </si>
  <si>
    <t>md_1_phase_start-dtm</t>
  </si>
  <si>
    <t>Startdato</t>
  </si>
  <si>
    <t>md_1_deliveries_separator</t>
  </si>
  <si>
    <t>md_1_scenario_phases-end-dtm</t>
  </si>
  <si>
    <t>Slutdato</t>
  </si>
  <si>
    <t>Om projektet</t>
  </si>
  <si>
    <t>Ikke aktiverbar</t>
  </si>
  <si>
    <t>phases_items_2_deliveries-end</t>
  </si>
  <si>
    <t>phases_items_2</t>
  </si>
  <si>
    <t>phases_items_2_start-dtm</t>
  </si>
  <si>
    <t>phases_items_4</t>
  </si>
  <si>
    <t>phases_items_4_start-dtm</t>
  </si>
  <si>
    <t>phases_end-dtm</t>
  </si>
  <si>
    <t>fixed-assets</t>
  </si>
  <si>
    <t>fixed-assets_expl</t>
  </si>
  <si>
    <t>fixed-assets_items</t>
  </si>
  <si>
    <t>fixed-assets_items_1</t>
  </si>
  <si>
    <t>fixed-assets_items_2</t>
  </si>
  <si>
    <t>fixed-assets_items_3</t>
  </si>
  <si>
    <t>fixed-assets_items_4</t>
  </si>
  <si>
    <t>fixed-assets_items_5</t>
  </si>
  <si>
    <t>page</t>
  </si>
  <si>
    <t>header_0</t>
  </si>
  <si>
    <t>about</t>
  </si>
  <si>
    <t>about_header</t>
  </si>
  <si>
    <t>about_name</t>
  </si>
  <si>
    <t>about_owner</t>
  </si>
  <si>
    <t>about_manager</t>
  </si>
  <si>
    <t>accounting_space</t>
  </si>
  <si>
    <t>accounting-end</t>
  </si>
  <si>
    <t>accounting</t>
  </si>
  <si>
    <t>accounting_header</t>
  </si>
  <si>
    <t>accounting_pl-year-val</t>
  </si>
  <si>
    <t>accounting_desc1</t>
  </si>
  <si>
    <t>accounting_reporting-year-val</t>
  </si>
  <si>
    <t>accounting_desc2</t>
  </si>
  <si>
    <t>g_sc_1_assets_years</t>
  </si>
  <si>
    <t>g_sc_1_assets_dates</t>
  </si>
  <si>
    <t>g_sc_1_phases_years</t>
  </si>
  <si>
    <t>c.12</t>
  </si>
  <si>
    <t>c.13</t>
  </si>
  <si>
    <t>c.14</t>
  </si>
  <si>
    <t>c.15</t>
  </si>
  <si>
    <t>c.16</t>
  </si>
  <si>
    <t>c.17</t>
  </si>
  <si>
    <t>c.18</t>
  </si>
  <si>
    <t>Projektets økonomiske nøgletal</t>
  </si>
  <si>
    <t>Oversigtstabeller</t>
  </si>
  <si>
    <t>c.1</t>
  </si>
  <si>
    <t>c.2</t>
  </si>
  <si>
    <t>c.3</t>
  </si>
  <si>
    <t>c.4</t>
  </si>
  <si>
    <t>g_lang_val</t>
  </si>
  <si>
    <t>g_lang_key</t>
  </si>
  <si>
    <t>Statens business case-model</t>
  </si>
  <si>
    <t>so_1</t>
  </si>
  <si>
    <t>so_1_1</t>
  </si>
  <si>
    <t>so_1_1_2</t>
  </si>
  <si>
    <t>so_1_1_1</t>
  </si>
  <si>
    <t>Har du spørgsmål til brugen af modellen, kan du kontakte Kontor for it-styring i Økonomistyrelsen.</t>
  </si>
  <si>
    <t>Husk at orientere dig i "Vejledning til Statens it-projektmodel", inden du går i gang med at bruge modellen. Du finder vejledningen på Økonomistyrelsens hjemmeside www.oes.dk.</t>
  </si>
  <si>
    <t>so_1_2</t>
  </si>
  <si>
    <t>so_1_3</t>
  </si>
  <si>
    <t>(</t>
  </si>
  <si>
    <t>so_2</t>
  </si>
  <si>
    <t>so_2_1</t>
  </si>
  <si>
    <t>so_2_1_1</t>
  </si>
  <si>
    <t>so_2_1_1_1</t>
  </si>
  <si>
    <t>so_2_1_1_2</t>
  </si>
  <si>
    <t>so_2_1_1_3</t>
  </si>
  <si>
    <t>so_2_1_2</t>
  </si>
  <si>
    <t>so_2_1_2_1</t>
  </si>
  <si>
    <t>so_2_1_3</t>
  </si>
  <si>
    <t>so_2_1_3_1</t>
  </si>
  <si>
    <t>so_2_1_3_2</t>
  </si>
  <si>
    <t>so_3</t>
  </si>
  <si>
    <t>so_3_1</t>
  </si>
  <si>
    <t>so_3_1_1</t>
  </si>
  <si>
    <t>so_3_1_2</t>
  </si>
  <si>
    <t>so_3_1_3</t>
  </si>
  <si>
    <t>so_3_1_4</t>
  </si>
  <si>
    <t>so_4</t>
  </si>
  <si>
    <t>so_4_1</t>
  </si>
  <si>
    <t>so_4_1_1</t>
  </si>
  <si>
    <t>so_4_1_1_1</t>
  </si>
  <si>
    <t>so_4_1_2</t>
  </si>
  <si>
    <t>so_4_1_2_1</t>
  </si>
  <si>
    <t>le_1</t>
  </si>
  <si>
    <t>le_1_1</t>
  </si>
  <si>
    <t>le_2</t>
  </si>
  <si>
    <t>le_2_1</t>
  </si>
  <si>
    <t>le_2_1_1</t>
  </si>
  <si>
    <t>le_2_1_3</t>
  </si>
  <si>
    <t>le_2_1_4</t>
  </si>
  <si>
    <t>le_2_1_5</t>
  </si>
  <si>
    <t>le_2_2</t>
  </si>
  <si>
    <t>le_2_3</t>
  </si>
  <si>
    <t>le_2_5</t>
  </si>
  <si>
    <t>le_2_5_1</t>
  </si>
  <si>
    <t>le_2_6</t>
  </si>
  <si>
    <t>le_2_7</t>
  </si>
  <si>
    <t>le_2_6_1</t>
  </si>
  <si>
    <t>le_3</t>
  </si>
  <si>
    <t>le_3_1</t>
  </si>
  <si>
    <t>tb_1</t>
  </si>
  <si>
    <t>tb_1_1</t>
  </si>
  <si>
    <t>Tabel</t>
  </si>
  <si>
    <t>tb_1_1_1</t>
  </si>
  <si>
    <t>tb_1_1_1_1</t>
  </si>
  <si>
    <t>tb_1_1_1_2</t>
  </si>
  <si>
    <t>tb_2</t>
  </si>
  <si>
    <t>tb_2_1</t>
  </si>
  <si>
    <t>tb_2_1_1</t>
  </si>
  <si>
    <t>tb_1_1_2</t>
  </si>
  <si>
    <t>tb_1_1_3</t>
  </si>
  <si>
    <t>tb_1_1_5</t>
  </si>
  <si>
    <t>tb_1_1_6</t>
  </si>
  <si>
    <t>tb_2_2</t>
  </si>
  <si>
    <t>tb_2_2_1</t>
  </si>
  <si>
    <t>tb_2_4</t>
  </si>
  <si>
    <t>tb_2_4_1</t>
  </si>
  <si>
    <t>tb_2_4_2</t>
  </si>
  <si>
    <t>tb_2_4_3</t>
  </si>
  <si>
    <t>tb_2_4_4</t>
  </si>
  <si>
    <t>version</t>
  </si>
  <si>
    <t>På forsiden indtaster du stamdata for projektet. De navne, startdatoer, anlæg og afskrivningsperioder, som du skriver på forsiden, overføres til skemaerne på de næste faner.</t>
  </si>
  <si>
    <t>Angiv hvorvidt der i projektet bliver bygget et anlæg/aktiv. Du SKAL tage stilling til, hvorvidt projektet indeholder et anlæg, før du kan bruge business case-modellen.
It-systemer er ofte regnskabsført som immaterielle anlægsaktiver, og hvis der et anlæg i projektet, skal du angive dato for ibrugtagning og længden på afskrivningsperioden. Afskrivningsperioden er i business case-modellen også gevinstrealiseringsperioden for projektet.</t>
  </si>
  <si>
    <t>Procentdel aktiveret (pct.)</t>
  </si>
  <si>
    <t>Procentdel eksterne (pct.)</t>
  </si>
  <si>
    <t>tb_2_1_2</t>
  </si>
  <si>
    <t>tb_2_1_3</t>
  </si>
  <si>
    <t>tb_1_1_4</t>
  </si>
  <si>
    <t>Interne</t>
  </si>
  <si>
    <t>Eksterne</t>
  </si>
  <si>
    <t xml:space="preserve">Mio. kr. </t>
  </si>
  <si>
    <t>tb_2_1_5</t>
  </si>
  <si>
    <t>tb_2_1_6</t>
  </si>
  <si>
    <t>tb_2_1_4</t>
  </si>
  <si>
    <t>Økonomiske nøgletal</t>
  </si>
  <si>
    <t xml:space="preserve">Driftseffekt </t>
  </si>
  <si>
    <t>Den samlede projektøkonomi</t>
  </si>
  <si>
    <t>Number (date - hour)</t>
  </si>
  <si>
    <t>Changes</t>
  </si>
  <si>
    <t>Made by</t>
  </si>
  <si>
    <t>JESTF</t>
  </si>
  <si>
    <t>Fix af små tastefejl og ændring af driftseffektslinjens visuelle udtryk</t>
  </si>
  <si>
    <t>18-01-2024  0942</t>
  </si>
  <si>
    <t>pl-år</t>
  </si>
  <si>
    <t>-pl</t>
  </si>
  <si>
    <t xml:space="preserve">Total </t>
  </si>
  <si>
    <t xml:space="preserve">Riskopulje </t>
  </si>
  <si>
    <t>[Indsæt grundlag eller beregning]</t>
  </si>
  <si>
    <t>le_4</t>
  </si>
  <si>
    <t>le_4_1</t>
  </si>
  <si>
    <t>le_4_2</t>
  </si>
  <si>
    <t>Afledt driftseffekt i tusinde kroner (t. kr.)</t>
  </si>
  <si>
    <t>Afledte økonomiske omkostninger i tusinde kroner (t. kr.)</t>
  </si>
  <si>
    <t>Projektudgifter i tusinde kroner (t. kr.)</t>
  </si>
  <si>
    <t>Nr.</t>
  </si>
  <si>
    <t>pl-faktor:</t>
  </si>
  <si>
    <t xml:space="preserve">pl-justeret </t>
  </si>
  <si>
    <t>pl-justeret, inkl. risikopulje</t>
  </si>
  <si>
    <t>Projektudgifter, ekskl. renter</t>
  </si>
  <si>
    <t>Total, ekskl. renter</t>
  </si>
  <si>
    <t>Total, inkl. renter</t>
  </si>
  <si>
    <t>c62</t>
  </si>
  <si>
    <t>c63</t>
  </si>
  <si>
    <t>c64</t>
  </si>
  <si>
    <t>c65</t>
  </si>
  <si>
    <t>c66</t>
  </si>
  <si>
    <t>c67</t>
  </si>
  <si>
    <t>c68</t>
  </si>
  <si>
    <t>c69</t>
  </si>
  <si>
    <t>c70</t>
  </si>
  <si>
    <t>c71</t>
  </si>
  <si>
    <t>c72</t>
  </si>
  <si>
    <t>c73</t>
  </si>
  <si>
    <t>c74</t>
  </si>
  <si>
    <t>20240131 1100</t>
  </si>
  <si>
    <t>Fixed UFST behov for 15 års afskrivninger og pl beregning på afskrivninger samt formateringer</t>
  </si>
  <si>
    <t>JESTF+FREWE</t>
  </si>
  <si>
    <t>Ændringslog</t>
  </si>
  <si>
    <t>09-02-2024 1453</t>
  </si>
  <si>
    <t>Fixed manglende pl-beregnig i tabel fanen for tabel 3+4 og for tabel 2 ikke-aktiverede projektudgifter ved direkte at gange med faktoren før vi dividerer med 1000</t>
  </si>
  <si>
    <t>c75</t>
  </si>
  <si>
    <t>c76</t>
  </si>
  <si>
    <t>c77</t>
  </si>
  <si>
    <t>c78</t>
  </si>
  <si>
    <t>c79</t>
  </si>
  <si>
    <t>c80</t>
  </si>
  <si>
    <t>c81</t>
  </si>
  <si>
    <t>c82</t>
  </si>
  <si>
    <t>c83</t>
  </si>
  <si>
    <t>12-02-2024  1206</t>
  </si>
  <si>
    <t>Fixed efter heavy test. Løst problemer med tabellerne i tabelfanen, indsat ekstea kolonner i pl-beregningen i leverancefanen. Testet for om tabellerne regner korrekt inkl. pl-beregning.</t>
  </si>
  <si>
    <t>12-02-2024  1542</t>
  </si>
  <si>
    <t>Fixed efter ligth test. Løst problemer med tabel 5 i tabelfanen, hvor den gangede kolonne AU fra leverancefanen på, so, angiver procentdel aktiveret. Dette var dog dobbelt, da vi nu allerede gør det i pl beregningen i leverancefanen.</t>
  </si>
  <si>
    <t>Drifts-, vedligeholds- og udviklingsomkostninger</t>
  </si>
  <si>
    <t>26-02-2024  1556</t>
  </si>
  <si>
    <t>Indsat pl-justering på risikopuljen og testet om den regner korrekt. Herefter er modellen blevet testet igen. Fandt en fejl i manglende formler i leverancetabellen for projektudgifter. Lader til at komme fra en tidligere test, hvor formlerne er blevet slettet ifm. at data er blevet slettet. Vær meget obs på det. Derudover er det nemt løst, da man kan tage første kolonne og trække den så langt man vil have formlerne til at gå ud.</t>
  </si>
  <si>
    <t>1) Driftseffekten er lig med forskellen mellem kommende (A) og eksisterende (B) drifts, vedligeholds- og udviklingsomkostninger (A - B = driftseffekten).
2) En positiv driftseffekt betyder en stigning i budgettet, mens en negativ driftseffekt vil betyde en gevinst / besparelse / effektivisering.
3) Det er gennem driftseffekten økonomiske gevinster synliggøres. I projektgrundlaget kan den samlede driftseffekt fordeles på de konkrete økonomiske gevinster.
4) Tabel for den afledte driftseffekt har samme pl-justering som tabel for afledte økonomiske omkostninger.</t>
  </si>
  <si>
    <t>le_3_2</t>
  </si>
  <si>
    <t>1) I denne tabel indtastes alene de kommende drifts-, vedligeholds- og udviklingsomkostninger.
2) Der henvises til Model for porteføljestyring af statslige it-systemer for definition af drifts-, vedligeholds- og udviklingsomkostninger, som kan findes på Økonomistyrelsens hjemmeside oes.dk.</t>
  </si>
  <si>
    <t>Indsat årstal i leverancefanen for indtastningsår og juteret den betingede formatering, så de kun fremgår for relevante år. Tilføjet tekst til hver af tabellerne i leverance fanen til hjælp for udfyldelse. Fixet indledende referancerproblemr opstået ved tilføjelse af flere rækker.</t>
  </si>
  <si>
    <t>Styregruppeformand</t>
  </si>
  <si>
    <t>Testet af Anton og Jeppe F - fandt en fejl i referencen i tabel 3 for risikopuljen. Denne er håndteret.</t>
  </si>
  <si>
    <t>1) Udgifter er i tusinde kroner.
2) Du kan kun indtaste data i de hvide felter.
3) Du kan bruge klip/kopier+indsæt-funktionen for værdier i de hvide felter.
4) Du kan bruge klip/kopier+indsæt-funktionen for leverancer/releases, men ikke for anlæg, da det kan ødelægge de bagvedliggende formler.</t>
  </si>
  <si>
    <t>Opdateret PL til juni 2024-tal. Nu kan modelle beregne 2025-tal.</t>
  </si>
  <si>
    <t>FREWE</t>
  </si>
  <si>
    <t>Modellen er opdatert til 5.0.1: Tilføjet yderligere betingetformatering til cellerne hvor anlæg vælges på  "Leverancer". De bliver røde, hvis brugeren har valgt et anlæg, som ikke kan findes på fanen "Stamoplysninger". Der er også yderligere betingetformatering til risikopuljensplacering. Denne er nu kun rød, når der er placerede midler som ikke summer til 100 pct.. Dertil er der tilføjet datavalidering på datoindtastningsfelterne i fanen "Stamoplysninger". Brugeren kan nu kun skrive datoer i format dd-mm-yyyy og kun datoer efter 01-01-1900 er valide. indtastningsåret i "Leverancer" referere nu som udgangspunkt til det globale indtastningsår i "Stamoplysninger". Dette brydes dog ved første manuelle indtastning af indtastningsår</t>
  </si>
  <si>
    <t>Der er tilføjer yderligere rækker til leverancer, driftsudgifter og anlæg. Ændringerne er lavet på samtligt synlige faner</t>
  </si>
  <si>
    <t>capex_phases_2_6</t>
  </si>
  <si>
    <t>capex_phases_2_7</t>
  </si>
  <si>
    <t>capex_phases_2_8</t>
  </si>
  <si>
    <t>capex_phases_2_9</t>
  </si>
  <si>
    <t>capex_phases_2_10</t>
  </si>
  <si>
    <t>L21</t>
  </si>
  <si>
    <t>L22</t>
  </si>
  <si>
    <t>L23</t>
  </si>
  <si>
    <t>L24</t>
  </si>
  <si>
    <t>L25</t>
  </si>
  <si>
    <t>L26</t>
  </si>
  <si>
    <t>L27</t>
  </si>
  <si>
    <t>L28</t>
  </si>
  <si>
    <t>L29</t>
  </si>
  <si>
    <t>L30</t>
  </si>
  <si>
    <t>L31</t>
  </si>
  <si>
    <t>L32</t>
  </si>
  <si>
    <t>L33</t>
  </si>
  <si>
    <t>L34</t>
  </si>
  <si>
    <t>L35</t>
  </si>
  <si>
    <t>L36</t>
  </si>
  <si>
    <t>L37</t>
  </si>
  <si>
    <t>L38</t>
  </si>
  <si>
    <t>L39</t>
  </si>
  <si>
    <t>L40</t>
  </si>
  <si>
    <t>L41</t>
  </si>
  <si>
    <t>L42</t>
  </si>
  <si>
    <t>L43</t>
  </si>
  <si>
    <t>L44</t>
  </si>
  <si>
    <t>L45</t>
  </si>
  <si>
    <t>L46</t>
  </si>
  <si>
    <t>L47</t>
  </si>
  <si>
    <t>L48</t>
  </si>
  <si>
    <t>L49</t>
  </si>
  <si>
    <t>L50</t>
  </si>
  <si>
    <t>L51</t>
  </si>
  <si>
    <t>L52</t>
  </si>
  <si>
    <t>L53</t>
  </si>
  <si>
    <t>L54</t>
  </si>
  <si>
    <t>L55</t>
  </si>
  <si>
    <t>L56</t>
  </si>
  <si>
    <t>L57</t>
  </si>
  <si>
    <t>L58</t>
  </si>
  <si>
    <t>L59</t>
  </si>
  <si>
    <t>L60</t>
  </si>
  <si>
    <t>capex_phases_4_16</t>
  </si>
  <si>
    <t>capex_phases_4_17</t>
  </si>
  <si>
    <t>capex_phases_4_18</t>
  </si>
  <si>
    <t>capex_phases_4_19</t>
  </si>
  <si>
    <t>capex_phases_4_20</t>
  </si>
  <si>
    <t>capex_phases_4_21</t>
  </si>
  <si>
    <t>capex_phases_4_22</t>
  </si>
  <si>
    <t>capex_phases_4_23</t>
  </si>
  <si>
    <t>capex_phases_4_24</t>
  </si>
  <si>
    <t>capex_phases_4_25</t>
  </si>
  <si>
    <t>capex_phases_4_26</t>
  </si>
  <si>
    <t>capex_phases_4_27</t>
  </si>
  <si>
    <t>capex_phases_4_28</t>
  </si>
  <si>
    <t>capex_phases_4_29</t>
  </si>
  <si>
    <t>capex_phases_4_30</t>
  </si>
  <si>
    <t>capex_phases_4_31</t>
  </si>
  <si>
    <t>capex_phases_4_32</t>
  </si>
  <si>
    <t>capex_phases_4_33</t>
  </si>
  <si>
    <t>capex_phases_4_34</t>
  </si>
  <si>
    <t>capex_phases_4_35</t>
  </si>
  <si>
    <t>capex_phases_4_36</t>
  </si>
  <si>
    <t>capex_phases_4_37</t>
  </si>
  <si>
    <t>capex_phases_4_38</t>
  </si>
  <si>
    <t>capex_phases_4_39</t>
  </si>
  <si>
    <t>capex_phases_4_40</t>
  </si>
  <si>
    <t>capex_phases_4_41</t>
  </si>
  <si>
    <t>capex_phases_4_42</t>
  </si>
  <si>
    <t>capex_phases_4_43</t>
  </si>
  <si>
    <t>capex_phases_4_44</t>
  </si>
  <si>
    <t>capex_phases_4_45</t>
  </si>
  <si>
    <t>capex_phases_4_46</t>
  </si>
  <si>
    <t>capex_phases_4_47</t>
  </si>
  <si>
    <t>capex_phases_4_48</t>
  </si>
  <si>
    <t>capex_phases_4_49</t>
  </si>
  <si>
    <t>capex_phases_4_50</t>
  </si>
  <si>
    <t>D6</t>
  </si>
  <si>
    <t>D7</t>
  </si>
  <si>
    <t>D8</t>
  </si>
  <si>
    <t>D9</t>
  </si>
  <si>
    <t>D10</t>
  </si>
  <si>
    <t>D11</t>
  </si>
  <si>
    <t>D12</t>
  </si>
  <si>
    <t>D13</t>
  </si>
  <si>
    <t>D14</t>
  </si>
  <si>
    <t>D15</t>
  </si>
  <si>
    <t>D16</t>
  </si>
  <si>
    <t>D17</t>
  </si>
  <si>
    <t>D18</t>
  </si>
  <si>
    <t>D19</t>
  </si>
  <si>
    <t>D20</t>
  </si>
  <si>
    <t>benefits_operating-expenses_6</t>
  </si>
  <si>
    <t>benefits_operating-expenses_7</t>
  </si>
  <si>
    <t>benefits_operating-expenses_8</t>
  </si>
  <si>
    <t>benefits_operating-expenses_9</t>
  </si>
  <si>
    <t>benefits_operating-expenses_10</t>
  </si>
  <si>
    <t>benefits_operating-expenses_11</t>
  </si>
  <si>
    <t>benefits_operating-expenses_12</t>
  </si>
  <si>
    <t>benefits_operating-expenses_13</t>
  </si>
  <si>
    <t>benefits_operating-expenses_14</t>
  </si>
  <si>
    <t>benefits_operating-expenses_15</t>
  </si>
  <si>
    <t>benefits_operating-expenses_16</t>
  </si>
  <si>
    <t>benefits_operating-expenses_17</t>
  </si>
  <si>
    <t>benefits_operating-expenses_18</t>
  </si>
  <si>
    <t>benefits_operating-expenses_19</t>
  </si>
  <si>
    <t>benefits_operating-expenses_20</t>
  </si>
  <si>
    <t>L16</t>
  </si>
  <si>
    <t>c84</t>
  </si>
  <si>
    <t>30 50 09 73</t>
  </si>
  <si>
    <t>15-19-2025</t>
  </si>
  <si>
    <t>5.0.2</t>
  </si>
  <si>
    <t>Modellen er opdateret til 5.0.2: Opdateret med nye PL-tal inklusiv 2026</t>
  </si>
  <si>
    <t>MADSOD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</si>
</sst>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
    <numFmt numFmtId="165" formatCode="#,##0;\-#,##0;\-"/>
    <numFmt numFmtId="166" formatCode="0;\-0;\-"/>
    <numFmt numFmtId="167" formatCode="0.00%;\-0.00%;\-"/>
    <numFmt numFmtId="168" formatCode="#;#;\-"/>
    <numFmt numFmtId="169" formatCode="#,##0.0;[Red]\-#,##0.0;\-"/>
    <numFmt numFmtId="170" formatCode="&quot;gross receipts for &quot;@"/>
    <numFmt numFmtId="171" formatCode="0.0%"/>
    <numFmt numFmtId="172" formatCode="0.0000"/>
  </numFmts>
  <fonts count="58" x14ac:knownFonts="1">
    <font>
      <sz val="10"/>
      <color theme="1"/>
      <name val="Calibri"/>
      <family val="2"/>
    </font>
    <font>
      <sz val="11"/>
      <color theme="1"/>
      <name val="Calibri"/>
      <family val="2"/>
      <scheme val="minor"/>
    </font>
    <font>
      <sz val="10"/>
      <color theme="0"/>
      <name val="Calibri"/>
      <family val="2"/>
      <scheme val="minor"/>
    </font>
    <font>
      <sz val="10"/>
      <color theme="1"/>
      <name val="Calibri"/>
      <family val="2"/>
      <scheme val="minor"/>
    </font>
    <font>
      <sz val="9"/>
      <color theme="0"/>
      <name val="Arial"/>
      <family val="2"/>
    </font>
    <font>
      <sz val="9"/>
      <color theme="1"/>
      <name val="Arial"/>
      <family val="2"/>
    </font>
    <font>
      <sz val="10"/>
      <color theme="1"/>
      <name val="Arial"/>
      <family val="2"/>
    </font>
    <font>
      <sz val="10"/>
      <color rgb="FFFFFFFF"/>
      <name val="Arial"/>
      <family val="2"/>
    </font>
    <font>
      <sz val="9"/>
      <color rgb="FFFFFFFF"/>
      <name val="Arial"/>
      <family val="2"/>
    </font>
    <font>
      <b/>
      <sz val="9"/>
      <color theme="1"/>
      <name val="Arial"/>
      <family val="2"/>
    </font>
    <font>
      <b/>
      <sz val="16"/>
      <color theme="0"/>
      <name val="Arial"/>
      <family val="2"/>
    </font>
    <font>
      <b/>
      <sz val="14.4"/>
      <color theme="1"/>
      <name val="Arial"/>
      <family val="2"/>
    </font>
    <font>
      <sz val="11"/>
      <color theme="1"/>
      <name val="Arial"/>
      <family val="2"/>
    </font>
    <font>
      <sz val="10"/>
      <color rgb="FF808080"/>
      <name val="Arial"/>
      <family val="2"/>
    </font>
    <font>
      <b/>
      <sz val="12"/>
      <color theme="1"/>
      <name val="Arial"/>
      <family val="2"/>
    </font>
    <font>
      <sz val="10"/>
      <color rgb="FF6E011E"/>
      <name val="Arial"/>
      <family val="2"/>
    </font>
    <font>
      <b/>
      <sz val="10"/>
      <color theme="1"/>
      <name val="Arial"/>
      <family val="2"/>
    </font>
    <font>
      <b/>
      <sz val="22"/>
      <color rgb="FF575755"/>
      <name val="Arial"/>
      <family val="2"/>
    </font>
    <font>
      <b/>
      <sz val="18"/>
      <color rgb="FF9C0027"/>
      <name val="Arial"/>
      <family val="2"/>
    </font>
    <font>
      <b/>
      <sz val="12"/>
      <color rgb="FFFFFFFF"/>
      <name val="Arial"/>
      <family val="2"/>
    </font>
    <font>
      <b/>
      <sz val="9"/>
      <color rgb="FFFFFFFF"/>
      <name val="Arial"/>
      <family val="2"/>
    </font>
    <font>
      <sz val="9"/>
      <color rgb="FF9C0027"/>
      <name val="Arial"/>
      <family val="2"/>
    </font>
    <font>
      <b/>
      <sz val="13"/>
      <color rgb="FF808080"/>
      <name val="Arial"/>
      <family val="2"/>
    </font>
    <font>
      <sz val="9"/>
      <color rgb="FF2686AC"/>
      <name val="Arial"/>
      <family val="2"/>
    </font>
    <font>
      <sz val="9"/>
      <color rgb="FFA6A6A6"/>
      <name val="Arial"/>
      <family val="2"/>
    </font>
    <font>
      <b/>
      <sz val="20"/>
      <color theme="1"/>
      <name val="Arial"/>
      <family val="2"/>
    </font>
    <font>
      <b/>
      <sz val="12"/>
      <color rgb="FF366092"/>
      <name val="Arial"/>
      <family val="2"/>
    </font>
    <font>
      <sz val="18"/>
      <color theme="1"/>
      <name val="Arial"/>
      <family val="2"/>
    </font>
    <font>
      <b/>
      <sz val="10"/>
      <color rgb="FF808080"/>
      <name val="Arial"/>
      <family val="2"/>
    </font>
    <font>
      <sz val="9"/>
      <color rgb="FFF8F8DE"/>
      <name val="Arial"/>
      <family val="2"/>
    </font>
    <font>
      <sz val="19.2"/>
      <color rgb="FF000000"/>
      <name val="Arial"/>
      <family val="2"/>
    </font>
    <font>
      <sz val="10"/>
      <color rgb="FFD9D9D9"/>
      <name val="Arial"/>
      <family val="2"/>
    </font>
    <font>
      <sz val="10"/>
      <color theme="2" tint="-0.499984740745262"/>
      <name val="Calibri"/>
      <family val="2"/>
    </font>
    <font>
      <sz val="9"/>
      <color theme="2" tint="-0.499984740745262"/>
      <name val="Arial"/>
      <family val="2"/>
    </font>
    <font>
      <b/>
      <sz val="9"/>
      <color theme="2" tint="-0.499984740745262"/>
      <name val="Arial"/>
      <family val="2"/>
    </font>
    <font>
      <sz val="12"/>
      <color theme="1"/>
      <name val="Arial"/>
      <family val="2"/>
    </font>
    <font>
      <sz val="20"/>
      <color theme="1"/>
      <name val="Wingdings"/>
      <charset val="2"/>
    </font>
    <font>
      <sz val="26"/>
      <color theme="1"/>
      <name val="Wingdings"/>
      <charset val="2"/>
    </font>
    <font>
      <b/>
      <sz val="8"/>
      <color rgb="FFFFFFFF"/>
      <name val="Arial"/>
      <family val="2"/>
    </font>
    <font>
      <sz val="10"/>
      <color theme="1" tint="0.499984740745262"/>
      <name val="Arial"/>
      <family val="2"/>
    </font>
    <font>
      <sz val="10"/>
      <name val="Arial"/>
      <family val="2"/>
    </font>
    <font>
      <b/>
      <sz val="10"/>
      <name val="Arial"/>
      <family val="2"/>
    </font>
    <font>
      <b/>
      <sz val="9"/>
      <name val="Arial"/>
      <family val="2"/>
    </font>
    <font>
      <sz val="9"/>
      <name val="Arial"/>
      <family val="2"/>
    </font>
    <font>
      <b/>
      <sz val="36"/>
      <color rgb="FF066B43"/>
      <name val="Arial"/>
      <family val="2"/>
    </font>
    <font>
      <b/>
      <sz val="18"/>
      <color rgb="FF066B43"/>
      <name val="Arial"/>
      <family val="2"/>
    </font>
    <font>
      <b/>
      <sz val="14.4"/>
      <color rgb="FF066B43"/>
      <name val="Arial"/>
      <family val="2"/>
    </font>
    <font>
      <b/>
      <sz val="12"/>
      <color rgb="FF2686AC"/>
      <name val="Arial"/>
      <family val="2"/>
    </font>
    <font>
      <sz val="11"/>
      <color rgb="FF9C6500"/>
      <name val="Calibri"/>
      <family val="2"/>
      <scheme val="minor"/>
    </font>
    <font>
      <sz val="9"/>
      <color theme="1" tint="0.499984740745262"/>
      <name val="Arial"/>
      <family val="2"/>
    </font>
    <font>
      <sz val="11"/>
      <color rgb="FFFFFFFF"/>
      <name val="Calibri"/>
      <family val="2"/>
      <scheme val="minor"/>
    </font>
    <font>
      <sz val="9"/>
      <color theme="1"/>
      <name val="Calibri"/>
      <family val="2"/>
      <scheme val="minor"/>
    </font>
    <font>
      <b/>
      <sz val="22"/>
      <color rgb="FF575755"/>
      <name val="Calibri"/>
      <family val="2"/>
      <scheme val="minor"/>
    </font>
    <font>
      <b/>
      <sz val="22"/>
      <color rgb="FF575755"/>
      <name val="Calibri"/>
      <family val="2"/>
    </font>
    <font>
      <b/>
      <sz val="12"/>
      <color rgb="FFFFFFFF"/>
      <name val="Calibri"/>
      <family val="2"/>
      <scheme val="minor"/>
    </font>
    <font>
      <sz val="9"/>
      <color theme="0" tint="-0.34998626667073579"/>
      <name val="Arial"/>
      <family val="2"/>
    </font>
    <font>
      <b/>
      <sz val="18"/>
      <name val="Arial"/>
      <family val="2"/>
    </font>
    <font>
      <sz val="10"/>
      <color theme="1"/>
      <name val="Calibri"/>
      <family val="2"/>
    </font>
  </fonts>
  <fills count="32">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theme="3"/>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2" tint="-0.749992370372631"/>
        <bgColor indexed="64"/>
      </patternFill>
    </fill>
    <fill>
      <patternFill patternType="solid">
        <fgColor theme="3" tint="-0.499984740745262"/>
        <bgColor indexed="64"/>
      </patternFill>
    </fill>
    <fill>
      <patternFill patternType="solid">
        <fgColor rgb="FFF9F8F3"/>
        <bgColor indexed="64"/>
      </patternFill>
    </fill>
    <fill>
      <patternFill patternType="solid">
        <fgColor rgb="FF575755"/>
        <bgColor indexed="64"/>
      </patternFill>
    </fill>
    <fill>
      <patternFill patternType="solid">
        <fgColor rgb="FF1A6B89"/>
        <bgColor indexed="64"/>
      </patternFill>
    </fill>
    <fill>
      <patternFill patternType="solid">
        <fgColor rgb="FF024C17"/>
        <bgColor indexed="64"/>
      </patternFill>
    </fill>
    <fill>
      <patternFill patternType="solid">
        <fgColor rgb="FFF8F8DE"/>
        <bgColor indexed="64"/>
      </patternFill>
    </fill>
    <fill>
      <patternFill patternType="solid">
        <fgColor rgb="FFF3F2F2"/>
        <bgColor indexed="64"/>
      </patternFill>
    </fill>
    <fill>
      <patternFill patternType="solid">
        <fgColor rgb="FFFFFFFF"/>
        <bgColor indexed="64"/>
      </patternFill>
    </fill>
    <fill>
      <patternFill patternType="solid">
        <fgColor rgb="FFD9D9D9"/>
        <bgColor indexed="64"/>
      </patternFill>
    </fill>
    <fill>
      <patternFill patternType="solid">
        <fgColor rgb="FFEBEAE5"/>
        <bgColor indexed="64"/>
      </patternFill>
    </fill>
    <fill>
      <gradientFill degree="90">
        <stop position="0">
          <color rgb="FFD9D9D9"/>
        </stop>
        <stop position="1">
          <color rgb="FFF9F8F3"/>
        </stop>
      </gradientFill>
    </fill>
    <fill>
      <patternFill patternType="solid">
        <fgColor rgb="FF6E011E"/>
        <bgColor indexed="64"/>
      </patternFill>
    </fill>
    <fill>
      <patternFill patternType="solid">
        <fgColor rgb="FF9C0027"/>
        <bgColor indexed="64"/>
      </patternFill>
    </fill>
    <fill>
      <patternFill patternType="solid">
        <fgColor rgb="FFDADADA"/>
        <bgColor indexed="64"/>
      </patternFill>
    </fill>
    <fill>
      <patternFill patternType="solid">
        <fgColor rgb="FFF1F6FA"/>
        <bgColor indexed="64"/>
      </patternFill>
    </fill>
    <fill>
      <patternFill patternType="solid">
        <fgColor rgb="FF4C0014"/>
        <bgColor indexed="64"/>
      </patternFill>
    </fill>
    <fill>
      <patternFill patternType="solid">
        <fgColor rgb="FF2686AC"/>
        <bgColor indexed="64"/>
      </patternFill>
    </fill>
    <fill>
      <patternFill patternType="solid">
        <fgColor rgb="FF11485B"/>
        <bgColor indexed="64"/>
      </patternFill>
    </fill>
    <fill>
      <patternFill patternType="solid">
        <fgColor rgb="FF017024"/>
        <bgColor indexed="64"/>
      </patternFill>
    </fill>
    <fill>
      <gradientFill degree="90">
        <stop position="0">
          <color rgb="FFD9D9D9"/>
        </stop>
        <stop position="1">
          <color rgb="FFFFFFFF"/>
        </stop>
      </gradientFill>
    </fill>
    <fill>
      <patternFill patternType="solid">
        <fgColor rgb="FFFFEB9C"/>
      </patternFill>
    </fill>
    <fill>
      <patternFill patternType="solid">
        <fgColor rgb="FFF9F8F3"/>
        <bgColor rgb="FF000000"/>
      </patternFill>
    </fill>
    <fill>
      <patternFill patternType="solid">
        <fgColor theme="9" tint="-0.499984740745262"/>
        <bgColor indexed="64"/>
      </patternFill>
    </fill>
  </fills>
  <borders count="46">
    <border>
      <left/>
      <right/>
      <top/>
      <bottom/>
      <diagonal/>
    </border>
    <border>
      <left/>
      <right style="thin">
        <color rgb="FFEBEAE5"/>
      </right>
      <top/>
      <bottom/>
      <diagonal/>
    </border>
    <border>
      <left/>
      <right/>
      <top/>
      <bottom style="thin">
        <color rgb="FFCDCDCD"/>
      </bottom>
      <diagonal/>
    </border>
    <border>
      <left style="thin">
        <color rgb="FFCDCDCD"/>
      </left>
      <right/>
      <top/>
      <bottom/>
      <diagonal/>
    </border>
    <border>
      <left/>
      <right style="thin">
        <color rgb="FFCDCDCD"/>
      </right>
      <top/>
      <bottom/>
      <diagonal/>
    </border>
    <border>
      <left style="thin">
        <color rgb="FFCDCDCD"/>
      </left>
      <right/>
      <top style="thin">
        <color rgb="FFCDCDCD"/>
      </top>
      <bottom/>
      <diagonal/>
    </border>
    <border>
      <left style="thin">
        <color rgb="FFCDCDCD"/>
      </left>
      <right/>
      <top/>
      <bottom style="thin">
        <color rgb="FFCDCDCD"/>
      </bottom>
      <diagonal/>
    </border>
    <border>
      <left/>
      <right/>
      <top style="thin">
        <color rgb="FFCDCDCD"/>
      </top>
      <bottom/>
      <diagonal/>
    </border>
    <border>
      <left style="thin">
        <color rgb="FFCDCDCD"/>
      </left>
      <right style="thin">
        <color rgb="FFCDCDCD"/>
      </right>
      <top style="thin">
        <color rgb="FFCDCDCD"/>
      </top>
      <bottom style="thin">
        <color rgb="FFCDCDCD"/>
      </bottom>
      <diagonal/>
    </border>
    <border>
      <left style="thin">
        <color rgb="FFEBEAE5"/>
      </left>
      <right/>
      <top/>
      <bottom/>
      <diagonal/>
    </border>
    <border>
      <left/>
      <right style="thin">
        <color rgb="FFDADADA"/>
      </right>
      <top style="thin">
        <color rgb="FFDADADA"/>
      </top>
      <bottom/>
      <diagonal/>
    </border>
    <border>
      <left/>
      <right style="thin">
        <color rgb="FFEBEAE5"/>
      </right>
      <top style="thin">
        <color rgb="FFEBEAE5"/>
      </top>
      <bottom/>
      <diagonal/>
    </border>
    <border>
      <left/>
      <right style="thin">
        <color rgb="FFEBEAE5"/>
      </right>
      <top style="thick">
        <color rgb="FFEBEAE5"/>
      </top>
      <bottom/>
      <diagonal/>
    </border>
    <border>
      <left/>
      <right/>
      <top style="thick">
        <color rgb="FFEBEAE5"/>
      </top>
      <bottom/>
      <diagonal/>
    </border>
    <border>
      <left/>
      <right/>
      <top style="thin">
        <color rgb="FFEBEAE5"/>
      </top>
      <bottom/>
      <diagonal/>
    </border>
    <border>
      <left/>
      <right/>
      <top/>
      <bottom style="thick">
        <color rgb="FFCDCDCD"/>
      </bottom>
      <diagonal/>
    </border>
    <border>
      <left/>
      <right style="thin">
        <color rgb="FFCDCDCD"/>
      </right>
      <top/>
      <bottom style="thin">
        <color rgb="FFCDCDCD"/>
      </bottom>
      <diagonal/>
    </border>
    <border>
      <left style="thin">
        <color rgb="FFCDCDCD"/>
      </left>
      <right style="thin">
        <color rgb="FFCDCDCD"/>
      </right>
      <top style="thick">
        <color rgb="FFE6E6E8"/>
      </top>
      <bottom/>
      <diagonal/>
    </border>
    <border>
      <left style="thin">
        <color rgb="FFEBEAE5"/>
      </left>
      <right/>
      <top style="thin">
        <color rgb="FFEBEAE5"/>
      </top>
      <bottom/>
      <diagonal/>
    </border>
    <border>
      <left style="thin">
        <color rgb="FFEBEAE5"/>
      </left>
      <right/>
      <top style="thin">
        <color rgb="FFEBEAE5"/>
      </top>
      <bottom style="thin">
        <color rgb="FFEBEAE5"/>
      </bottom>
      <diagonal/>
    </border>
    <border>
      <left/>
      <right/>
      <top style="thin">
        <color rgb="FFEBEAE5"/>
      </top>
      <bottom style="thin">
        <color rgb="FFEBEAE5"/>
      </bottom>
      <diagonal/>
    </border>
    <border>
      <left style="thin">
        <color rgb="FFDADADA"/>
      </left>
      <right/>
      <top/>
      <bottom/>
      <diagonal/>
    </border>
    <border>
      <left style="thin">
        <color rgb="FFCDCDCD"/>
      </left>
      <right style="thin">
        <color rgb="FFCDCDCD"/>
      </right>
      <top style="thick">
        <color theme="9" tint="-0.499984740745262"/>
      </top>
      <bottom/>
      <diagonal/>
    </border>
    <border>
      <left style="thin">
        <color rgb="FFCDCDCD"/>
      </left>
      <right/>
      <top style="thick">
        <color rgb="FF066B43"/>
      </top>
      <bottom/>
      <diagonal/>
    </border>
    <border>
      <left/>
      <right/>
      <top style="thick">
        <color rgb="FF066B43"/>
      </top>
      <bottom/>
      <diagonal/>
    </border>
    <border>
      <left/>
      <right style="thin">
        <color rgb="FFCDCDCD"/>
      </right>
      <top style="thick">
        <color rgb="FF066B43"/>
      </top>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style="thin">
        <color rgb="FFEBEAE5"/>
      </left>
      <right style="thin">
        <color rgb="FFEBEAE5"/>
      </right>
      <top style="thin">
        <color rgb="FFEBEAE5"/>
      </top>
      <bottom style="thin">
        <color rgb="FFEBEAE5"/>
      </bottom>
      <diagonal/>
    </border>
    <border>
      <left style="thin">
        <color rgb="FFEBEAE5"/>
      </left>
      <right style="thin">
        <color rgb="FFEBEAE5"/>
      </right>
      <top style="thin">
        <color rgb="FFEBEAE5"/>
      </top>
      <bottom/>
      <diagonal/>
    </border>
    <border>
      <left/>
      <right style="thin">
        <color theme="4" tint="0.39994506668294322"/>
      </right>
      <top style="thin">
        <color theme="4" tint="0.39997558519241921"/>
      </top>
      <bottom/>
      <diagonal/>
    </border>
    <border>
      <left style="thin">
        <color theme="4" tint="0.39994506668294322"/>
      </left>
      <right style="thin">
        <color theme="4" tint="0.39994506668294322"/>
      </right>
      <top style="thin">
        <color theme="4" tint="0.39997558519241921"/>
      </top>
      <bottom/>
      <diagonal/>
    </border>
    <border>
      <left style="thin">
        <color theme="4" tint="0.39994506668294322"/>
      </left>
      <right/>
      <top style="thin">
        <color theme="4" tint="0.39997558519241921"/>
      </top>
      <bottom/>
      <diagonal/>
    </border>
    <border>
      <left/>
      <right style="thin">
        <color rgb="FFDADADA"/>
      </right>
      <top/>
      <bottom/>
      <diagonal/>
    </border>
    <border>
      <left style="thin">
        <color theme="0"/>
      </left>
      <right/>
      <top/>
      <bottom/>
      <diagonal/>
    </border>
    <border>
      <left/>
      <right style="thin">
        <color theme="0"/>
      </right>
      <top/>
      <bottom/>
      <diagonal/>
    </border>
    <border>
      <left style="thin">
        <color rgb="FFCDCDCD"/>
      </left>
      <right/>
      <top style="thick">
        <color theme="9" tint="-0.24994659260841701"/>
      </top>
      <bottom/>
      <diagonal/>
    </border>
    <border>
      <left/>
      <right/>
      <top style="thick">
        <color theme="9" tint="-0.24994659260841701"/>
      </top>
      <bottom/>
      <diagonal/>
    </border>
    <border>
      <left/>
      <right style="thin">
        <color rgb="FFCDCDCD"/>
      </right>
      <top style="thick">
        <color theme="9" tint="-0.24994659260841701"/>
      </top>
      <bottom/>
      <diagonal/>
    </border>
    <border>
      <left style="thin">
        <color rgb="FFCDCDCD"/>
      </left>
      <right/>
      <top style="thick">
        <color theme="9" tint="-0.24994659260841701"/>
      </top>
      <bottom style="thick">
        <color rgb="FFE6E6E8"/>
      </bottom>
      <diagonal/>
    </border>
    <border>
      <left/>
      <right/>
      <top style="thick">
        <color theme="9" tint="-0.24994659260841701"/>
      </top>
      <bottom style="thick">
        <color rgb="FFE6E6E8"/>
      </bottom>
      <diagonal/>
    </border>
    <border>
      <left/>
      <right style="thin">
        <color rgb="FFCDCDCD"/>
      </right>
      <top style="thick">
        <color theme="9" tint="-0.24994659260841701"/>
      </top>
      <bottom style="thick">
        <color rgb="FFE6E6E8"/>
      </bottom>
      <diagonal/>
    </border>
    <border>
      <left style="thin">
        <color rgb="FFCDCDCD"/>
      </left>
      <right/>
      <top style="thick">
        <color rgb="FFE6E6E8"/>
      </top>
      <bottom/>
      <diagonal/>
    </border>
    <border>
      <left/>
      <right/>
      <top style="thick">
        <color rgb="FFE6E6E8"/>
      </top>
      <bottom/>
      <diagonal/>
    </border>
    <border>
      <left/>
      <right style="thin">
        <color rgb="FFCDCDCD"/>
      </right>
      <top style="thick">
        <color rgb="FFE6E6E8"/>
      </top>
      <bottom/>
      <diagonal/>
    </border>
  </borders>
  <cellStyleXfs count="130">
    <xf numFmtId="0" fontId="0" fillId="0" borderId="0"/>
    <xf numFmtId="0" fontId="7" fillId="11" borderId="0">
      <alignment horizontal="center" vertical="center"/>
    </xf>
    <xf numFmtId="0" fontId="8" fillId="12" borderId="1">
      <alignment horizontal="center" vertical="center"/>
    </xf>
    <xf numFmtId="0" fontId="9" fillId="10" borderId="0"/>
    <xf numFmtId="0" fontId="8" fillId="13" borderId="1">
      <alignment horizontal="center" vertical="center"/>
    </xf>
    <xf numFmtId="164" fontId="5" fillId="14" borderId="2">
      <alignment horizontal="right" shrinkToFit="1"/>
    </xf>
    <xf numFmtId="0" fontId="6" fillId="15" borderId="3">
      <alignment vertical="center"/>
    </xf>
    <xf numFmtId="0" fontId="6" fillId="15" borderId="0">
      <alignment vertical="center"/>
    </xf>
    <xf numFmtId="0" fontId="6" fillId="15" borderId="4">
      <alignment vertical="center"/>
    </xf>
    <xf numFmtId="0" fontId="11" fillId="15" borderId="0">
      <alignment vertical="center"/>
    </xf>
    <xf numFmtId="49" fontId="12" fillId="16" borderId="0">
      <alignment horizontal="left" vertical="center" wrapText="1" indent="1"/>
      <protection locked="0"/>
    </xf>
    <xf numFmtId="0" fontId="6" fillId="10" borderId="2">
      <alignment vertical="center"/>
    </xf>
    <xf numFmtId="0" fontId="6" fillId="15" borderId="5">
      <alignment horizontal="left" vertical="center" wrapText="1" indent="1"/>
    </xf>
    <xf numFmtId="0" fontId="13" fillId="15" borderId="6">
      <alignment horizontal="left" vertical="center" wrapText="1" indent="1"/>
    </xf>
    <xf numFmtId="14" fontId="12" fillId="16" borderId="0">
      <alignment horizontal="left" vertical="center" wrapText="1" indent="1"/>
      <protection locked="0"/>
    </xf>
    <xf numFmtId="0" fontId="14" fillId="15" borderId="0">
      <alignment vertical="center"/>
    </xf>
    <xf numFmtId="0" fontId="15" fillId="15" borderId="0">
      <alignment horizontal="left" vertical="center" wrapText="1" indent="2"/>
    </xf>
    <xf numFmtId="0" fontId="6" fillId="15" borderId="7">
      <alignment vertical="center"/>
    </xf>
    <xf numFmtId="49" fontId="12" fillId="16" borderId="0">
      <alignment horizontal="left" vertical="center" wrapText="1" indent="1"/>
      <protection locked="0"/>
    </xf>
    <xf numFmtId="0" fontId="6" fillId="10" borderId="7">
      <alignment vertical="center"/>
    </xf>
    <xf numFmtId="49" fontId="12" fillId="15" borderId="8">
      <alignment horizontal="left" vertical="center" wrapText="1" indent="1"/>
    </xf>
    <xf numFmtId="0" fontId="6" fillId="15" borderId="0">
      <alignment horizontal="left" vertical="center" wrapText="1" indent="1"/>
    </xf>
    <xf numFmtId="0" fontId="6" fillId="17" borderId="0">
      <alignment horizontal="center" vertical="center"/>
    </xf>
    <xf numFmtId="0" fontId="16" fillId="18" borderId="0">
      <alignment vertical="center"/>
    </xf>
    <xf numFmtId="0" fontId="6" fillId="18" borderId="0">
      <alignment horizontal="justify" vertical="center" wrapText="1"/>
    </xf>
    <xf numFmtId="0" fontId="6" fillId="18" borderId="0">
      <alignment vertical="center" wrapText="1"/>
    </xf>
    <xf numFmtId="0" fontId="6" fillId="19" borderId="0">
      <alignment horizontal="center" vertical="center"/>
    </xf>
    <xf numFmtId="0" fontId="17" fillId="10" borderId="0"/>
    <xf numFmtId="0" fontId="45" fillId="10" borderId="0">
      <alignment vertical="center"/>
    </xf>
    <xf numFmtId="0" fontId="8" fillId="20" borderId="1">
      <alignment horizontal="center" vertical="center"/>
    </xf>
    <xf numFmtId="0" fontId="19" fillId="21" borderId="9">
      <alignment horizontal="center" vertical="center" wrapText="1"/>
    </xf>
    <xf numFmtId="0" fontId="20" fillId="21" borderId="1">
      <alignment horizontal="center" vertical="center"/>
    </xf>
    <xf numFmtId="0" fontId="14" fillId="16" borderId="10">
      <alignment horizontal="center" vertical="center" wrapText="1"/>
      <protection locked="0"/>
    </xf>
    <xf numFmtId="0" fontId="21" fillId="21" borderId="9">
      <alignment vertical="center"/>
    </xf>
    <xf numFmtId="0" fontId="21" fillId="21" borderId="0">
      <alignment vertical="center"/>
    </xf>
    <xf numFmtId="0" fontId="6" fillId="0" borderId="0"/>
    <xf numFmtId="0" fontId="19" fillId="21" borderId="1">
      <alignment horizontal="left" vertical="center" indent="1"/>
    </xf>
    <xf numFmtId="0" fontId="19" fillId="21" borderId="1">
      <alignment horizontal="center" vertical="center" wrapText="1"/>
    </xf>
    <xf numFmtId="0" fontId="9" fillId="22" borderId="11">
      <alignment horizontal="center" vertical="center" wrapText="1"/>
    </xf>
    <xf numFmtId="0" fontId="20" fillId="20" borderId="11">
      <alignment horizontal="center" vertical="center" wrapText="1"/>
    </xf>
    <xf numFmtId="0" fontId="6" fillId="18" borderId="0">
      <alignment horizontal="center" vertical="center"/>
    </xf>
    <xf numFmtId="0" fontId="22" fillId="10" borderId="0">
      <alignment vertical="center"/>
    </xf>
    <xf numFmtId="165" fontId="9" fillId="23" borderId="11">
      <alignment horizontal="left" vertical="center" indent="1"/>
    </xf>
    <xf numFmtId="165" fontId="9" fillId="23" borderId="11">
      <alignment horizontal="right" vertical="center" indent="1" shrinkToFit="1"/>
    </xf>
    <xf numFmtId="165" fontId="20" fillId="20" borderId="12">
      <alignment horizontal="right" vertical="center" indent="1" shrinkToFit="1"/>
    </xf>
    <xf numFmtId="0" fontId="9" fillId="23" borderId="13">
      <alignment vertical="center"/>
    </xf>
    <xf numFmtId="166" fontId="5" fillId="16" borderId="12">
      <alignment vertical="center" wrapText="1"/>
      <protection locked="0"/>
    </xf>
    <xf numFmtId="165" fontId="9" fillId="23" borderId="12">
      <alignment horizontal="left" vertical="center" indent="1"/>
    </xf>
    <xf numFmtId="165" fontId="9" fillId="23" borderId="12">
      <alignment horizontal="right" vertical="center" indent="1" shrinkToFit="1"/>
    </xf>
    <xf numFmtId="165" fontId="5" fillId="16" borderId="14">
      <alignment vertical="center" wrapText="1"/>
    </xf>
    <xf numFmtId="165" fontId="5" fillId="16" borderId="11">
      <alignment horizontal="right" vertical="center" wrapText="1" indent="1"/>
      <protection locked="0"/>
    </xf>
    <xf numFmtId="165" fontId="5" fillId="23" borderId="11">
      <alignment horizontal="right" vertical="center" indent="1" shrinkToFit="1"/>
    </xf>
    <xf numFmtId="165" fontId="8" fillId="20" borderId="11">
      <alignment horizontal="right" vertical="center" indent="1" shrinkToFit="1"/>
    </xf>
    <xf numFmtId="0" fontId="5" fillId="16" borderId="0">
      <alignment vertical="center"/>
    </xf>
    <xf numFmtId="0" fontId="5" fillId="16" borderId="1">
      <alignment vertical="center"/>
      <protection locked="0"/>
    </xf>
    <xf numFmtId="165" fontId="5" fillId="23" borderId="1">
      <alignment vertical="center"/>
    </xf>
    <xf numFmtId="165" fontId="5" fillId="16" borderId="9">
      <alignment horizontal="right" vertical="center" indent="1" shrinkToFit="1"/>
      <protection locked="0"/>
    </xf>
    <xf numFmtId="165" fontId="5" fillId="16" borderId="0">
      <alignment horizontal="right" vertical="center" indent="1" shrinkToFit="1"/>
      <protection locked="0"/>
    </xf>
    <xf numFmtId="165" fontId="5" fillId="16" borderId="1">
      <alignment horizontal="right" vertical="center" indent="1" shrinkToFit="1"/>
      <protection locked="0"/>
    </xf>
    <xf numFmtId="165" fontId="8" fillId="21" borderId="1">
      <alignment horizontal="right" vertical="center" indent="1" shrinkToFit="1"/>
    </xf>
    <xf numFmtId="0" fontId="9" fillId="18" borderId="0">
      <alignment vertical="center"/>
    </xf>
    <xf numFmtId="165" fontId="20" fillId="24" borderId="11">
      <alignment horizontal="right" vertical="center" indent="1" shrinkToFit="1"/>
    </xf>
    <xf numFmtId="0" fontId="19" fillId="25" borderId="1">
      <alignment horizontal="center" vertical="center" wrapText="1"/>
    </xf>
    <xf numFmtId="0" fontId="19" fillId="25" borderId="1">
      <alignment horizontal="center" vertical="top" wrapText="1"/>
    </xf>
    <xf numFmtId="0" fontId="23" fillId="25" borderId="9">
      <alignment vertical="center"/>
    </xf>
    <xf numFmtId="0" fontId="23" fillId="25" borderId="0">
      <alignment vertical="center"/>
    </xf>
    <xf numFmtId="0" fontId="19" fillId="25" borderId="1">
      <alignment horizontal="left" vertical="center" indent="1"/>
    </xf>
    <xf numFmtId="0" fontId="20" fillId="12" borderId="11">
      <alignment horizontal="center" vertical="center" wrapText="1"/>
    </xf>
    <xf numFmtId="165" fontId="20" fillId="12" borderId="12">
      <alignment horizontal="right" vertical="center" indent="1" shrinkToFit="1"/>
    </xf>
    <xf numFmtId="165" fontId="5" fillId="23" borderId="12">
      <alignment vertical="center"/>
    </xf>
    <xf numFmtId="165" fontId="8" fillId="12" borderId="11">
      <alignment horizontal="right" vertical="center" indent="1" shrinkToFit="1"/>
    </xf>
    <xf numFmtId="165" fontId="8" fillId="25" borderId="1">
      <alignment horizontal="right" vertical="center" indent="1" shrinkToFit="1"/>
    </xf>
    <xf numFmtId="0" fontId="5" fillId="18" borderId="0">
      <alignment vertical="center"/>
    </xf>
    <xf numFmtId="167" fontId="5" fillId="16" borderId="18">
      <alignment horizontal="right" vertical="center" indent="1" shrinkToFit="1"/>
      <protection locked="0"/>
    </xf>
    <xf numFmtId="165" fontId="20" fillId="26" borderId="11">
      <alignment horizontal="right" vertical="center" indent="1" shrinkToFit="1"/>
    </xf>
    <xf numFmtId="0" fontId="9" fillId="23" borderId="14">
      <alignment vertical="center"/>
    </xf>
    <xf numFmtId="165" fontId="5" fillId="23" borderId="11">
      <alignment vertical="center" wrapText="1"/>
    </xf>
    <xf numFmtId="165" fontId="5" fillId="23" borderId="11">
      <alignment vertical="center"/>
    </xf>
    <xf numFmtId="167" fontId="8" fillId="12" borderId="11">
      <alignment horizontal="right" vertical="center" wrapText="1" indent="1"/>
    </xf>
    <xf numFmtId="0" fontId="19" fillId="27" borderId="1">
      <alignment horizontal="left" vertical="center" indent="1"/>
    </xf>
    <xf numFmtId="0" fontId="19" fillId="27" borderId="1">
      <alignment horizontal="center" vertical="center" wrapText="1"/>
    </xf>
    <xf numFmtId="0" fontId="20" fillId="13" borderId="11">
      <alignment horizontal="center" vertical="center" wrapText="1"/>
    </xf>
    <xf numFmtId="165" fontId="5" fillId="16" borderId="12">
      <alignment horizontal="right" vertical="center" indent="1" shrinkToFit="1"/>
      <protection locked="0"/>
    </xf>
    <xf numFmtId="165" fontId="8" fillId="13" borderId="12">
      <alignment horizontal="right" vertical="center" indent="1" shrinkToFit="1"/>
    </xf>
    <xf numFmtId="0" fontId="6" fillId="28" borderId="0">
      <alignment horizontal="left" vertical="top"/>
    </xf>
    <xf numFmtId="14" fontId="5" fillId="16" borderId="12">
      <alignment vertical="center" wrapText="1"/>
      <protection locked="0"/>
    </xf>
    <xf numFmtId="165" fontId="9" fillId="16" borderId="12">
      <alignment vertical="center" wrapText="1"/>
      <protection locked="0"/>
    </xf>
    <xf numFmtId="165" fontId="24" fillId="23" borderId="11">
      <alignment vertical="center"/>
    </xf>
    <xf numFmtId="14" fontId="24" fillId="23" borderId="11">
      <alignment horizontal="right" vertical="center" indent="1"/>
    </xf>
    <xf numFmtId="0" fontId="25" fillId="15" borderId="22">
      <alignment horizontal="left" vertical="center" indent="2"/>
    </xf>
    <xf numFmtId="0" fontId="6" fillId="16" borderId="3">
      <alignment vertical="center"/>
    </xf>
    <xf numFmtId="0" fontId="6" fillId="16" borderId="0">
      <alignment vertical="center"/>
    </xf>
    <xf numFmtId="0" fontId="6" fillId="16" borderId="4">
      <alignment vertical="center"/>
    </xf>
    <xf numFmtId="0" fontId="6" fillId="14" borderId="7">
      <alignment vertical="center" wrapText="1"/>
    </xf>
    <xf numFmtId="0" fontId="26" fillId="14" borderId="7">
      <alignment vertical="center"/>
    </xf>
    <xf numFmtId="0" fontId="6" fillId="14" borderId="0">
      <alignment vertical="center"/>
    </xf>
    <xf numFmtId="0" fontId="16" fillId="14" borderId="0">
      <alignment vertical="center"/>
    </xf>
    <xf numFmtId="168" fontId="9" fillId="14" borderId="15">
      <alignment vertical="top" wrapText="1"/>
    </xf>
    <xf numFmtId="164" fontId="9" fillId="14" borderId="15">
      <alignment horizontal="left" shrinkToFit="1"/>
    </xf>
    <xf numFmtId="168" fontId="9" fillId="14" borderId="15">
      <alignment horizontal="right" shrinkToFit="1"/>
    </xf>
    <xf numFmtId="0" fontId="6" fillId="14" borderId="0">
      <alignment vertical="center"/>
    </xf>
    <xf numFmtId="168" fontId="9" fillId="14" borderId="2">
      <alignment vertical="top" wrapText="1"/>
    </xf>
    <xf numFmtId="164" fontId="9" fillId="14" borderId="2">
      <alignment horizontal="left" shrinkToFit="1"/>
    </xf>
    <xf numFmtId="164" fontId="9" fillId="14" borderId="2">
      <alignment horizontal="right" shrinkToFit="1"/>
    </xf>
    <xf numFmtId="168" fontId="5" fillId="14" borderId="2">
      <alignment horizontal="left" vertical="top" wrapText="1" indent="1"/>
    </xf>
    <xf numFmtId="164" fontId="5" fillId="14" borderId="2">
      <alignment horizontal="left" shrinkToFit="1"/>
    </xf>
    <xf numFmtId="168" fontId="5" fillId="14" borderId="2">
      <alignment horizontal="left" vertical="top" wrapText="1" indent="2"/>
    </xf>
    <xf numFmtId="0" fontId="6" fillId="14" borderId="0">
      <alignment vertical="center"/>
    </xf>
    <xf numFmtId="0" fontId="26" fillId="14" borderId="0"/>
    <xf numFmtId="0" fontId="6" fillId="16" borderId="6">
      <alignment vertical="center"/>
    </xf>
    <xf numFmtId="0" fontId="6" fillId="16" borderId="2">
      <alignment vertical="center"/>
    </xf>
    <xf numFmtId="0" fontId="6" fillId="16" borderId="16">
      <alignment vertical="center"/>
    </xf>
    <xf numFmtId="0" fontId="27" fillId="15" borderId="17">
      <alignment horizontal="left" vertical="center" indent="3"/>
    </xf>
    <xf numFmtId="168" fontId="5" fillId="14" borderId="2">
      <alignment vertical="top" wrapText="1"/>
    </xf>
    <xf numFmtId="168" fontId="5" fillId="14" borderId="2">
      <alignment horizontal="left" vertical="top" wrapText="1" indent="3"/>
    </xf>
    <xf numFmtId="9" fontId="9" fillId="14" borderId="2">
      <alignment horizontal="right" shrinkToFit="1"/>
    </xf>
    <xf numFmtId="169" fontId="5" fillId="14" borderId="2">
      <alignment horizontal="right" shrinkToFit="1"/>
    </xf>
    <xf numFmtId="168" fontId="9" fillId="14" borderId="2">
      <alignment horizontal="left" vertical="top" wrapText="1" indent="1"/>
    </xf>
    <xf numFmtId="0" fontId="28" fillId="14" borderId="0">
      <alignment vertical="center"/>
    </xf>
    <xf numFmtId="9" fontId="5" fillId="14" borderId="2">
      <alignment horizontal="right" shrinkToFit="1"/>
    </xf>
    <xf numFmtId="164" fontId="29" fillId="14" borderId="2">
      <alignment horizontal="right"/>
    </xf>
    <xf numFmtId="0" fontId="18" fillId="10" borderId="0">
      <alignment vertical="center"/>
    </xf>
    <xf numFmtId="0" fontId="48" fillId="29" borderId="0" applyNumberFormat="0" applyBorder="0" applyAlignment="0" applyProtection="0"/>
    <xf numFmtId="165" fontId="8" fillId="27" borderId="1">
      <alignment horizontal="right" vertical="center" indent="1" shrinkToFit="1"/>
    </xf>
    <xf numFmtId="0" fontId="50" fillId="11" borderId="0">
      <alignment horizontal="left" vertical="center"/>
    </xf>
    <xf numFmtId="0" fontId="52" fillId="10" borderId="0">
      <alignment horizontal="left" vertical="top"/>
    </xf>
    <xf numFmtId="0" fontId="54" fillId="25" borderId="1">
      <alignment horizontal="left" vertical="top" wrapText="1" indent="1"/>
    </xf>
    <xf numFmtId="0" fontId="54" fillId="27" borderId="1">
      <alignment horizontal="left" vertical="top" wrapText="1" indent="1"/>
    </xf>
    <xf numFmtId="0" fontId="1" fillId="15" borderId="0">
      <alignment horizontal="left" vertical="top"/>
    </xf>
    <xf numFmtId="43" fontId="57" fillId="0" borderId="0" applyFont="0" applyFill="0" applyBorder="0" applyAlignment="0" applyProtection="0"/>
  </cellStyleXfs>
  <cellXfs count="256">
    <xf numFmtId="0" fontId="0" fillId="0" borderId="0" xfId="0"/>
    <xf numFmtId="0" fontId="2" fillId="2" borderId="0" xfId="0" applyFont="1" applyFill="1" applyAlignment="1">
      <alignment vertical="top"/>
    </xf>
    <xf numFmtId="0" fontId="3" fillId="0" borderId="0" xfId="0" applyFont="1" applyAlignment="1">
      <alignment vertical="top"/>
    </xf>
    <xf numFmtId="0" fontId="0" fillId="0" borderId="0" xfId="0" quotePrefix="1"/>
    <xf numFmtId="14" fontId="0" fillId="0" borderId="0" xfId="0" applyNumberFormat="1"/>
    <xf numFmtId="0" fontId="4" fillId="4" borderId="0" xfId="0" applyFont="1" applyFill="1" applyAlignment="1">
      <alignment horizontal="left" vertical="center"/>
    </xf>
    <xf numFmtId="0" fontId="5" fillId="0" borderId="0" xfId="0" applyFont="1" applyAlignment="1">
      <alignment horizontal="left" vertical="center"/>
    </xf>
    <xf numFmtId="0" fontId="4" fillId="5" borderId="0" xfId="0" applyFont="1" applyFill="1" applyAlignment="1">
      <alignment horizontal="left" vertical="center"/>
    </xf>
    <xf numFmtId="0" fontId="4" fillId="9" borderId="0" xfId="0" applyFont="1" applyFill="1" applyAlignment="1">
      <alignment horizontal="left" vertical="center"/>
    </xf>
    <xf numFmtId="0" fontId="5" fillId="6" borderId="0" xfId="0" applyFont="1" applyFill="1" applyAlignment="1">
      <alignment horizontal="left" vertical="center"/>
    </xf>
    <xf numFmtId="0" fontId="5" fillId="3" borderId="0" xfId="0" applyFont="1" applyFill="1" applyAlignment="1">
      <alignment horizontal="left" vertical="center"/>
    </xf>
    <xf numFmtId="0" fontId="4" fillId="7" borderId="0" xfId="0" applyFont="1" applyFill="1" applyAlignment="1">
      <alignment horizontal="left" vertical="center"/>
    </xf>
    <xf numFmtId="0" fontId="5" fillId="10" borderId="0" xfId="0" applyFont="1" applyFill="1" applyAlignment="1">
      <alignment horizontal="left" vertical="center"/>
    </xf>
    <xf numFmtId="0" fontId="5" fillId="10" borderId="0" xfId="0" applyFont="1" applyFill="1" applyAlignment="1">
      <alignment horizontal="left" vertical="top"/>
    </xf>
    <xf numFmtId="0" fontId="10" fillId="8" borderId="0" xfId="0" applyFont="1" applyFill="1" applyAlignment="1">
      <alignment vertical="top"/>
    </xf>
    <xf numFmtId="0" fontId="5" fillId="3" borderId="0" xfId="0" applyFont="1" applyFill="1" applyAlignment="1">
      <alignment horizontal="left" vertical="top"/>
    </xf>
    <xf numFmtId="0" fontId="4" fillId="7" borderId="0" xfId="0" applyFont="1" applyFill="1" applyAlignment="1">
      <alignment horizontal="left" vertical="top"/>
    </xf>
    <xf numFmtId="0" fontId="6" fillId="15" borderId="3" xfId="6">
      <alignment vertical="center"/>
    </xf>
    <xf numFmtId="0" fontId="6" fillId="15" borderId="0" xfId="7">
      <alignment vertical="center"/>
    </xf>
    <xf numFmtId="0" fontId="6" fillId="15" borderId="4" xfId="8">
      <alignment vertical="center"/>
    </xf>
    <xf numFmtId="0" fontId="11" fillId="15" borderId="0" xfId="9" quotePrefix="1">
      <alignment vertical="center"/>
    </xf>
    <xf numFmtId="0" fontId="6" fillId="10" borderId="7" xfId="19">
      <alignment vertical="center"/>
    </xf>
    <xf numFmtId="0" fontId="5" fillId="17" borderId="0" xfId="0" applyFont="1" applyFill="1" applyAlignment="1">
      <alignment horizontal="left" vertical="center"/>
    </xf>
    <xf numFmtId="0" fontId="7" fillId="11" borderId="0" xfId="1">
      <alignment horizontal="center" vertical="center"/>
    </xf>
    <xf numFmtId="0" fontId="6" fillId="17" borderId="0" xfId="22">
      <alignment horizontal="center" vertical="center"/>
    </xf>
    <xf numFmtId="0" fontId="6" fillId="19" borderId="0" xfId="26">
      <alignment horizontal="center" vertical="center"/>
    </xf>
    <xf numFmtId="0" fontId="17" fillId="10" borderId="0" xfId="27" quotePrefix="1"/>
    <xf numFmtId="0" fontId="6" fillId="18" borderId="0" xfId="40">
      <alignment horizontal="center" vertical="center"/>
    </xf>
    <xf numFmtId="0" fontId="8" fillId="12" borderId="1" xfId="2">
      <alignment horizontal="center" vertical="center"/>
    </xf>
    <xf numFmtId="0" fontId="23" fillId="25" borderId="0" xfId="65">
      <alignment vertical="center"/>
    </xf>
    <xf numFmtId="0" fontId="5" fillId="18" borderId="0" xfId="72" quotePrefix="1">
      <alignment vertical="center"/>
    </xf>
    <xf numFmtId="0" fontId="5" fillId="18" borderId="0" xfId="72">
      <alignment vertical="center"/>
    </xf>
    <xf numFmtId="170" fontId="5" fillId="10" borderId="0" xfId="0" applyNumberFormat="1" applyFont="1" applyFill="1" applyAlignment="1">
      <alignment horizontal="left" vertical="center"/>
    </xf>
    <xf numFmtId="0" fontId="6" fillId="15" borderId="0" xfId="7" applyAlignment="1">
      <alignment horizontal="left" vertical="center" indent="1"/>
    </xf>
    <xf numFmtId="0" fontId="0" fillId="0" borderId="0" xfId="0" quotePrefix="1"/>
    <xf numFmtId="0" fontId="31" fillId="17" borderId="0" xfId="22" applyFont="1">
      <alignment horizontal="center" vertical="center"/>
    </xf>
    <xf numFmtId="0" fontId="6" fillId="18" borderId="0" xfId="25">
      <alignment vertical="center" wrapText="1"/>
    </xf>
    <xf numFmtId="0" fontId="9" fillId="18" borderId="0" xfId="60">
      <alignment vertical="center"/>
    </xf>
    <xf numFmtId="0" fontId="0" fillId="0" borderId="0" xfId="0" quotePrefix="1"/>
    <xf numFmtId="0" fontId="32" fillId="0" borderId="0" xfId="0" quotePrefix="1" applyFont="1"/>
    <xf numFmtId="0" fontId="33" fillId="10" borderId="0" xfId="0" applyFont="1" applyFill="1" applyAlignment="1">
      <alignment horizontal="left" vertical="center"/>
    </xf>
    <xf numFmtId="0" fontId="34" fillId="18" borderId="0" xfId="60" quotePrefix="1" applyFont="1">
      <alignment vertical="center"/>
    </xf>
    <xf numFmtId="0" fontId="34" fillId="18" borderId="0" xfId="60" applyFont="1">
      <alignment vertical="center"/>
    </xf>
    <xf numFmtId="0" fontId="9" fillId="18" borderId="0" xfId="60">
      <alignment vertical="center"/>
    </xf>
    <xf numFmtId="0" fontId="19" fillId="25" borderId="1" xfId="66">
      <alignment horizontal="left" vertical="center" indent="1"/>
    </xf>
    <xf numFmtId="0" fontId="0" fillId="0" borderId="0" xfId="0" quotePrefix="1"/>
    <xf numFmtId="0" fontId="9" fillId="18" borderId="0" xfId="60">
      <alignment vertical="center"/>
    </xf>
    <xf numFmtId="0" fontId="9" fillId="18" borderId="0" xfId="60">
      <alignment vertical="center"/>
    </xf>
    <xf numFmtId="165" fontId="9" fillId="23" borderId="11" xfId="42">
      <alignment horizontal="left" vertical="center" indent="1"/>
    </xf>
    <xf numFmtId="0" fontId="19" fillId="25" borderId="1" xfId="66">
      <alignment horizontal="left" vertical="center" indent="1"/>
    </xf>
    <xf numFmtId="0" fontId="0" fillId="0" borderId="0" xfId="0" quotePrefix="1" applyAlignment="1">
      <alignment wrapText="1"/>
    </xf>
    <xf numFmtId="0" fontId="5" fillId="10" borderId="0" xfId="0" applyFont="1" applyFill="1" applyAlignment="1">
      <alignment horizontal="left" vertical="center" wrapText="1"/>
    </xf>
    <xf numFmtId="0" fontId="8" fillId="12" borderId="1" xfId="2" applyAlignment="1">
      <alignment horizontal="center" vertical="center" wrapText="1"/>
    </xf>
    <xf numFmtId="0" fontId="19" fillId="25" borderId="1" xfId="62" applyAlignment="1">
      <alignment horizontal="center" vertical="center" wrapText="1"/>
    </xf>
    <xf numFmtId="0" fontId="14" fillId="10" borderId="0" xfId="0" applyFont="1" applyFill="1" applyAlignment="1">
      <alignment horizontal="left" vertical="center"/>
    </xf>
    <xf numFmtId="0" fontId="12" fillId="10" borderId="0" xfId="0" applyFont="1" applyFill="1" applyAlignment="1">
      <alignment vertical="top" wrapText="1"/>
    </xf>
    <xf numFmtId="0" fontId="37" fillId="10" borderId="0" xfId="0" applyFont="1" applyFill="1" applyAlignment="1">
      <alignment horizontal="left" vertical="center"/>
    </xf>
    <xf numFmtId="0" fontId="35" fillId="15" borderId="0" xfId="7" applyFont="1" applyAlignment="1">
      <alignment horizontal="left" vertical="center" indent="1"/>
    </xf>
    <xf numFmtId="0" fontId="6" fillId="15" borderId="0" xfId="7" applyAlignment="1">
      <alignment horizontal="right" vertical="center" indent="1"/>
    </xf>
    <xf numFmtId="0" fontId="6" fillId="15" borderId="0" xfId="7" applyFont="1" applyAlignment="1">
      <alignment horizontal="left" vertical="center" wrapText="1" indent="1"/>
    </xf>
    <xf numFmtId="0" fontId="14" fillId="15" borderId="0" xfId="7" applyFont="1" applyAlignment="1">
      <alignment horizontal="left" vertical="center" indent="1"/>
    </xf>
    <xf numFmtId="0" fontId="19" fillId="25" borderId="1" xfId="66" applyAlignment="1">
      <alignment horizontal="left" vertical="center" wrapText="1" indent="1"/>
    </xf>
    <xf numFmtId="165" fontId="9" fillId="23" borderId="20" xfId="42" quotePrefix="1" applyBorder="1" applyAlignment="1">
      <alignment vertical="center"/>
    </xf>
    <xf numFmtId="165" fontId="20" fillId="12" borderId="12" xfId="68">
      <alignment horizontal="right" vertical="center" indent="1" shrinkToFit="1"/>
    </xf>
    <xf numFmtId="0" fontId="11" fillId="15" borderId="0" xfId="9" quotePrefix="1" applyAlignment="1">
      <alignment horizontal="left" vertical="center" indent="1"/>
    </xf>
    <xf numFmtId="0" fontId="6" fillId="15" borderId="7" xfId="17" applyAlignment="1">
      <alignment horizontal="left" vertical="center" indent="1"/>
    </xf>
    <xf numFmtId="49" fontId="6" fillId="15" borderId="0" xfId="7" applyNumberFormat="1" applyAlignment="1">
      <alignment horizontal="left" vertical="center" indent="1"/>
    </xf>
    <xf numFmtId="0" fontId="6" fillId="15" borderId="0" xfId="7" applyAlignment="1">
      <alignment horizontal="left" vertical="center" indent="2"/>
    </xf>
    <xf numFmtId="0" fontId="6" fillId="15" borderId="7" xfId="17" applyAlignment="1">
      <alignment horizontal="left" vertical="center" indent="2"/>
    </xf>
    <xf numFmtId="0" fontId="6" fillId="15" borderId="0" xfId="7" quotePrefix="1" applyAlignment="1">
      <alignment horizontal="left" vertical="center" indent="1"/>
    </xf>
    <xf numFmtId="165" fontId="8" fillId="25" borderId="1" xfId="71">
      <alignment horizontal="right" vertical="center" indent="1" shrinkToFit="1"/>
    </xf>
    <xf numFmtId="0" fontId="44" fillId="10" borderId="0" xfId="41" applyFont="1">
      <alignment vertical="center"/>
    </xf>
    <xf numFmtId="0" fontId="6" fillId="15" borderId="23" xfId="6" applyBorder="1">
      <alignment vertical="center"/>
    </xf>
    <xf numFmtId="0" fontId="30" fillId="15" borderId="24" xfId="0" applyFont="1" applyFill="1" applyBorder="1" applyAlignment="1">
      <alignment horizontal="left" vertical="center"/>
    </xf>
    <xf numFmtId="0" fontId="6" fillId="15" borderId="24" xfId="7" applyBorder="1" applyAlignment="1">
      <alignment vertical="center"/>
    </xf>
    <xf numFmtId="0" fontId="6" fillId="15" borderId="25" xfId="8" applyBorder="1">
      <alignment vertical="center"/>
    </xf>
    <xf numFmtId="0" fontId="46" fillId="15" borderId="0" xfId="9" quotePrefix="1" applyFont="1">
      <alignment vertical="center"/>
    </xf>
    <xf numFmtId="0" fontId="31" fillId="18" borderId="0" xfId="22" applyFont="1" applyFill="1">
      <alignment horizontal="center" vertical="center"/>
    </xf>
    <xf numFmtId="165" fontId="9" fillId="23" borderId="11" xfId="42">
      <alignment horizontal="left" vertical="center" indent="1"/>
    </xf>
    <xf numFmtId="165" fontId="9" fillId="23" borderId="20" xfId="42" quotePrefix="1" applyBorder="1" applyAlignment="1">
      <alignment horizontal="left" vertical="center"/>
    </xf>
    <xf numFmtId="0" fontId="48" fillId="29" borderId="0" xfId="122"/>
    <xf numFmtId="49" fontId="12" fillId="16" borderId="26" xfId="18" quotePrefix="1" applyBorder="1">
      <alignment horizontal="left" vertical="center" wrapText="1" indent="1"/>
      <protection locked="0"/>
    </xf>
    <xf numFmtId="0" fontId="6" fillId="15" borderId="26" xfId="7" applyBorder="1">
      <alignment vertical="center"/>
    </xf>
    <xf numFmtId="0" fontId="6" fillId="15" borderId="27" xfId="7" applyBorder="1" applyAlignment="1">
      <alignment horizontal="right" vertical="center" indent="1"/>
    </xf>
    <xf numFmtId="0" fontId="6" fillId="15" borderId="28" xfId="7" applyBorder="1" applyAlignment="1">
      <alignment horizontal="right" vertical="center" indent="1"/>
    </xf>
    <xf numFmtId="171" fontId="9" fillId="23" borderId="20" xfId="42" quotePrefix="1" applyNumberFormat="1" applyBorder="1" applyAlignment="1">
      <alignment vertical="center"/>
    </xf>
    <xf numFmtId="0" fontId="19" fillId="25" borderId="1" xfId="66" quotePrefix="1" applyAlignment="1">
      <alignment horizontal="left" vertical="center" wrapText="1" indent="1"/>
    </xf>
    <xf numFmtId="0" fontId="38" fillId="25" borderId="21" xfId="66" applyFont="1" applyBorder="1" applyAlignment="1">
      <alignment horizontal="right" vertical="center" wrapText="1" indent="1"/>
    </xf>
    <xf numFmtId="0" fontId="9" fillId="18" borderId="0" xfId="60">
      <alignment vertical="center"/>
    </xf>
    <xf numFmtId="0" fontId="4" fillId="4" borderId="0" xfId="0" applyFont="1" applyFill="1" applyAlignment="1" applyProtection="1">
      <alignment vertical="center"/>
    </xf>
    <xf numFmtId="0" fontId="5" fillId="0" borderId="0" xfId="0" applyFont="1" applyAlignment="1" applyProtection="1">
      <alignment vertical="center"/>
    </xf>
    <xf numFmtId="0" fontId="5" fillId="0" borderId="0" xfId="0" applyFont="1" applyAlignment="1" applyProtection="1">
      <alignment horizontal="left" vertical="center"/>
    </xf>
    <xf numFmtId="0" fontId="4" fillId="9" borderId="0" xfId="0" applyFont="1" applyFill="1" applyAlignment="1" applyProtection="1">
      <alignment vertical="center"/>
    </xf>
    <xf numFmtId="0" fontId="4" fillId="10" borderId="0" xfId="0" applyFont="1" applyFill="1" applyAlignment="1" applyProtection="1">
      <alignment vertical="center"/>
    </xf>
    <xf numFmtId="0" fontId="4" fillId="7" borderId="0" xfId="0" applyFont="1" applyFill="1" applyAlignment="1" applyProtection="1">
      <alignment horizontal="left" vertical="center"/>
    </xf>
    <xf numFmtId="0" fontId="4" fillId="7" borderId="0" xfId="0" applyFont="1" applyFill="1" applyAlignment="1" applyProtection="1">
      <alignment horizontal="left" vertical="top"/>
    </xf>
    <xf numFmtId="0" fontId="5" fillId="10" borderId="0" xfId="0" applyFont="1" applyFill="1" applyAlignment="1" applyProtection="1">
      <alignment vertical="center"/>
    </xf>
    <xf numFmtId="0" fontId="7" fillId="11" borderId="0" xfId="1" applyProtection="1">
      <alignment horizontal="center" vertical="center"/>
    </xf>
    <xf numFmtId="0" fontId="6" fillId="19" borderId="0" xfId="26" applyProtection="1">
      <alignment horizontal="center" vertical="center"/>
    </xf>
    <xf numFmtId="0" fontId="6" fillId="16" borderId="3" xfId="90" applyProtection="1">
      <alignment vertical="center"/>
    </xf>
    <xf numFmtId="0" fontId="6" fillId="16" borderId="0" xfId="91" applyProtection="1">
      <alignment vertical="center"/>
    </xf>
    <xf numFmtId="0" fontId="6" fillId="16" borderId="4" xfId="92" applyProtection="1">
      <alignment vertical="center"/>
    </xf>
    <xf numFmtId="0" fontId="6" fillId="14" borderId="7" xfId="93" applyProtection="1">
      <alignment vertical="center" wrapText="1"/>
    </xf>
    <xf numFmtId="0" fontId="40" fillId="14" borderId="7" xfId="93" applyFont="1" applyProtection="1">
      <alignment vertical="center" wrapText="1"/>
    </xf>
    <xf numFmtId="0" fontId="6" fillId="14" borderId="0" xfId="95" applyProtection="1">
      <alignment vertical="center"/>
    </xf>
    <xf numFmtId="0" fontId="40" fillId="14" borderId="0" xfId="95" applyFont="1" applyProtection="1">
      <alignment vertical="center"/>
    </xf>
    <xf numFmtId="0" fontId="41" fillId="14" borderId="0" xfId="96" quotePrefix="1" applyFont="1" applyProtection="1">
      <alignment vertical="center"/>
    </xf>
    <xf numFmtId="168" fontId="42" fillId="14" borderId="15" xfId="97" applyFont="1" applyProtection="1">
      <alignment vertical="top" wrapText="1"/>
    </xf>
    <xf numFmtId="164" fontId="42" fillId="14" borderId="15" xfId="98" quotePrefix="1" applyFont="1" applyProtection="1">
      <alignment horizontal="left" shrinkToFit="1"/>
    </xf>
    <xf numFmtId="168" fontId="42" fillId="14" borderId="2" xfId="101" quotePrefix="1" applyFont="1" applyProtection="1">
      <alignment vertical="top" wrapText="1"/>
    </xf>
    <xf numFmtId="168" fontId="42" fillId="14" borderId="2" xfId="101" applyFont="1" applyProtection="1">
      <alignment vertical="top" wrapText="1"/>
    </xf>
    <xf numFmtId="164" fontId="42" fillId="14" borderId="2" xfId="102" applyFont="1" applyProtection="1">
      <alignment horizontal="left" shrinkToFit="1"/>
    </xf>
    <xf numFmtId="168" fontId="43" fillId="14" borderId="2" xfId="104" quotePrefix="1" applyFont="1" applyProtection="1">
      <alignment horizontal="left" vertical="top" wrapText="1" indent="1"/>
    </xf>
    <xf numFmtId="168" fontId="43" fillId="14" borderId="2" xfId="104" applyFont="1" applyProtection="1">
      <alignment horizontal="left" vertical="top" wrapText="1" indent="1"/>
    </xf>
    <xf numFmtId="164" fontId="43" fillId="14" borderId="2" xfId="105" applyFont="1" applyProtection="1">
      <alignment horizontal="left" shrinkToFit="1"/>
    </xf>
    <xf numFmtId="0" fontId="28" fillId="14" borderId="0" xfId="118" applyProtection="1">
      <alignment vertical="center"/>
    </xf>
    <xf numFmtId="0" fontId="6" fillId="14" borderId="0" xfId="107" applyProtection="1">
      <alignment vertical="center"/>
    </xf>
    <xf numFmtId="0" fontId="40" fillId="14" borderId="0" xfId="107" applyFont="1" applyProtection="1">
      <alignment vertical="center"/>
    </xf>
    <xf numFmtId="0" fontId="6" fillId="16" borderId="6" xfId="109" applyProtection="1">
      <alignment vertical="center"/>
    </xf>
    <xf numFmtId="0" fontId="6" fillId="16" borderId="2" xfId="110" applyProtection="1">
      <alignment vertical="center"/>
    </xf>
    <xf numFmtId="0" fontId="6" fillId="16" borderId="16" xfId="111" applyProtection="1">
      <alignment vertical="center"/>
    </xf>
    <xf numFmtId="0" fontId="26" fillId="14" borderId="7" xfId="94" quotePrefix="1" applyProtection="1">
      <alignment vertical="center"/>
    </xf>
    <xf numFmtId="0" fontId="16" fillId="14" borderId="0" xfId="96" quotePrefix="1" applyProtection="1">
      <alignment vertical="center"/>
    </xf>
    <xf numFmtId="168" fontId="9" fillId="14" borderId="15" xfId="97" applyProtection="1">
      <alignment vertical="top" wrapText="1"/>
    </xf>
    <xf numFmtId="168" fontId="9" fillId="14" borderId="15" xfId="99" applyProtection="1">
      <alignment horizontal="right" shrinkToFit="1"/>
    </xf>
    <xf numFmtId="168" fontId="5" fillId="14" borderId="2" xfId="113" quotePrefix="1" applyProtection="1">
      <alignment vertical="top" wrapText="1"/>
    </xf>
    <xf numFmtId="168" fontId="5" fillId="14" borderId="2" xfId="113" applyProtection="1">
      <alignment vertical="top" wrapText="1"/>
    </xf>
    <xf numFmtId="164" fontId="5" fillId="14" borderId="2" xfId="105" applyProtection="1">
      <alignment horizontal="left" shrinkToFit="1"/>
    </xf>
    <xf numFmtId="164" fontId="5" fillId="14" borderId="2" xfId="5" applyProtection="1">
      <alignment horizontal="right" shrinkToFit="1"/>
    </xf>
    <xf numFmtId="168" fontId="5" fillId="14" borderId="2" xfId="104" quotePrefix="1" applyProtection="1">
      <alignment horizontal="left" vertical="top" wrapText="1" indent="1"/>
    </xf>
    <xf numFmtId="168" fontId="5" fillId="14" borderId="2" xfId="104" applyProtection="1">
      <alignment horizontal="left" vertical="top" wrapText="1" indent="1"/>
    </xf>
    <xf numFmtId="168" fontId="9" fillId="14" borderId="2" xfId="101" quotePrefix="1" applyProtection="1">
      <alignment vertical="top" wrapText="1"/>
    </xf>
    <xf numFmtId="168" fontId="9" fillId="14" borderId="2" xfId="101" applyProtection="1">
      <alignment vertical="top" wrapText="1"/>
    </xf>
    <xf numFmtId="164" fontId="9" fillId="14" borderId="2" xfId="102" applyProtection="1">
      <alignment horizontal="left" shrinkToFit="1"/>
    </xf>
    <xf numFmtId="164" fontId="9" fillId="14" borderId="2" xfId="103" applyProtection="1">
      <alignment horizontal="right" shrinkToFit="1"/>
    </xf>
    <xf numFmtId="168" fontId="9" fillId="14" borderId="15" xfId="99" quotePrefix="1" applyProtection="1">
      <alignment horizontal="right" shrinkToFit="1"/>
    </xf>
    <xf numFmtId="9" fontId="9" fillId="14" borderId="2" xfId="115" applyProtection="1">
      <alignment horizontal="right" shrinkToFit="1"/>
    </xf>
    <xf numFmtId="168" fontId="9" fillId="14" borderId="2" xfId="117" quotePrefix="1" applyProtection="1">
      <alignment horizontal="left" vertical="top" wrapText="1" indent="1"/>
    </xf>
    <xf numFmtId="0" fontId="6" fillId="14" borderId="0" xfId="100" applyProtection="1">
      <alignment vertical="center"/>
    </xf>
    <xf numFmtId="164" fontId="29" fillId="14" borderId="2" xfId="120" applyProtection="1">
      <alignment horizontal="right"/>
    </xf>
    <xf numFmtId="14" fontId="6" fillId="0" borderId="0" xfId="35" applyNumberFormat="1" applyProtection="1"/>
    <xf numFmtId="0" fontId="48" fillId="29" borderId="0" xfId="122" applyAlignment="1" applyProtection="1">
      <alignment vertical="center"/>
    </xf>
    <xf numFmtId="0" fontId="6" fillId="0" borderId="0" xfId="35" applyProtection="1"/>
    <xf numFmtId="0" fontId="34" fillId="18" borderId="0" xfId="60" applyFont="1" applyAlignment="1">
      <alignment horizontal="right" vertical="center" indent="1"/>
    </xf>
    <xf numFmtId="0" fontId="0" fillId="18" borderId="0" xfId="0" applyFill="1"/>
    <xf numFmtId="0" fontId="0" fillId="18" borderId="0" xfId="0" applyFill="1" applyAlignment="1">
      <alignment wrapText="1"/>
    </xf>
    <xf numFmtId="0" fontId="36" fillId="10" borderId="0" xfId="0" applyFont="1" applyFill="1" applyAlignment="1">
      <alignment vertical="top" wrapText="1"/>
    </xf>
    <xf numFmtId="0" fontId="25" fillId="10" borderId="0" xfId="0" applyFont="1" applyFill="1" applyAlignment="1">
      <alignment horizontal="left" vertical="center" indent="1"/>
    </xf>
    <xf numFmtId="0" fontId="0" fillId="18" borderId="0" xfId="0" quotePrefix="1" applyFill="1"/>
    <xf numFmtId="0" fontId="0" fillId="18" borderId="0" xfId="0" quotePrefix="1" applyFill="1" applyAlignment="1">
      <alignment wrapText="1"/>
    </xf>
    <xf numFmtId="0" fontId="0" fillId="18" borderId="0" xfId="0" quotePrefix="1" applyFill="1" applyAlignment="1"/>
    <xf numFmtId="165" fontId="9" fillId="23" borderId="19" xfId="42" quotePrefix="1" applyBorder="1" applyAlignment="1">
      <alignment horizontal="left" vertical="center" indent="1"/>
    </xf>
    <xf numFmtId="0" fontId="5" fillId="18" borderId="0" xfId="72" quotePrefix="1" applyAlignment="1">
      <alignment horizontal="left" vertical="center" indent="1"/>
    </xf>
    <xf numFmtId="0" fontId="9" fillId="18" borderId="0" xfId="60" quotePrefix="1" applyAlignment="1">
      <alignment horizontal="left" vertical="center" indent="1"/>
    </xf>
    <xf numFmtId="0" fontId="9" fillId="18" borderId="0" xfId="60" applyAlignment="1">
      <alignment vertical="center"/>
    </xf>
    <xf numFmtId="164" fontId="9" fillId="14" borderId="2" xfId="5" applyFont="1" applyProtection="1">
      <alignment horizontal="right" shrinkToFit="1"/>
    </xf>
    <xf numFmtId="168" fontId="9" fillId="14" borderId="2" xfId="104" applyFont="1" applyAlignment="1" applyProtection="1">
      <alignment horizontal="left" vertical="top" wrapText="1"/>
    </xf>
    <xf numFmtId="165" fontId="5" fillId="16" borderId="11" xfId="50" quotePrefix="1" applyAlignment="1" applyProtection="1">
      <alignment horizontal="right" vertical="center" wrapText="1" indent="1"/>
      <protection locked="0"/>
    </xf>
    <xf numFmtId="164" fontId="5" fillId="14" borderId="2" xfId="102" applyFont="1" applyProtection="1">
      <alignment horizontal="left" shrinkToFit="1"/>
    </xf>
    <xf numFmtId="168" fontId="43" fillId="14" borderId="2" xfId="104" quotePrefix="1" applyFont="1" applyAlignment="1" applyProtection="1">
      <alignment horizontal="left" vertical="top" wrapText="1" indent="2"/>
    </xf>
    <xf numFmtId="165" fontId="5" fillId="10" borderId="0" xfId="0" applyNumberFormat="1" applyFont="1" applyFill="1" applyAlignment="1">
      <alignment horizontal="left" vertical="center"/>
    </xf>
    <xf numFmtId="49" fontId="12" fillId="16" borderId="26" xfId="18" quotePrefix="1" applyBorder="1" applyProtection="1">
      <alignment horizontal="left" vertical="center" wrapText="1" indent="1"/>
      <protection locked="0"/>
    </xf>
    <xf numFmtId="14" fontId="12" fillId="16" borderId="27" xfId="14" quotePrefix="1" applyBorder="1" applyAlignment="1" applyProtection="1">
      <alignment horizontal="right" vertical="center" wrapText="1" indent="2"/>
      <protection locked="0"/>
    </xf>
    <xf numFmtId="0" fontId="12" fillId="16" borderId="28" xfId="14" quotePrefix="1" applyNumberFormat="1" applyBorder="1" applyAlignment="1" applyProtection="1">
      <alignment horizontal="right" vertical="center" wrapText="1" indent="2"/>
      <protection locked="0"/>
    </xf>
    <xf numFmtId="0" fontId="19" fillId="27" borderId="1" xfId="79" quotePrefix="1" applyAlignment="1">
      <alignment vertical="center"/>
    </xf>
    <xf numFmtId="165" fontId="8" fillId="27" borderId="1" xfId="123">
      <alignment horizontal="right" vertical="center" indent="1" shrinkToFit="1"/>
    </xf>
    <xf numFmtId="9" fontId="5" fillId="16" borderId="30" xfId="49" quotePrefix="1" applyNumberFormat="1" applyBorder="1" applyAlignment="1" applyProtection="1">
      <alignment horizontal="right" vertical="center" wrapText="1" indent="1"/>
      <protection locked="0"/>
    </xf>
    <xf numFmtId="165" fontId="9" fillId="23" borderId="29" xfId="43" applyBorder="1">
      <alignment horizontal="right" vertical="center" indent="1" shrinkToFit="1"/>
    </xf>
    <xf numFmtId="0" fontId="9" fillId="18" borderId="0" xfId="72" quotePrefix="1" applyFont="1" applyAlignment="1">
      <alignment horizontal="left" vertical="center" indent="1"/>
    </xf>
    <xf numFmtId="0" fontId="50" fillId="11" borderId="0" xfId="124">
      <alignment horizontal="left" vertical="center"/>
    </xf>
    <xf numFmtId="0" fontId="51" fillId="10" borderId="0" xfId="0" applyFont="1" applyFill="1" applyAlignment="1">
      <alignment horizontal="left" vertical="center"/>
    </xf>
    <xf numFmtId="0" fontId="53" fillId="30" borderId="0" xfId="125" quotePrefix="1" applyFont="1" applyFill="1" applyBorder="1" applyAlignment="1">
      <alignment horizontal="left" vertical="top"/>
    </xf>
    <xf numFmtId="0" fontId="54" fillId="25" borderId="1" xfId="126" quotePrefix="1">
      <alignment horizontal="left" vertical="top" wrapText="1" indent="1"/>
    </xf>
    <xf numFmtId="0" fontId="54" fillId="31" borderId="1" xfId="127" quotePrefix="1" applyFill="1">
      <alignment horizontal="left" vertical="top" wrapText="1" indent="1"/>
    </xf>
    <xf numFmtId="22" fontId="0" fillId="15" borderId="31" xfId="128" applyNumberFormat="1" applyFont="1" applyFill="1" applyBorder="1" applyAlignment="1">
      <alignment horizontal="left" vertical="top"/>
    </xf>
    <xf numFmtId="0" fontId="0" fillId="15" borderId="32" xfId="128" applyNumberFormat="1" applyFont="1" applyFill="1" applyBorder="1" applyAlignment="1">
      <alignment horizontal="left" vertical="top" wrapText="1"/>
    </xf>
    <xf numFmtId="0" fontId="0" fillId="15" borderId="33" xfId="128" applyNumberFormat="1" applyFont="1" applyFill="1" applyBorder="1" applyAlignment="1">
      <alignment horizontal="left" vertical="top"/>
    </xf>
    <xf numFmtId="172" fontId="49" fillId="18" borderId="0" xfId="22" applyNumberFormat="1" applyFont="1" applyFill="1" applyAlignment="1">
      <alignment horizontal="right" vertical="center" indent="1"/>
    </xf>
    <xf numFmtId="165" fontId="55" fillId="16" borderId="30" xfId="50" quotePrefix="1" applyFont="1" applyBorder="1" applyAlignment="1" applyProtection="1">
      <alignment horizontal="left" vertical="center" wrapText="1" indent="1"/>
      <protection locked="0"/>
    </xf>
    <xf numFmtId="165" fontId="5" fillId="16" borderId="19" xfId="49" quotePrefix="1" applyBorder="1" applyAlignment="1" applyProtection="1">
      <alignment horizontal="left" vertical="center" wrapText="1"/>
      <protection locked="0"/>
    </xf>
    <xf numFmtId="165" fontId="5" fillId="16" borderId="18" xfId="49" quotePrefix="1" applyBorder="1" applyAlignment="1" applyProtection="1">
      <alignment horizontal="left" vertical="center" wrapText="1"/>
      <protection locked="0"/>
    </xf>
    <xf numFmtId="165" fontId="43" fillId="16" borderId="29" xfId="49" quotePrefix="1" applyFont="1" applyBorder="1" applyAlignment="1" applyProtection="1">
      <alignment horizontal="left" vertical="center" wrapText="1"/>
      <protection locked="0"/>
    </xf>
    <xf numFmtId="165" fontId="5" fillId="16" borderId="14" xfId="49" quotePrefix="1" applyAlignment="1" applyProtection="1">
      <alignment horizontal="left" vertical="center" wrapText="1"/>
      <protection locked="0"/>
    </xf>
    <xf numFmtId="0" fontId="9" fillId="16" borderId="34" xfId="32" applyFont="1" applyBorder="1" applyAlignment="1" applyProtection="1">
      <alignment horizontal="right" vertical="center" wrapText="1"/>
      <protection locked="0"/>
    </xf>
    <xf numFmtId="0" fontId="19" fillId="25" borderId="0" xfId="63" applyBorder="1" applyAlignment="1">
      <alignment vertical="top" wrapText="1"/>
    </xf>
    <xf numFmtId="0" fontId="47" fillId="25" borderId="0" xfId="63" applyFont="1" applyBorder="1" applyAlignment="1">
      <alignment vertical="top" wrapText="1"/>
    </xf>
    <xf numFmtId="0" fontId="19" fillId="25" borderId="0" xfId="63" applyFill="1" applyBorder="1" applyAlignment="1">
      <alignment vertical="top" wrapText="1"/>
    </xf>
    <xf numFmtId="0" fontId="9" fillId="16" borderId="34" xfId="32" applyFont="1" applyBorder="1" applyAlignment="1">
      <alignment horizontal="right" vertical="center" wrapText="1"/>
      <protection locked="0"/>
    </xf>
    <xf numFmtId="0" fontId="5" fillId="18" borderId="0" xfId="72" quotePrefix="1" applyBorder="1" applyAlignment="1">
      <alignment horizontal="left" vertical="center"/>
    </xf>
    <xf numFmtId="0" fontId="5" fillId="18" borderId="0" xfId="72" quotePrefix="1" applyFont="1" applyAlignment="1">
      <alignment horizontal="left" vertical="center" indent="1"/>
    </xf>
    <xf numFmtId="0" fontId="19" fillId="27" borderId="1" xfId="80">
      <alignment horizontal="center" vertical="center" wrapText="1"/>
    </xf>
    <xf numFmtId="0" fontId="8" fillId="13" borderId="36" xfId="4" applyBorder="1">
      <alignment horizontal="center" vertical="center"/>
    </xf>
    <xf numFmtId="0" fontId="19" fillId="21" borderId="0" xfId="80" applyFill="1" applyBorder="1">
      <alignment horizontal="center" vertical="center" wrapText="1"/>
    </xf>
    <xf numFmtId="0" fontId="19" fillId="21" borderId="1" xfId="36" quotePrefix="1">
      <alignment horizontal="left" vertical="center" indent="1"/>
    </xf>
    <xf numFmtId="0" fontId="19" fillId="21" borderId="1" xfId="37">
      <alignment horizontal="center" vertical="center" wrapText="1"/>
    </xf>
    <xf numFmtId="0" fontId="8" fillId="20" borderId="1" xfId="29">
      <alignment horizontal="center" vertical="center"/>
    </xf>
    <xf numFmtId="165" fontId="8" fillId="21" borderId="1" xfId="59">
      <alignment horizontal="right" vertical="center" indent="1" shrinkToFit="1"/>
    </xf>
    <xf numFmtId="0" fontId="43" fillId="10" borderId="0" xfId="0" applyFont="1" applyFill="1" applyAlignment="1">
      <alignment horizontal="left" vertical="center"/>
    </xf>
    <xf numFmtId="0" fontId="56" fillId="10" borderId="0" xfId="28" quotePrefix="1" applyFont="1">
      <alignment vertical="center"/>
    </xf>
    <xf numFmtId="0" fontId="56" fillId="10" borderId="0" xfId="28" quotePrefix="1" applyFont="1" applyBorder="1">
      <alignment vertical="center"/>
    </xf>
    <xf numFmtId="0" fontId="8" fillId="13" borderId="1" xfId="4">
      <alignment horizontal="center" vertical="center"/>
    </xf>
    <xf numFmtId="165" fontId="8" fillId="25" borderId="1" xfId="71" applyNumberFormat="1">
      <alignment horizontal="right" vertical="center" indent="1" shrinkToFit="1"/>
    </xf>
    <xf numFmtId="165" fontId="5" fillId="16" borderId="11" xfId="50" quotePrefix="1" applyNumberFormat="1">
      <alignment horizontal="right" vertical="center" wrapText="1" indent="1"/>
      <protection locked="0"/>
    </xf>
    <xf numFmtId="0" fontId="21" fillId="21" borderId="0" xfId="34">
      <alignment vertical="center"/>
    </xf>
    <xf numFmtId="0" fontId="25" fillId="15" borderId="40" xfId="89" quotePrefix="1" applyBorder="1" applyAlignment="1" applyProtection="1">
      <alignment vertical="center"/>
    </xf>
    <xf numFmtId="0" fontId="25" fillId="15" borderId="41" xfId="89" quotePrefix="1" applyBorder="1" applyAlignment="1" applyProtection="1">
      <alignment vertical="center"/>
    </xf>
    <xf numFmtId="0" fontId="25" fillId="15" borderId="42" xfId="89" quotePrefix="1" applyBorder="1" applyAlignment="1" applyProtection="1">
      <alignment vertical="center"/>
    </xf>
    <xf numFmtId="0" fontId="25" fillId="15" borderId="37" xfId="89" quotePrefix="1" applyBorder="1" applyAlignment="1" applyProtection="1">
      <alignment vertical="center"/>
    </xf>
    <xf numFmtId="0" fontId="25" fillId="15" borderId="38" xfId="89" quotePrefix="1" applyBorder="1" applyAlignment="1" applyProtection="1">
      <alignment vertical="center"/>
    </xf>
    <xf numFmtId="0" fontId="25" fillId="15" borderId="39" xfId="89" quotePrefix="1" applyBorder="1" applyAlignment="1" applyProtection="1">
      <alignment vertical="center"/>
    </xf>
    <xf numFmtId="0" fontId="27" fillId="15" borderId="43" xfId="112" quotePrefix="1" applyBorder="1" applyAlignment="1" applyProtection="1">
      <alignment vertical="center"/>
    </xf>
    <xf numFmtId="0" fontId="27" fillId="15" borderId="44" xfId="112" quotePrefix="1" applyBorder="1" applyAlignment="1" applyProtection="1">
      <alignment vertical="center"/>
    </xf>
    <xf numFmtId="0" fontId="27" fillId="15" borderId="45" xfId="112" quotePrefix="1" applyBorder="1" applyAlignment="1" applyProtection="1">
      <alignment vertical="center"/>
    </xf>
    <xf numFmtId="0" fontId="19" fillId="25" borderId="1" xfId="66" applyAlignment="1">
      <alignment horizontal="left" vertical="center" wrapText="1" indent="1"/>
    </xf>
    <xf numFmtId="0" fontId="0" fillId="15" borderId="31" xfId="128" applyNumberFormat="1" applyFont="1" applyFill="1" applyBorder="1" applyAlignment="1">
      <alignment horizontal="left" vertical="top"/>
    </xf>
    <xf numFmtId="9" fontId="5" fillId="16" borderId="1" xfId="50" quotePrefix="1" applyNumberFormat="1" applyFill="1" applyBorder="1" applyAlignment="1" applyProtection="1">
      <alignment horizontal="right" vertical="center" wrapText="1" indent="1"/>
      <protection locked="0"/>
    </xf>
    <xf numFmtId="0" fontId="0" fillId="15" borderId="31" xfId="128" applyNumberFormat="1" applyFont="1" applyFill="1" applyBorder="1" applyAlignment="1">
      <alignment horizontal="left" vertical="top" wrapText="1"/>
    </xf>
    <xf numFmtId="22" fontId="0" fillId="15" borderId="31" xfId="128" applyNumberFormat="1" applyFont="1" applyFill="1" applyBorder="1" applyAlignment="1">
      <alignment horizontal="left" vertical="top" wrapText="1"/>
    </xf>
    <xf numFmtId="168" fontId="5" fillId="14" borderId="7" xfId="104" quotePrefix="1" applyBorder="1" applyProtection="1">
      <alignment horizontal="left" vertical="top" wrapText="1" indent="1"/>
    </xf>
    <xf numFmtId="168" fontId="5" fillId="14" borderId="7" xfId="104" applyBorder="1" applyProtection="1">
      <alignment horizontal="left" vertical="top" wrapText="1" indent="1"/>
    </xf>
    <xf numFmtId="164" fontId="9" fillId="14" borderId="7" xfId="102" applyBorder="1" applyProtection="1">
      <alignment horizontal="left" shrinkToFit="1"/>
    </xf>
    <xf numFmtId="164" fontId="5" fillId="14" borderId="7" xfId="5" applyBorder="1" applyProtection="1">
      <alignment horizontal="right" shrinkToFit="1"/>
    </xf>
    <xf numFmtId="0" fontId="48" fillId="29" borderId="0" xfId="129" applyNumberFormat="1" applyFont="1" applyFill="1"/>
    <xf numFmtId="164" fontId="42" fillId="14" borderId="2" xfId="102" applyNumberFormat="1" applyFont="1" applyProtection="1">
      <alignment horizontal="left" shrinkToFit="1"/>
    </xf>
    <xf numFmtId="0" fontId="19" fillId="21" borderId="0" xfId="80" applyFill="1" applyBorder="1">
      <alignment horizontal="center" vertical="center" wrapText="1"/>
    </xf>
    <xf numFmtId="164" fontId="5" fillId="14" borderId="0" xfId="5" applyBorder="1" applyProtection="1">
      <alignment horizontal="right" shrinkToFit="1"/>
    </xf>
    <xf numFmtId="0" fontId="6" fillId="14" borderId="0" xfId="107" applyBorder="1" applyProtection="1">
      <alignment vertical="center"/>
    </xf>
    <xf numFmtId="164" fontId="29" fillId="14" borderId="7" xfId="120" applyBorder="1" applyProtection="1">
      <alignment horizontal="right"/>
    </xf>
    <xf numFmtId="168" fontId="9" fillId="14" borderId="7" xfId="101" applyBorder="1" applyProtection="1">
      <alignment vertical="top" wrapText="1"/>
    </xf>
    <xf numFmtId="22" fontId="0" fillId="15" borderId="0" xfId="128" applyNumberFormat="1" applyFont="1" applyFill="1" applyBorder="1" applyAlignment="1">
      <alignment horizontal="left" vertical="top"/>
    </xf>
    <xf numFmtId="22" fontId="0" fillId="15" borderId="0" xfId="128" applyNumberFormat="1" applyFont="1" applyFill="1" applyBorder="1" applyAlignment="1">
      <alignment horizontal="left" vertical="top" wrapText="1"/>
    </xf>
    <xf numFmtId="0" fontId="13" fillId="15" borderId="6" xfId="13" quotePrefix="1">
      <alignment horizontal="left" vertical="center" wrapText="1" indent="1"/>
    </xf>
    <xf numFmtId="14" fontId="12" fillId="16" borderId="0" xfId="14" quotePrefix="1" applyAlignment="1" applyProtection="1">
      <alignment horizontal="left" vertical="center" wrapText="1" indent="1"/>
      <protection locked="0"/>
    </xf>
    <xf numFmtId="49" fontId="12" fillId="16" borderId="0" xfId="10" quotePrefix="1" applyNumberFormat="1" applyAlignment="1" applyProtection="1">
      <alignment horizontal="left" vertical="center" wrapText="1" indent="1"/>
      <protection locked="0"/>
    </xf>
    <xf numFmtId="0" fontId="12" fillId="16" borderId="0" xfId="10" quotePrefix="1" applyNumberFormat="1" applyAlignment="1">
      <alignment horizontal="left" vertical="center" wrapText="1" indent="1"/>
      <protection locked="0"/>
    </xf>
    <xf numFmtId="0" fontId="12" fillId="10" borderId="0" xfId="0" applyFont="1" applyFill="1" applyAlignment="1">
      <alignment horizontal="left" vertical="top" wrapText="1"/>
    </xf>
    <xf numFmtId="0" fontId="39" fillId="15" borderId="5" xfId="12" quotePrefix="1" applyFont="1" applyAlignment="1">
      <alignment horizontal="left" vertical="center" wrapText="1" indent="1"/>
    </xf>
    <xf numFmtId="0" fontId="39" fillId="15" borderId="7" xfId="12" quotePrefix="1" applyFont="1" applyBorder="1" applyAlignment="1">
      <alignment horizontal="left" vertical="center" wrapText="1" indent="1"/>
    </xf>
    <xf numFmtId="0" fontId="16" fillId="18" borderId="0" xfId="23" quotePrefix="1">
      <alignment vertical="center"/>
    </xf>
    <xf numFmtId="0" fontId="16" fillId="18" borderId="0" xfId="23">
      <alignment vertical="center"/>
    </xf>
    <xf numFmtId="0" fontId="6" fillId="18" borderId="0" xfId="25" quotePrefix="1" applyAlignment="1">
      <alignment horizontal="left" vertical="center" wrapText="1" indent="1"/>
    </xf>
    <xf numFmtId="0" fontId="19" fillId="25" borderId="9" xfId="62" applyBorder="1">
      <alignment horizontal="center" vertical="center" wrapText="1"/>
    </xf>
    <xf numFmtId="0" fontId="19" fillId="25" borderId="0" xfId="62" applyBorder="1">
      <alignment horizontal="center" vertical="center" wrapText="1"/>
    </xf>
    <xf numFmtId="0" fontId="19" fillId="25" borderId="1" xfId="66" quotePrefix="1" applyAlignment="1">
      <alignment horizontal="left" vertical="center" wrapText="1" indent="1"/>
    </xf>
    <xf numFmtId="0" fontId="19" fillId="25" borderId="1" xfId="66" applyAlignment="1">
      <alignment horizontal="left" vertical="center" wrapText="1" indent="1"/>
    </xf>
    <xf numFmtId="0" fontId="19" fillId="21" borderId="1" xfId="36" quotePrefix="1">
      <alignment horizontal="left" vertical="center" indent="1"/>
    </xf>
    <xf numFmtId="0" fontId="16" fillId="18" borderId="35" xfId="23" quotePrefix="1" applyBorder="1">
      <alignment vertical="center"/>
    </xf>
    <xf numFmtId="0" fontId="19" fillId="25" borderId="1" xfId="62">
      <alignment horizontal="center" vertical="center" wrapText="1"/>
    </xf>
    <xf numFmtId="0" fontId="19" fillId="27" borderId="0" xfId="79" quotePrefix="1" applyBorder="1">
      <alignment horizontal="left" vertical="center" indent="1"/>
    </xf>
    <xf numFmtId="0" fontId="19" fillId="21" borderId="1" xfId="79" quotePrefix="1" applyFill="1">
      <alignment horizontal="left" vertical="center" indent="1"/>
    </xf>
    <xf numFmtId="0" fontId="19" fillId="21" borderId="0" xfId="79" quotePrefix="1" applyFill="1" applyBorder="1">
      <alignment horizontal="left" vertical="center" indent="1"/>
    </xf>
    <xf numFmtId="0" fontId="19" fillId="21" borderId="1" xfId="80" applyFill="1">
      <alignment horizontal="center" vertical="center" wrapText="1"/>
    </xf>
    <xf numFmtId="0" fontId="19" fillId="21" borderId="0" xfId="80" applyFill="1" applyBorder="1">
      <alignment horizontal="center" vertical="center" wrapText="1"/>
    </xf>
    <xf numFmtId="0" fontId="27" fillId="15" borderId="43" xfId="112" quotePrefix="1" applyBorder="1" applyAlignment="1" applyProtection="1">
      <alignment vertical="center"/>
    </xf>
    <xf numFmtId="0" fontId="27" fillId="15" borderId="44" xfId="112" quotePrefix="1" applyBorder="1" applyAlignment="1" applyProtection="1">
      <alignment vertical="center"/>
    </xf>
    <xf numFmtId="0" fontId="27" fillId="15" borderId="45" xfId="112" quotePrefix="1" applyBorder="1" applyAlignment="1" applyProtection="1">
      <alignment vertical="center"/>
    </xf>
  </cellXfs>
  <cellStyles count="130">
    <cellStyle name="Komma" xfId="129" builtinId="3"/>
    <cellStyle name="Neutral" xfId="122" builtinId="28"/>
    <cellStyle name="Normal" xfId="0" builtinId="0"/>
    <cellStyle name="r_0_BKG" xfId="3" xr:uid="{00000000-0005-0000-0000-000003000000}"/>
    <cellStyle name="r_0_blueHeaderLeftIdent" xfId="126" xr:uid="{00000000-0005-0000-0000-000004000000}"/>
    <cellStyle name="r_0_comment" xfId="41" xr:uid="{00000000-0005-0000-0000-000005000000}"/>
    <cellStyle name="r_0_comment1" xfId="118" xr:uid="{00000000-0005-0000-0000-000006000000}"/>
    <cellStyle name="r_0_estimateBest" xfId="56" xr:uid="{00000000-0005-0000-0000-000007000000}"/>
    <cellStyle name="r_0_estimateBudget" xfId="82" xr:uid="{00000000-0005-0000-0000-000008000000}"/>
    <cellStyle name="r_0_estimateMed" xfId="57" xr:uid="{00000000-0005-0000-0000-000009000000}"/>
    <cellStyle name="r_0_estimatePerc" xfId="73" xr:uid="{00000000-0005-0000-0000-00000A000000}"/>
    <cellStyle name="r_0_estimateWorst" xfId="58" xr:uid="{00000000-0005-0000-0000-00000B000000}"/>
    <cellStyle name="r_0_grayDark" xfId="1" xr:uid="{00000000-0005-0000-0000-00000C000000}"/>
    <cellStyle name="r_0_grayDark2" xfId="124" xr:uid="{00000000-0005-0000-0000-00000D000000}"/>
    <cellStyle name="r_0_grayTitle" xfId="125" xr:uid="{00000000-0005-0000-0000-00000E000000}"/>
    <cellStyle name="r_0_greenHeaderLeftIdent" xfId="127" xr:uid="{00000000-0005-0000-0000-00000F000000}"/>
    <cellStyle name="r_0_H1_gray" xfId="27" xr:uid="{00000000-0005-0000-0000-000010000000}"/>
    <cellStyle name="r_0_H2_red" xfId="121" xr:uid="{00000000-0005-0000-0000-000011000000}"/>
    <cellStyle name="r_0_H2_red2" xfId="28" xr:uid="{00000000-0005-0000-0000-000012000000}"/>
    <cellStyle name="r_0_H3MLblueHidden" xfId="64" xr:uid="{00000000-0005-0000-0000-000013000000}"/>
    <cellStyle name="r_0_H3MLredHidden" xfId="33" xr:uid="{00000000-0005-0000-0000-000014000000}"/>
    <cellStyle name="r_0_H3MMblue" xfId="62" xr:uid="{00000000-0005-0000-0000-000015000000}"/>
    <cellStyle name="r_0_H3MMblue2" xfId="67" xr:uid="{00000000-0005-0000-0000-000016000000}"/>
    <cellStyle name="r_0_H3MMblueHidden" xfId="65" xr:uid="{00000000-0005-0000-0000-000017000000}"/>
    <cellStyle name="r_0_H3MMblueL1" xfId="66" xr:uid="{00000000-0005-0000-0000-000018000000}"/>
    <cellStyle name="r_0_H3MMgreen" xfId="80" xr:uid="{00000000-0005-0000-0000-000019000000}"/>
    <cellStyle name="r_0_H3MMgreen2" xfId="81" xr:uid="{00000000-0005-0000-0000-00001A000000}"/>
    <cellStyle name="r_0_H3MMgreenL1" xfId="79" xr:uid="{00000000-0005-0000-0000-00001B000000}"/>
    <cellStyle name="r_0_H3MMred" xfId="37" xr:uid="{00000000-0005-0000-0000-00001C000000}"/>
    <cellStyle name="r_0_H3MMred2" xfId="39" xr:uid="{00000000-0005-0000-0000-00001D000000}"/>
    <cellStyle name="r_0_H3MMredHidden" xfId="34" xr:uid="{00000000-0005-0000-0000-00001E000000}"/>
    <cellStyle name="r_0_H3MMredL1" xfId="36" xr:uid="{00000000-0005-0000-0000-00001F000000}"/>
    <cellStyle name="r_0_H3TMblue" xfId="63" xr:uid="{00000000-0005-0000-0000-000020000000}"/>
    <cellStyle name="r_0_H3TMred" xfId="30" xr:uid="{00000000-0005-0000-0000-000021000000}"/>
    <cellStyle name="r_0_H4TRgray" xfId="38" xr:uid="{00000000-0005-0000-0000-000022000000}"/>
    <cellStyle name="r_0_help" xfId="25" xr:uid="{00000000-0005-0000-0000-000023000000}"/>
    <cellStyle name="r_0_helpBold" xfId="23" xr:uid="{00000000-0005-0000-0000-000024000000}"/>
    <cellStyle name="r_0_helpJustify" xfId="24" xr:uid="{00000000-0005-0000-0000-000025000000}"/>
    <cellStyle name="r_0_line" xfId="54" xr:uid="{00000000-0005-0000-0000-000026000000}"/>
    <cellStyle name="r_0_lineBorderTop" xfId="50" xr:uid="{00000000-0005-0000-0000-000027000000}"/>
    <cellStyle name="r_0_lineBorderTop2" xfId="46" xr:uid="{00000000-0005-0000-0000-000028000000}"/>
    <cellStyle name="r_0_lineBorderTop2bold" xfId="86" xr:uid="{00000000-0005-0000-0000-000029000000}"/>
    <cellStyle name="r_0_lineBorderTop2date" xfId="85" xr:uid="{00000000-0005-0000-0000-00002A000000}"/>
    <cellStyle name="r_0_lineBorderTopPre" xfId="49" xr:uid="{00000000-0005-0000-0000-00002B000000}"/>
    <cellStyle name="r_0_lineLocked" xfId="69" xr:uid="{00000000-0005-0000-0000-00002C000000}"/>
    <cellStyle name="r_0_lineLocked2" xfId="77" xr:uid="{00000000-0005-0000-0000-00002D000000}"/>
    <cellStyle name="r_0_lineLocked2bold" xfId="76" xr:uid="{00000000-0005-0000-0000-00002E000000}"/>
    <cellStyle name="r_0_lineLocked2pale" xfId="87" xr:uid="{00000000-0005-0000-0000-00002F000000}"/>
    <cellStyle name="r_0_lineLocked2paledate" xfId="88" xr:uid="{00000000-0005-0000-0000-000030000000}"/>
    <cellStyle name="r_0_lineLockedAccount" xfId="55" xr:uid="{00000000-0005-0000-0000-000031000000}"/>
    <cellStyle name="r_0_lineLockedBold" xfId="42" xr:uid="{00000000-0005-0000-0000-000032000000}"/>
    <cellStyle name="r_0_lineLockedBold2" xfId="47" xr:uid="{00000000-0005-0000-0000-000033000000}"/>
    <cellStyle name="r_0_lineLockedPre" xfId="45" xr:uid="{00000000-0005-0000-0000-000034000000}"/>
    <cellStyle name="r_0_lineLockedPre2" xfId="75" xr:uid="{00000000-0005-0000-0000-000035000000}"/>
    <cellStyle name="r_0_linePre" xfId="53" xr:uid="{00000000-0005-0000-0000-000036000000}"/>
    <cellStyle name="r_0_lineSubtotal1" xfId="51" xr:uid="{00000000-0005-0000-0000-000037000000}"/>
    <cellStyle name="r_0_lineSubtotal1Bold" xfId="43" xr:uid="{00000000-0005-0000-0000-000038000000}"/>
    <cellStyle name="r_0_lineSubtotal2Bold" xfId="48" xr:uid="{00000000-0005-0000-0000-000039000000}"/>
    <cellStyle name="r_0_MRDblue" xfId="2" xr:uid="{00000000-0005-0000-0000-00003A000000}"/>
    <cellStyle name="r_0_MRDgreen" xfId="4" xr:uid="{00000000-0005-0000-0000-00003B000000}"/>
    <cellStyle name="r_0_MRDred" xfId="29" xr:uid="{00000000-0005-0000-0000-00003C000000}"/>
    <cellStyle name="r_0_MRLred" xfId="31" xr:uid="{00000000-0005-0000-0000-00003D000000}"/>
    <cellStyle name="r_0_plAdjustment" xfId="32" xr:uid="{00000000-0005-0000-0000-00003E000000}"/>
    <cellStyle name="r_0_separator" xfId="40" xr:uid="{00000000-0005-0000-0000-00003F000000}"/>
    <cellStyle name="r_0_separator2" xfId="22" xr:uid="{00000000-0005-0000-0000-000040000000}"/>
    <cellStyle name="r_0_separator2Grad" xfId="26" xr:uid="{00000000-0005-0000-0000-000041000000}"/>
    <cellStyle name="r_0_separatorG1" xfId="84" xr:uid="{00000000-0005-0000-0000-000042000000}"/>
    <cellStyle name="r_0_STblue1" xfId="71" xr:uid="{00000000-0005-0000-0000-000043000000}"/>
    <cellStyle name="r_0_STblue2" xfId="70" xr:uid="{00000000-0005-0000-0000-000044000000}"/>
    <cellStyle name="r_0_STblue2Perc" xfId="78" xr:uid="{00000000-0005-0000-0000-000045000000}"/>
    <cellStyle name="r_0_STblue3" xfId="68" xr:uid="{00000000-0005-0000-0000-000046000000}"/>
    <cellStyle name="r_0_STblue5" xfId="74" xr:uid="{00000000-0005-0000-0000-000047000000}"/>
    <cellStyle name="r_0_STgreen1" xfId="123" xr:uid="{00000000-0005-0000-0000-000048000000}"/>
    <cellStyle name="r_0_STgreen2" xfId="83" xr:uid="{00000000-0005-0000-0000-000049000000}"/>
    <cellStyle name="r_0_STred1" xfId="59" xr:uid="{00000000-0005-0000-0000-00004A000000}"/>
    <cellStyle name="r_0_STred2" xfId="52" xr:uid="{00000000-0005-0000-0000-00004B000000}"/>
    <cellStyle name="r_0_STred3" xfId="44" xr:uid="{00000000-0005-0000-0000-00004C000000}"/>
    <cellStyle name="r_0_STred5" xfId="61" xr:uid="{00000000-0005-0000-0000-00004D000000}"/>
    <cellStyle name="r_0_total" xfId="72" xr:uid="{00000000-0005-0000-0000-00004E000000}"/>
    <cellStyle name="r_0_totalBold" xfId="60" xr:uid="{00000000-0005-0000-0000-00004F000000}"/>
    <cellStyle name="r_1_bkgGrayML" xfId="6" xr:uid="{00000000-0005-0000-0000-000050000000}"/>
    <cellStyle name="r_1_bkgGrayMM" xfId="7" xr:uid="{00000000-0005-0000-0000-000051000000}"/>
    <cellStyle name="r_1_bkgGrayMR" xfId="8" xr:uid="{00000000-0005-0000-0000-000052000000}"/>
    <cellStyle name="r_1_bkgMain" xfId="128" xr:uid="{00000000-0005-0000-0000-000053000000}"/>
    <cellStyle name="r_1_bkgMainTM" xfId="19" xr:uid="{00000000-0005-0000-0000-000054000000}"/>
    <cellStyle name="r_1_bkgWhite" xfId="91" xr:uid="{00000000-0005-0000-0000-000055000000}"/>
    <cellStyle name="r_1_bkgWhiteBottom" xfId="110" xr:uid="{00000000-0005-0000-0000-000056000000}"/>
    <cellStyle name="r_1_bkgWhiteLeft" xfId="90" xr:uid="{00000000-0005-0000-0000-000057000000}"/>
    <cellStyle name="r_1_bkgWhiteLeftBottom" xfId="109" xr:uid="{00000000-0005-0000-0000-000058000000}"/>
    <cellStyle name="r_1_bkgWhiteRight" xfId="92" xr:uid="{00000000-0005-0000-0000-000059000000}"/>
    <cellStyle name="r_1_bkgWhiteRightBottom" xfId="111" xr:uid="{00000000-0005-0000-0000-00005A000000}"/>
    <cellStyle name="r_1_bkgYellow" xfId="95" xr:uid="{00000000-0005-0000-0000-00005B000000}"/>
    <cellStyle name="r_1_bkgYellowEnd" xfId="107" xr:uid="{00000000-0005-0000-0000-00005C000000}"/>
    <cellStyle name="r_1_bkgYellowForce" xfId="100" xr:uid="{00000000-0005-0000-0000-00005D000000}"/>
    <cellStyle name="r_1_bkgYellowStart" xfId="93" xr:uid="{00000000-0005-0000-0000-00005E000000}"/>
    <cellStyle name="r_1_faq-link" xfId="16" xr:uid="{00000000-0005-0000-0000-00005F000000}"/>
    <cellStyle name="r_1_faq-text" xfId="21" xr:uid="{00000000-0005-0000-0000-000060000000}"/>
    <cellStyle name="r_1_fpHeader3" xfId="9" xr:uid="{00000000-0005-0000-0000-000061000000}"/>
    <cellStyle name="r_1_fpHeader4" xfId="15" xr:uid="{00000000-0005-0000-0000-000062000000}"/>
    <cellStyle name="r_1_lineInputDate" xfId="14" xr:uid="{00000000-0005-0000-0000-000063000000}"/>
    <cellStyle name="r_1_lineInputText" xfId="18" xr:uid="{00000000-0005-0000-0000-000064000000}"/>
    <cellStyle name="r_1_lineInputValue" xfId="10" xr:uid="{00000000-0005-0000-0000-000065000000}"/>
    <cellStyle name="r_1_lineInputValueNon" xfId="20" xr:uid="{00000000-0005-0000-0000-000066000000}"/>
    <cellStyle name="r_1_separatorLine" xfId="17" xr:uid="{00000000-0005-0000-0000-000067000000}"/>
    <cellStyle name="r_1_separatorLineBottom" xfId="11" xr:uid="{00000000-0005-0000-0000-000068000000}"/>
    <cellStyle name="r_1_sideTextBottom" xfId="13" xr:uid="{00000000-0005-0000-0000-000069000000}"/>
    <cellStyle name="r_1_sideTextTop" xfId="12" xr:uid="{00000000-0005-0000-0000-00006A000000}"/>
    <cellStyle name="r_2_perc8" xfId="119" xr:uid="{00000000-0005-0000-0000-00006B000000}"/>
    <cellStyle name="r_2_perc8Bold" xfId="115" xr:uid="{00000000-0005-0000-0000-00006C000000}"/>
    <cellStyle name="r_2_text10Bold" xfId="96" xr:uid="{00000000-0005-0000-0000-00006D000000}"/>
    <cellStyle name="r_2_text12Blue" xfId="94" xr:uid="{00000000-0005-0000-0000-00006E000000}"/>
    <cellStyle name="r_2_text12BlueNT" xfId="108" xr:uid="{00000000-0005-0000-0000-00006F000000}"/>
    <cellStyle name="r_2_text18White" xfId="112" xr:uid="{00000000-0005-0000-0000-000070000000}"/>
    <cellStyle name="r_2_text20WhiteBold" xfId="89" xr:uid="{00000000-0005-0000-0000-000071000000}"/>
    <cellStyle name="r_2_text8" xfId="113" xr:uid="{00000000-0005-0000-0000-000072000000}"/>
    <cellStyle name="r_2_text8Bold" xfId="101" xr:uid="{00000000-0005-0000-0000-000073000000}"/>
    <cellStyle name="r_2_text8BoldIdent1" xfId="117" xr:uid="{00000000-0005-0000-0000-000074000000}"/>
    <cellStyle name="r_2_text8BoldStart" xfId="97" xr:uid="{00000000-0005-0000-0000-000075000000}"/>
    <cellStyle name="r_2_text8Ident1" xfId="104" xr:uid="{00000000-0005-0000-0000-000076000000}"/>
    <cellStyle name="r_2_text8Ident2" xfId="106" xr:uid="{00000000-0005-0000-0000-000077000000}"/>
    <cellStyle name="r_2_text8Ident3" xfId="114" xr:uid="{00000000-0005-0000-0000-000078000000}"/>
    <cellStyle name="r_2_textNoFormat" xfId="35" xr:uid="{00000000-0005-0000-0000-000079000000}"/>
    <cellStyle name="r_2_val8" xfId="5" xr:uid="{00000000-0005-0000-0000-00007A000000}"/>
    <cellStyle name="r_2_val8Bkg" xfId="120" xr:uid="{00000000-0005-0000-0000-00007B000000}"/>
    <cellStyle name="r_2_val8Bold" xfId="103" xr:uid="{00000000-0005-0000-0000-00007C000000}"/>
    <cellStyle name="r_2_val8BoldLeft" xfId="102" xr:uid="{00000000-0005-0000-0000-00007D000000}"/>
    <cellStyle name="r_2_val8BoldStart" xfId="99" xr:uid="{00000000-0005-0000-0000-00007E000000}"/>
    <cellStyle name="r_2_val8BoldStartLeft" xfId="98" xr:uid="{00000000-0005-0000-0000-00007F000000}"/>
    <cellStyle name="r_2_val8Left" xfId="105" xr:uid="{00000000-0005-0000-0000-000080000000}"/>
    <cellStyle name="r_2_val8NegativeRed" xfId="116" xr:uid="{00000000-0005-0000-0000-000081000000}"/>
  </cellStyles>
  <dxfs count="39">
    <dxf>
      <border>
        <left/>
        <right/>
        <top/>
        <bottom/>
        <vertical/>
        <horizontal/>
      </border>
    </dxf>
    <dxf>
      <border>
        <left/>
        <right/>
        <top/>
        <bottom/>
        <vertical/>
        <horizontal/>
      </border>
    </dxf>
    <dxf>
      <border>
        <left/>
        <right/>
        <top/>
        <bottom/>
        <vertical/>
        <horizontal/>
      </border>
    </dxf>
    <dxf>
      <border>
        <left/>
        <right/>
        <top/>
        <bottom/>
        <vertical/>
        <horizontal/>
      </border>
    </dxf>
    <dxf>
      <fill>
        <patternFill>
          <bgColor rgb="FFF8F8DE"/>
        </patternFill>
      </fill>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fill>
        <patternFill>
          <bgColor rgb="FFF8F8DE"/>
        </patternFill>
      </fill>
      <border>
        <left/>
        <right/>
        <top/>
        <bottom/>
        <vertical/>
        <horizontal/>
      </border>
    </dxf>
    <dxf>
      <border>
        <left/>
        <right/>
        <top/>
        <bottom/>
        <vertical/>
        <horizontal/>
      </border>
    </dxf>
    <dxf>
      <fill>
        <patternFill>
          <bgColor rgb="FFF8F8DE"/>
        </patternFill>
      </fill>
      <border>
        <left/>
        <right/>
        <top/>
        <bottom/>
        <vertical/>
        <horizontal/>
      </border>
    </dxf>
    <dxf>
      <border>
        <left/>
        <right/>
        <top/>
        <bottom/>
        <vertical/>
        <horizontal/>
      </border>
    </dxf>
    <dxf>
      <fill>
        <patternFill>
          <bgColor rgb="FFF8F8DE"/>
        </patternFill>
      </fill>
      <border>
        <left/>
        <right/>
        <top/>
        <bottom/>
        <vertical/>
        <horizontal/>
      </border>
    </dxf>
    <dxf>
      <border>
        <left/>
        <right/>
        <top/>
        <bottom/>
        <vertical/>
        <horizontal/>
      </border>
    </dxf>
    <dxf>
      <fill>
        <patternFill>
          <bgColor rgb="FFFFCCCC"/>
        </patternFill>
      </fill>
    </dxf>
    <dxf>
      <fill>
        <patternFill patternType="none">
          <bgColor auto="1"/>
        </patternFill>
      </fill>
    </dxf>
    <dxf>
      <fill>
        <patternFill>
          <bgColor rgb="FFF9F9F3"/>
        </patternFill>
      </fill>
      <border>
        <left/>
        <right/>
        <top/>
        <bottom/>
        <vertical/>
        <horizontal/>
      </border>
    </dxf>
    <dxf>
      <font>
        <color rgb="FFF9F9F3"/>
      </font>
      <fill>
        <patternFill>
          <bgColor rgb="FFF9F9F3"/>
        </patternFill>
      </fill>
    </dxf>
    <dxf>
      <fill>
        <patternFill>
          <bgColor rgb="FFF9F9F3"/>
        </patternFill>
      </fill>
      <border>
        <left/>
        <right/>
        <top/>
        <bottom/>
      </border>
    </dxf>
    <dxf>
      <font>
        <color rgb="FFF9F9F3"/>
      </font>
      <fill>
        <patternFill>
          <fgColor auto="1"/>
          <bgColor rgb="FFF9F9F3"/>
        </patternFill>
      </fill>
    </dxf>
    <dxf>
      <fill>
        <patternFill>
          <bgColor rgb="FFFFCCCC"/>
        </patternFill>
      </fill>
    </dxf>
    <dxf>
      <font>
        <color theme="0" tint="-0.34998626667073579"/>
      </font>
    </dxf>
  </dxfs>
  <tableStyles count="0" defaultTableStyle="TableStyleMedium2" defaultPivotStyle="PivotStyleLight16"/>
  <colors>
    <mruColors>
      <color rgb="FFFFCCCC"/>
      <color rgb="FFF9F9F3"/>
      <color rgb="FFF8F8DE"/>
      <color rgb="FFFF9999"/>
      <color rgb="FFFFFFFF"/>
      <color rgb="FFFF7C80"/>
      <color rgb="FFF9F8F3"/>
      <color rgb="FFF9F8F1"/>
      <color rgb="FF9C0027"/>
      <color rgb="FFEBEA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7.19978362646614E-2"/>
          <c:y val="0.20711826684282877"/>
          <c:w val="0.89920211485532586"/>
          <c:h val="0.63632301253217882"/>
        </c:manualLayout>
      </c:layout>
      <c:areaChart>
        <c:grouping val="stacked"/>
        <c:varyColors val="0"/>
        <c:ser>
          <c:idx val="1"/>
          <c:order val="0"/>
          <c:tx>
            <c:v>1</c:v>
          </c:tx>
          <c:spPr>
            <a:solidFill>
              <a:srgbClr val="C3D69B"/>
            </a:solidFill>
            <a:ln w="25400">
              <a:noFill/>
            </a:ln>
            <a:effectLst/>
            <a:extLst>
              <a:ext uri="{91240B29-F687-4F45-9708-019B960494DF}">
                <a14:hiddenLine xmlns:a14="http://schemas.microsoft.com/office/drawing/2010/main" w="25400">
                  <a:solidFill>
                    <a:srgbClr val="024C17"/>
                  </a:solidFill>
                </a14:hiddenLine>
              </a:ext>
            </a:extLst>
          </c:spPr>
          <c:cat>
            <c:numLit>
              <c:formatCode>General</c:formatCode>
              <c:ptCount val="2"/>
              <c:pt idx="0">
                <c:v>2</c:v>
              </c:pt>
              <c:pt idx="1">
                <c:v>1</c:v>
              </c:pt>
            </c:numLit>
          </c:cat>
          <c:val>
            <c:numLit>
              <c:formatCode>General</c:formatCode>
              <c:ptCount val="2"/>
              <c:pt idx="0">
                <c:v>2</c:v>
              </c:pt>
              <c:pt idx="1">
                <c:v>1</c:v>
              </c:pt>
            </c:numLit>
          </c:val>
          <c:extLst>
            <c:ext xmlns:c16="http://schemas.microsoft.com/office/drawing/2014/chart" uri="{C3380CC4-5D6E-409C-BE32-E72D297353CC}">
              <c16:uniqueId val="{00000000-4D46-450C-9AA8-CE16753EB776}"/>
            </c:ext>
          </c:extLst>
        </c:ser>
        <c:dLbls>
          <c:showLegendKey val="0"/>
          <c:showVal val="0"/>
          <c:showCatName val="0"/>
          <c:showSerName val="0"/>
          <c:showPercent val="0"/>
          <c:showBubbleSize val="0"/>
        </c:dLbls>
        <c:axId val="445673952"/>
        <c:axId val="445674280"/>
      </c:areaChart>
      <c:barChart>
        <c:barDir val="col"/>
        <c:grouping val="clustered"/>
        <c:varyColors val="0"/>
        <c:ser>
          <c:idx val="0"/>
          <c:order val="1"/>
          <c:tx>
            <c:v>1</c:v>
          </c:tx>
          <c:spPr>
            <a:solidFill>
              <a:srgbClr val="017024"/>
            </a:solidFill>
            <a:ln w="25400">
              <a:noFill/>
            </a:ln>
            <a:effectLst/>
            <a:extLst>
              <a:ext uri="{91240B29-F687-4F45-9708-019B960494DF}">
                <a14:hiddenLine xmlns:a14="http://schemas.microsoft.com/office/drawing/2010/main" w="25400">
                  <a:solidFill>
                    <a:srgbClr val="017024"/>
                  </a:solidFill>
                </a14:hiddenLine>
              </a:ext>
            </a:extLst>
          </c:spPr>
          <c:invertIfNegative val="0"/>
          <c:cat>
            <c:numLit>
              <c:formatCode>General</c:formatCode>
              <c:ptCount val="2"/>
              <c:pt idx="0">
                <c:v>1</c:v>
              </c:pt>
              <c:pt idx="1">
                <c:v>2</c:v>
              </c:pt>
            </c:numLit>
          </c:cat>
          <c:val>
            <c:numLit>
              <c:formatCode>General</c:formatCode>
              <c:ptCount val="2"/>
              <c:pt idx="0">
                <c:v>1</c:v>
              </c:pt>
              <c:pt idx="1">
                <c:v>2</c:v>
              </c:pt>
            </c:numLit>
          </c:val>
          <c:extLst>
            <c:ext xmlns:c16="http://schemas.microsoft.com/office/drawing/2014/chart" uri="{C3380CC4-5D6E-409C-BE32-E72D297353CC}">
              <c16:uniqueId val="{00000001-4D46-450C-9AA8-CE16753EB776}"/>
            </c:ext>
          </c:extLst>
        </c:ser>
        <c:dLbls>
          <c:showLegendKey val="0"/>
          <c:showVal val="0"/>
          <c:showCatName val="0"/>
          <c:showSerName val="0"/>
          <c:showPercent val="0"/>
          <c:showBubbleSize val="0"/>
        </c:dLbls>
        <c:gapWidth val="300"/>
        <c:axId val="445673952"/>
        <c:axId val="445674280"/>
      </c:barChart>
      <c:catAx>
        <c:axId val="445673952"/>
        <c:scaling>
          <c:orientation val="minMax"/>
        </c:scaling>
        <c:delete val="0"/>
        <c:axPos val="b"/>
        <c:numFmt formatCode="General" sourceLinked="1"/>
        <c:majorTickMark val="none"/>
        <c:minorTickMark val="none"/>
        <c:tickLblPos val="low"/>
        <c:spPr>
          <a:noFill/>
          <a:ln w="12700" cap="flat" cmpd="sng" algn="ctr">
            <a:solidFill>
              <a:schemeClr val="accent2">
                <a:lumMod val="20000"/>
                <a:lumOff val="80000"/>
              </a:schemeClr>
            </a:solidFill>
            <a:round/>
          </a:ln>
          <a:effectLst/>
        </c:spPr>
        <c:txPr>
          <a:bodyPr rot="-60000000" spcFirstLastPara="1" vertOverflow="ellipsis" vert="horz" wrap="square" anchor="t" anchorCtr="0"/>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a-DK"/>
          </a:p>
        </c:txPr>
        <c:crossAx val="445674280"/>
        <c:crosses val="autoZero"/>
        <c:auto val="1"/>
        <c:lblAlgn val="ctr"/>
        <c:lblOffset val="100"/>
        <c:noMultiLvlLbl val="0"/>
      </c:catAx>
      <c:valAx>
        <c:axId val="445674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b="1">
                    <a:solidFill>
                      <a:sysClr val="windowText" lastClr="000000"/>
                    </a:solidFill>
                    <a:latin typeface="Arial" panose="020B0604020202020204" pitchFamily="34" charset="0"/>
                    <a:cs typeface="Arial" panose="020B0604020202020204" pitchFamily="34" charset="0"/>
                  </a:rPr>
                  <a:t>Mio. kr.</a:t>
                </a:r>
              </a:p>
            </c:rich>
          </c:tx>
          <c:layout>
            <c:manualLayout>
              <c:xMode val="edge"/>
              <c:yMode val="edge"/>
              <c:x val="8.5245382063091173E-3"/>
              <c:y val="0"/>
            </c:manualLayout>
          </c:layout>
          <c:overlay val="0"/>
          <c:spPr>
            <a:noFill/>
            <a:ln>
              <a:noFill/>
            </a:ln>
            <a:effectLst/>
          </c:spPr>
          <c:txPr>
            <a:bodyPr rot="0" spcFirstLastPara="1" vertOverflow="ellipsis"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a-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a-DK"/>
          </a:p>
        </c:txPr>
        <c:crossAx val="445673952"/>
        <c:crosses val="autoZero"/>
        <c:crossBetween val="between"/>
      </c:valAx>
      <c:spPr>
        <a:noFill/>
        <a:ln>
          <a:noFill/>
        </a:ln>
        <a:effectLst/>
      </c:spPr>
    </c:plotArea>
    <c:legend>
      <c:legendPos val="t"/>
      <c:layout>
        <c:manualLayout>
          <c:xMode val="edge"/>
          <c:yMode val="edge"/>
          <c:x val="0.35713958224311165"/>
          <c:y val="2.5449099796540791E-2"/>
          <c:w val="0.29849390953856331"/>
          <c:h val="0.14315218828860482"/>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a-DK"/>
        </a:p>
      </c:txPr>
    </c:legend>
    <c:plotVisOnly val="1"/>
    <c:dispBlanksAs val="gap"/>
    <c:showDLblsOverMax val="0"/>
  </c:chart>
  <c:spPr>
    <a:noFill/>
    <a:ln w="9525" cap="flat" cmpd="sng" algn="ctr">
      <a:noFill/>
      <a:round/>
    </a:ln>
    <a:effectLst/>
  </c:spPr>
  <c:txPr>
    <a:bodyPr/>
    <a:lstStyle/>
    <a:p>
      <a:pPr>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978362646614E-2"/>
          <c:y val="0.15622038531054946"/>
          <c:w val="0.89920211485532586"/>
          <c:h val="0.69692188795143573"/>
        </c:manualLayout>
      </c:layout>
      <c:lineChart>
        <c:grouping val="standard"/>
        <c:varyColors val="0"/>
        <c:ser>
          <c:idx val="0"/>
          <c:order val="0"/>
          <c:tx>
            <c:v>1</c:v>
          </c:tx>
          <c:spPr>
            <a:ln w="25400" cap="rnd">
              <a:solidFill>
                <a:srgbClr val="2686AC"/>
              </a:solidFill>
              <a:round/>
            </a:ln>
            <a:effectLst/>
          </c:spPr>
          <c:marker>
            <c:symbol val="none"/>
          </c:marker>
          <c:cat>
            <c:numLit>
              <c:formatCode>General</c:formatCode>
              <c:ptCount val="2"/>
              <c:pt idx="0">
                <c:v>2</c:v>
              </c:pt>
              <c:pt idx="1">
                <c:v>1</c:v>
              </c:pt>
            </c:numLit>
          </c:cat>
          <c:val>
            <c:numLit>
              <c:formatCode>General</c:formatCode>
              <c:ptCount val="2"/>
              <c:pt idx="0">
                <c:v>1</c:v>
              </c:pt>
              <c:pt idx="1">
                <c:v>2</c:v>
              </c:pt>
            </c:numLit>
          </c:val>
          <c:smooth val="0"/>
          <c:extLst>
            <c:ext xmlns:c16="http://schemas.microsoft.com/office/drawing/2014/chart" uri="{C3380CC4-5D6E-409C-BE32-E72D297353CC}">
              <c16:uniqueId val="{00000000-157B-443D-8051-4F24B96A2306}"/>
            </c:ext>
          </c:extLst>
        </c:ser>
        <c:ser>
          <c:idx val="1"/>
          <c:order val="1"/>
          <c:tx>
            <c:v>1</c:v>
          </c:tx>
          <c:spPr>
            <a:ln w="25400" cap="rnd">
              <a:solidFill>
                <a:srgbClr val="9C0027"/>
              </a:solidFill>
              <a:round/>
            </a:ln>
            <a:effectLst/>
          </c:spPr>
          <c:marker>
            <c:symbol val="none"/>
          </c:marker>
          <c:cat>
            <c:numLit>
              <c:formatCode>General</c:formatCode>
              <c:ptCount val="2"/>
              <c:pt idx="0">
                <c:v>2</c:v>
              </c:pt>
              <c:pt idx="1">
                <c:v>1</c:v>
              </c:pt>
            </c:numLit>
          </c:cat>
          <c:val>
            <c:numLit>
              <c:formatCode>General</c:formatCode>
              <c:ptCount val="2"/>
              <c:pt idx="0">
                <c:v>2</c:v>
              </c:pt>
              <c:pt idx="1">
                <c:v>1</c:v>
              </c:pt>
            </c:numLit>
          </c:val>
          <c:smooth val="0"/>
          <c:extLst>
            <c:ext xmlns:c16="http://schemas.microsoft.com/office/drawing/2014/chart" uri="{C3380CC4-5D6E-409C-BE32-E72D297353CC}">
              <c16:uniqueId val="{00000001-157B-443D-8051-4F24B96A2306}"/>
            </c:ext>
          </c:extLst>
        </c:ser>
        <c:dLbls>
          <c:showLegendKey val="0"/>
          <c:showVal val="0"/>
          <c:showCatName val="0"/>
          <c:showSerName val="0"/>
          <c:showPercent val="0"/>
          <c:showBubbleSize val="0"/>
        </c:dLbls>
        <c:smooth val="0"/>
        <c:axId val="445673952"/>
        <c:axId val="445674280"/>
      </c:lineChart>
      <c:catAx>
        <c:axId val="445673952"/>
        <c:scaling>
          <c:orientation val="minMax"/>
        </c:scaling>
        <c:delete val="0"/>
        <c:axPos val="b"/>
        <c:numFmt formatCode="General" sourceLinked="1"/>
        <c:majorTickMark val="none"/>
        <c:minorTickMark val="none"/>
        <c:tickLblPos val="low"/>
        <c:spPr>
          <a:noFill/>
          <a:ln w="12700" cap="flat" cmpd="sng" algn="ctr">
            <a:solidFill>
              <a:schemeClr val="accent2">
                <a:lumMod val="20000"/>
                <a:lumOff val="80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a-DK"/>
          </a:p>
        </c:txPr>
        <c:crossAx val="445674280"/>
        <c:crosses val="autoZero"/>
        <c:auto val="1"/>
        <c:lblAlgn val="ctr"/>
        <c:lblOffset val="100"/>
        <c:noMultiLvlLbl val="0"/>
      </c:catAx>
      <c:valAx>
        <c:axId val="445674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900" b="1"/>
                  <a:t>Mio. kr.</a:t>
                </a:r>
              </a:p>
            </c:rich>
          </c:tx>
          <c:layout>
            <c:manualLayout>
              <c:xMode val="edge"/>
              <c:yMode val="edge"/>
              <c:x val="1.1861932352795524E-2"/>
              <c:y val="0"/>
            </c:manualLayout>
          </c:layout>
          <c:overlay val="0"/>
          <c:spPr>
            <a:noFill/>
            <a:ln>
              <a:noFill/>
            </a:ln>
            <a:effectLst/>
          </c:spPr>
          <c:txPr>
            <a:bodyPr rot="0" spcFirstLastPara="1" vertOverflow="ellipsis"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a-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a-DK"/>
          </a:p>
        </c:txPr>
        <c:crossAx val="445673952"/>
        <c:crossesAt val="1"/>
        <c:crossBetween val="midCat"/>
      </c:valAx>
      <c:spPr>
        <a:noFill/>
        <a:ln>
          <a:noFill/>
        </a:ln>
        <a:effectLst/>
      </c:spPr>
    </c:plotArea>
    <c:legend>
      <c:legendPos val="t"/>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a-DK"/>
        </a:p>
      </c:txPr>
    </c:legend>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da-DK"/>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3.543165975220839E-2"/>
          <c:y val="4.7607819514363985E-2"/>
          <c:w val="0.94426792691969208"/>
          <c:h val="0.81253485893678745"/>
        </c:manualLayout>
      </c:layout>
      <c:barChart>
        <c:barDir val="bar"/>
        <c:grouping val="clustered"/>
        <c:varyColors val="0"/>
        <c:ser>
          <c:idx val="1"/>
          <c:order val="0"/>
          <c:tx>
            <c:v>bla</c:v>
          </c:tx>
          <c:spPr>
            <a:solidFill>
              <a:schemeClr val="accent5">
                <a:lumMod val="60000"/>
                <a:lumOff val="40000"/>
              </a:schemeClr>
            </a:solidFill>
            <a:ln w="25400">
              <a:noFill/>
            </a:ln>
            <a:effectLst/>
          </c:spPr>
          <c:invertIfNegative val="0"/>
          <c:dLbls>
            <c:dLbl>
              <c:idx val="9"/>
              <c:dLblPos val="inBase"/>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E8-4F0C-B9AD-805F7713CC09}"/>
                </c:ext>
              </c:extLst>
            </c:dLbl>
            <c:spPr>
              <a:noFill/>
              <a:ln>
                <a:no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da-DK"/>
              </a:p>
            </c:txPr>
            <c:dLblPos val="inBase"/>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Lit>
              <c:ptCount val="11"/>
              <c:pt idx="0">
                <c:v>Andre</c:v>
              </c:pt>
              <c:pt idx="1">
                <c:v>a</c:v>
              </c:pt>
              <c:pt idx="2">
                <c:v>b</c:v>
              </c:pt>
              <c:pt idx="3">
                <c:v>c</c:v>
              </c:pt>
              <c:pt idx="4">
                <c:v>d</c:v>
              </c:pt>
              <c:pt idx="5">
                <c:v>e</c:v>
              </c:pt>
              <c:pt idx="6">
                <c:v>f</c:v>
              </c:pt>
              <c:pt idx="7">
                <c:v>g</c:v>
              </c:pt>
              <c:pt idx="8">
                <c:v>h</c:v>
              </c:pt>
              <c:pt idx="9">
                <c:v>i</c:v>
              </c:pt>
              <c:pt idx="10">
                <c:v>j</c:v>
              </c:pt>
            </c:strLit>
          </c:cat>
          <c:val>
            <c:numLit>
              <c:formatCode>General</c:formatCode>
              <c:ptCount val="11"/>
              <c:pt idx="0">
                <c:v>15</c:v>
              </c:pt>
              <c:pt idx="1">
                <c:v>2</c:v>
              </c:pt>
              <c:pt idx="2">
                <c:v>3</c:v>
              </c:pt>
              <c:pt idx="3">
                <c:v>5</c:v>
              </c:pt>
              <c:pt idx="4">
                <c:v>2</c:v>
              </c:pt>
              <c:pt idx="5">
                <c:v>3</c:v>
              </c:pt>
              <c:pt idx="6">
                <c:v>4</c:v>
              </c:pt>
              <c:pt idx="7">
                <c:v>12</c:v>
              </c:pt>
              <c:pt idx="8">
                <c:v>14</c:v>
              </c:pt>
              <c:pt idx="9">
                <c:v>2</c:v>
              </c:pt>
              <c:pt idx="10">
                <c:v>4</c:v>
              </c:pt>
            </c:numLit>
          </c:val>
          <c:extLst>
            <c:ext xmlns:c16="http://schemas.microsoft.com/office/drawing/2014/chart" uri="{C3380CC4-5D6E-409C-BE32-E72D297353CC}">
              <c16:uniqueId val="{00000001-B1E8-4F0C-B9AD-805F7713CC09}"/>
            </c:ext>
          </c:extLst>
        </c:ser>
        <c:dLbls>
          <c:showLegendKey val="0"/>
          <c:showVal val="0"/>
          <c:showCatName val="0"/>
          <c:showSerName val="0"/>
          <c:showPercent val="0"/>
          <c:showBubbleSize val="0"/>
        </c:dLbls>
        <c:gapWidth val="10"/>
        <c:axId val="445673952"/>
        <c:axId val="445674280"/>
      </c:barChart>
      <c:catAx>
        <c:axId val="445673952"/>
        <c:scaling>
          <c:orientation val="minMax"/>
        </c:scaling>
        <c:delete val="1"/>
        <c:axPos val="l"/>
        <c:numFmt formatCode="General" sourceLinked="1"/>
        <c:majorTickMark val="none"/>
        <c:minorTickMark val="none"/>
        <c:tickLblPos val="low"/>
        <c:crossAx val="445674280"/>
        <c:crosses val="autoZero"/>
        <c:auto val="1"/>
        <c:lblAlgn val="ctr"/>
        <c:lblOffset val="100"/>
        <c:noMultiLvlLbl val="0"/>
      </c:catAx>
      <c:valAx>
        <c:axId val="44567428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Mio. kr.</a:t>
                </a:r>
              </a:p>
            </c:rich>
          </c:tx>
          <c:layout>
            <c:manualLayout>
              <c:xMode val="edge"/>
              <c:yMode val="edge"/>
              <c:x val="8.0253031372222589E-3"/>
              <c:y val="0.8819493957534584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a-DK"/>
            </a:p>
          </c:txPr>
        </c:title>
        <c:numFmt formatCode="#;#;" sourceLinked="0"/>
        <c:majorTickMark val="none"/>
        <c:minorTickMark val="none"/>
        <c:tickLblPos val="nextTo"/>
        <c:spPr>
          <a:noFill/>
          <a:ln>
            <a:solidFill>
              <a:schemeClr val="bg1">
                <a:lumMod val="85000"/>
              </a:schemeClr>
            </a:solidFill>
          </a:ln>
          <a:effectLst/>
        </c:spPr>
        <c:txPr>
          <a:bodyPr rot="0" spcFirstLastPara="1" vertOverflow="ellipsis"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a-DK"/>
          </a:p>
        </c:txPr>
        <c:crossAx val="4456739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da-DK"/>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7.19978362646614E-2"/>
          <c:y val="0.2002342796939115"/>
          <c:w val="0.89920211485532586"/>
          <c:h val="0.63956970167461458"/>
        </c:manualLayout>
      </c:layout>
      <c:barChart>
        <c:barDir val="col"/>
        <c:grouping val="stacked"/>
        <c:varyColors val="0"/>
        <c:ser>
          <c:idx val="1"/>
          <c:order val="0"/>
          <c:tx>
            <c:v>1</c:v>
          </c:tx>
          <c:spPr>
            <a:solidFill>
              <a:srgbClr val="2686AC"/>
            </a:solidFill>
            <a:ln>
              <a:noFill/>
            </a:ln>
            <a:effectLst/>
          </c:spPr>
          <c:invertIfNegative val="0"/>
          <c:cat>
            <c:numLit>
              <c:formatCode>General</c:formatCode>
              <c:ptCount val="2"/>
              <c:pt idx="0">
                <c:v>2</c:v>
              </c:pt>
              <c:pt idx="1">
                <c:v>1</c:v>
              </c:pt>
            </c:numLit>
          </c:cat>
          <c:val>
            <c:numLit>
              <c:formatCode>General</c:formatCode>
              <c:ptCount val="2"/>
              <c:pt idx="0">
                <c:v>1</c:v>
              </c:pt>
              <c:pt idx="1">
                <c:v>2</c:v>
              </c:pt>
            </c:numLit>
          </c:val>
          <c:extLst>
            <c:ext xmlns:c16="http://schemas.microsoft.com/office/drawing/2014/chart" uri="{C3380CC4-5D6E-409C-BE32-E72D297353CC}">
              <c16:uniqueId val="{00000000-BA01-42E4-BC84-DD0A31A33727}"/>
            </c:ext>
          </c:extLst>
        </c:ser>
        <c:ser>
          <c:idx val="2"/>
          <c:order val="1"/>
          <c:tx>
            <c:v>1</c:v>
          </c:tx>
          <c:spPr>
            <a:solidFill>
              <a:schemeClr val="accent5"/>
            </a:solidFill>
            <a:ln>
              <a:noFill/>
            </a:ln>
            <a:effectLst/>
          </c:spPr>
          <c:invertIfNegative val="0"/>
          <c:cat>
            <c:numLit>
              <c:formatCode>General</c:formatCode>
              <c:ptCount val="2"/>
              <c:pt idx="0">
                <c:v>2</c:v>
              </c:pt>
              <c:pt idx="1">
                <c:v>1</c:v>
              </c:pt>
            </c:numLit>
          </c:cat>
          <c:val>
            <c:numLit>
              <c:formatCode>General</c:formatCode>
              <c:ptCount val="2"/>
              <c:pt idx="0">
                <c:v>1</c:v>
              </c:pt>
              <c:pt idx="1">
                <c:v>2</c:v>
              </c:pt>
            </c:numLit>
          </c:val>
          <c:extLst>
            <c:ext xmlns:c16="http://schemas.microsoft.com/office/drawing/2014/chart" uri="{C3380CC4-5D6E-409C-BE32-E72D297353CC}">
              <c16:uniqueId val="{00000001-BA01-42E4-BC84-DD0A31A33727}"/>
            </c:ext>
          </c:extLst>
        </c:ser>
        <c:ser>
          <c:idx val="4"/>
          <c:order val="2"/>
          <c:tx>
            <c:v>1</c:v>
          </c:tx>
          <c:spPr>
            <a:solidFill>
              <a:schemeClr val="accent5">
                <a:tint val="54000"/>
              </a:schemeClr>
            </a:solidFill>
            <a:ln>
              <a:noFill/>
            </a:ln>
            <a:effectLst/>
          </c:spPr>
          <c:invertIfNegative val="0"/>
          <c:cat>
            <c:numLit>
              <c:formatCode>General</c:formatCode>
              <c:ptCount val="2"/>
              <c:pt idx="0">
                <c:v>2</c:v>
              </c:pt>
              <c:pt idx="1">
                <c:v>1</c:v>
              </c:pt>
            </c:numLit>
          </c:cat>
          <c:val>
            <c:numLit>
              <c:formatCode>General</c:formatCode>
              <c:ptCount val="2"/>
              <c:pt idx="0">
                <c:v>1</c:v>
              </c:pt>
              <c:pt idx="1">
                <c:v>2</c:v>
              </c:pt>
            </c:numLit>
          </c:val>
          <c:extLst>
            <c:ext xmlns:c16="http://schemas.microsoft.com/office/drawing/2014/chart" uri="{C3380CC4-5D6E-409C-BE32-E72D297353CC}">
              <c16:uniqueId val="{00000002-BA01-42E4-BC84-DD0A31A33727}"/>
            </c:ext>
          </c:extLst>
        </c:ser>
        <c:ser>
          <c:idx val="0"/>
          <c:order val="3"/>
          <c:tx>
            <c:v>1</c:v>
          </c:tx>
          <c:spPr>
            <a:solidFill>
              <a:schemeClr val="bg1">
                <a:lumMod val="50000"/>
              </a:schemeClr>
            </a:solidFill>
            <a:ln>
              <a:noFill/>
            </a:ln>
            <a:effectLst/>
          </c:spPr>
          <c:invertIfNegative val="0"/>
          <c:cat>
            <c:numLit>
              <c:formatCode>General</c:formatCode>
              <c:ptCount val="2"/>
              <c:pt idx="0">
                <c:v>2</c:v>
              </c:pt>
              <c:pt idx="1">
                <c:v>1</c:v>
              </c:pt>
            </c:numLit>
          </c:cat>
          <c:val>
            <c:numLit>
              <c:formatCode>General</c:formatCode>
              <c:ptCount val="2"/>
              <c:pt idx="0">
                <c:v>1</c:v>
              </c:pt>
              <c:pt idx="1">
                <c:v>2</c:v>
              </c:pt>
            </c:numLit>
          </c:val>
          <c:extLst>
            <c:ext xmlns:c16="http://schemas.microsoft.com/office/drawing/2014/chart" uri="{C3380CC4-5D6E-409C-BE32-E72D297353CC}">
              <c16:uniqueId val="{00000003-BA01-42E4-BC84-DD0A31A33727}"/>
            </c:ext>
          </c:extLst>
        </c:ser>
        <c:dLbls>
          <c:showLegendKey val="0"/>
          <c:showVal val="0"/>
          <c:showCatName val="0"/>
          <c:showSerName val="0"/>
          <c:showPercent val="0"/>
          <c:showBubbleSize val="0"/>
        </c:dLbls>
        <c:gapWidth val="300"/>
        <c:overlap val="100"/>
        <c:axId val="445673952"/>
        <c:axId val="445674280"/>
      </c:barChart>
      <c:catAx>
        <c:axId val="445673952"/>
        <c:scaling>
          <c:orientation val="minMax"/>
        </c:scaling>
        <c:delete val="0"/>
        <c:axPos val="b"/>
        <c:numFmt formatCode="General" sourceLinked="1"/>
        <c:majorTickMark val="none"/>
        <c:minorTickMark val="none"/>
        <c:tickLblPos val="low"/>
        <c:spPr>
          <a:noFill/>
          <a:ln w="12700" cap="flat" cmpd="sng" algn="ctr">
            <a:solidFill>
              <a:schemeClr val="accent2">
                <a:lumMod val="20000"/>
                <a:lumOff val="80000"/>
              </a:schemeClr>
            </a:solidFill>
            <a:prstDash val="solid"/>
            <a:round/>
          </a:ln>
          <a:effectLst/>
        </c:spPr>
        <c:txPr>
          <a:bodyPr rot="-60000000" spcFirstLastPara="1" vertOverflow="ellipsis" vert="horz"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da-DK"/>
          </a:p>
        </c:txPr>
        <c:crossAx val="445674280"/>
        <c:crosses val="autoZero"/>
        <c:auto val="1"/>
        <c:lblAlgn val="ctr"/>
        <c:lblOffset val="100"/>
        <c:noMultiLvlLbl val="0"/>
      </c:catAx>
      <c:valAx>
        <c:axId val="445674280"/>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0" spcFirstLastPara="1" vertOverflow="ellipsis" wrap="square" anchor="ctr" anchorCtr="1"/>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r>
                  <a:rPr lang="en-US" sz="900"/>
                  <a:t>Mio. kr.</a:t>
                </a:r>
              </a:p>
            </c:rich>
          </c:tx>
          <c:layout>
            <c:manualLayout>
              <c:xMode val="edge"/>
              <c:yMode val="edge"/>
              <c:x val="4.4667775506091172E-3"/>
              <c:y val="1.7386361736631083E-5"/>
            </c:manualLayout>
          </c:layout>
          <c:overlay val="0"/>
          <c:spPr>
            <a:noFill/>
            <a:ln>
              <a:noFill/>
            </a:ln>
            <a:effectLst/>
          </c:spPr>
          <c:txPr>
            <a:bodyPr rot="0" spcFirstLastPara="1" vertOverflow="ellipsis" wrap="square" anchor="ctr" anchorCtr="1"/>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da-DK"/>
            </a:p>
          </c:txPr>
        </c:title>
        <c:numFmt formatCode="General" sourceLinked="1"/>
        <c:majorTickMark val="none"/>
        <c:minorTickMark val="none"/>
        <c:tickLblPos val="nextTo"/>
        <c:spPr>
          <a:noFill/>
          <a:ln w="9525" cap="rnd" cmpd="sng" algn="ctr">
            <a:noFill/>
            <a:prstDash val="solid"/>
            <a:round/>
          </a:ln>
          <a:effectLst/>
        </c:spPr>
        <c:txPr>
          <a:bodyPr rot="-60000000" spcFirstLastPara="1" vertOverflow="ellipsis" vert="horz"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da-DK"/>
          </a:p>
        </c:txPr>
        <c:crossAx val="445673952"/>
        <c:crosses val="autoZero"/>
        <c:crossBetween val="between"/>
      </c:valAx>
      <c:spPr>
        <a:noFill/>
        <a:ln>
          <a:noFill/>
        </a:ln>
        <a:effectLst/>
      </c:spPr>
    </c:plotArea>
    <c:legend>
      <c:legendPos val="t"/>
      <c:overlay val="1"/>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a-DK"/>
        </a:p>
      </c:txPr>
    </c:legend>
    <c:plotVisOnly val="1"/>
    <c:dispBlanksAs val="gap"/>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4.png"/><Relationship Id="rId7" Type="http://schemas.openxmlformats.org/officeDocument/2006/relationships/chart" Target="../charts/chart4.xml"/><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47625</xdr:rowOff>
    </xdr:from>
    <xdr:to>
      <xdr:col>2</xdr:col>
      <xdr:colOff>1200149</xdr:colOff>
      <xdr:row>0</xdr:row>
      <xdr:rowOff>524740</xdr:rowOff>
    </xdr:to>
    <xdr:pic>
      <xdr:nvPicPr>
        <xdr:cNvPr id="4" name="g0+J/Xhz78jw0/qGEagnxg==" descr="s_0_##md_0_model_scenario-assumptions|md_2_scenarios_start|md_2_start_0_1#_______#md_0_model_scenario-assumptions__logo#s_2_rLogo">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361950" y="47625"/>
          <a:ext cx="1257299" cy="277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xdr:row>
      <xdr:rowOff>152277</xdr:rowOff>
    </xdr:from>
    <xdr:to>
      <xdr:col>14</xdr:col>
      <xdr:colOff>0</xdr:colOff>
      <xdr:row>1</xdr:row>
      <xdr:rowOff>426597</xdr:rowOff>
    </xdr:to>
    <xdr:sp macro="" textlink="">
      <xdr:nvSpPr>
        <xdr:cNvPr id="3" name="svg_title">
          <a:extLst>
            <a:ext uri="{FF2B5EF4-FFF2-40B4-BE49-F238E27FC236}">
              <a16:creationId xmlns:a16="http://schemas.microsoft.com/office/drawing/2014/main" id="{00000000-0008-0000-0200-000003000000}"/>
            </a:ext>
          </a:extLst>
        </xdr:cNvPr>
        <xdr:cNvSpPr/>
      </xdr:nvSpPr>
      <xdr:spPr>
        <a:xfrm>
          <a:off x="8743950" y="0"/>
          <a:ext cx="328373" cy="0"/>
        </a:xfrm>
        <a:custGeom>
          <a:avLst/>
          <a:gdLst>
            <a:gd name="connsiteX0" fmla="*/ 4998043 w 6662057"/>
            <a:gd name="connsiteY0" fmla="*/ 3332528 h 6662057"/>
            <a:gd name="connsiteX1" fmla="*/ 4959007 w 6662057"/>
            <a:gd name="connsiteY1" fmla="*/ 3432285 h 6662057"/>
            <a:gd name="connsiteX2" fmla="*/ 3571078 w 6662057"/>
            <a:gd name="connsiteY2" fmla="*/ 4820214 h 6662057"/>
            <a:gd name="connsiteX3" fmla="*/ 3471321 w 6662057"/>
            <a:gd name="connsiteY3" fmla="*/ 4859250 h 6662057"/>
            <a:gd name="connsiteX4" fmla="*/ 3373732 w 6662057"/>
            <a:gd name="connsiteY4" fmla="*/ 4818046 h 6662057"/>
            <a:gd name="connsiteX5" fmla="*/ 3332528 w 6662057"/>
            <a:gd name="connsiteY5" fmla="*/ 4720457 h 6662057"/>
            <a:gd name="connsiteX6" fmla="*/ 3332528 w 6662057"/>
            <a:gd name="connsiteY6" fmla="*/ 3887700 h 6662057"/>
            <a:gd name="connsiteX7" fmla="*/ 1805807 w 6662057"/>
            <a:gd name="connsiteY7" fmla="*/ 3887700 h 6662057"/>
            <a:gd name="connsiteX8" fmla="*/ 1708218 w 6662057"/>
            <a:gd name="connsiteY8" fmla="*/ 3846495 h 6662057"/>
            <a:gd name="connsiteX9" fmla="*/ 1667014 w 6662057"/>
            <a:gd name="connsiteY9" fmla="*/ 3748907 h 6662057"/>
            <a:gd name="connsiteX10" fmla="*/ 1667014 w 6662057"/>
            <a:gd name="connsiteY10" fmla="*/ 2916150 h 6662057"/>
            <a:gd name="connsiteX11" fmla="*/ 1708218 w 6662057"/>
            <a:gd name="connsiteY11" fmla="*/ 2818561 h 6662057"/>
            <a:gd name="connsiteX12" fmla="*/ 1805807 w 6662057"/>
            <a:gd name="connsiteY12" fmla="*/ 2777357 h 6662057"/>
            <a:gd name="connsiteX13" fmla="*/ 3332528 w 6662057"/>
            <a:gd name="connsiteY13" fmla="*/ 2777357 h 6662057"/>
            <a:gd name="connsiteX14" fmla="*/ 3332528 w 6662057"/>
            <a:gd name="connsiteY14" fmla="*/ 1944599 h 6662057"/>
            <a:gd name="connsiteX15" fmla="*/ 3371564 w 6662057"/>
            <a:gd name="connsiteY15" fmla="*/ 1844842 h 6662057"/>
            <a:gd name="connsiteX16" fmla="*/ 3471321 w 6662057"/>
            <a:gd name="connsiteY16" fmla="*/ 1805807 h 6662057"/>
            <a:gd name="connsiteX17" fmla="*/ 3575416 w 6662057"/>
            <a:gd name="connsiteY17" fmla="*/ 1849179 h 6662057"/>
            <a:gd name="connsiteX18" fmla="*/ 4959007 w 6662057"/>
            <a:gd name="connsiteY18" fmla="*/ 3232771 h 6662057"/>
            <a:gd name="connsiteX19" fmla="*/ 4998043 w 6662057"/>
            <a:gd name="connsiteY19" fmla="*/ 3332528 h 6662057"/>
            <a:gd name="connsiteX20" fmla="*/ 5692007 w 6662057"/>
            <a:gd name="connsiteY20" fmla="*/ 3332528 h 6662057"/>
            <a:gd name="connsiteX21" fmla="*/ 5375386 w 6662057"/>
            <a:gd name="connsiteY21" fmla="*/ 2148452 h 6662057"/>
            <a:gd name="connsiteX22" fmla="*/ 4516605 w 6662057"/>
            <a:gd name="connsiteY22" fmla="*/ 1289671 h 6662057"/>
            <a:gd name="connsiteX23" fmla="*/ 3332528 w 6662057"/>
            <a:gd name="connsiteY23" fmla="*/ 973049 h 6662057"/>
            <a:gd name="connsiteX24" fmla="*/ 2148452 w 6662057"/>
            <a:gd name="connsiteY24" fmla="*/ 1289671 h 6662057"/>
            <a:gd name="connsiteX25" fmla="*/ 1289671 w 6662057"/>
            <a:gd name="connsiteY25" fmla="*/ 2148452 h 6662057"/>
            <a:gd name="connsiteX26" fmla="*/ 973049 w 6662057"/>
            <a:gd name="connsiteY26" fmla="*/ 3332528 h 6662057"/>
            <a:gd name="connsiteX27" fmla="*/ 1289671 w 6662057"/>
            <a:gd name="connsiteY27" fmla="*/ 4516605 h 6662057"/>
            <a:gd name="connsiteX28" fmla="*/ 2148452 w 6662057"/>
            <a:gd name="connsiteY28" fmla="*/ 5375386 h 6662057"/>
            <a:gd name="connsiteX29" fmla="*/ 3332528 w 6662057"/>
            <a:gd name="connsiteY29" fmla="*/ 5692007 h 6662057"/>
            <a:gd name="connsiteX30" fmla="*/ 4516605 w 6662057"/>
            <a:gd name="connsiteY30" fmla="*/ 5375386 h 6662057"/>
            <a:gd name="connsiteX31" fmla="*/ 5375386 w 6662057"/>
            <a:gd name="connsiteY31" fmla="*/ 4516605 h 6662057"/>
            <a:gd name="connsiteX32" fmla="*/ 5692007 w 6662057"/>
            <a:gd name="connsiteY32" fmla="*/ 3332528 h 6662057"/>
            <a:gd name="connsiteX33" fmla="*/ 6663557 w 6662057"/>
            <a:gd name="connsiteY33" fmla="*/ 3332528 h 6662057"/>
            <a:gd name="connsiteX34" fmla="*/ 6216817 w 6662057"/>
            <a:gd name="connsiteY34" fmla="*/ 5004548 h 6662057"/>
            <a:gd name="connsiteX35" fmla="*/ 5004548 w 6662057"/>
            <a:gd name="connsiteY35" fmla="*/ 6216817 h 6662057"/>
            <a:gd name="connsiteX36" fmla="*/ 3332528 w 6662057"/>
            <a:gd name="connsiteY36" fmla="*/ 6663557 h 6662057"/>
            <a:gd name="connsiteX37" fmla="*/ 1660508 w 6662057"/>
            <a:gd name="connsiteY37" fmla="*/ 6216817 h 6662057"/>
            <a:gd name="connsiteX38" fmla="*/ 448239 w 6662057"/>
            <a:gd name="connsiteY38" fmla="*/ 5004548 h 6662057"/>
            <a:gd name="connsiteX39" fmla="*/ 1499 w 6662057"/>
            <a:gd name="connsiteY39" fmla="*/ 3332528 h 6662057"/>
            <a:gd name="connsiteX40" fmla="*/ 448239 w 6662057"/>
            <a:gd name="connsiteY40" fmla="*/ 1660508 h 6662057"/>
            <a:gd name="connsiteX41" fmla="*/ 1660508 w 6662057"/>
            <a:gd name="connsiteY41" fmla="*/ 448239 h 6662057"/>
            <a:gd name="connsiteX42" fmla="*/ 3332528 w 6662057"/>
            <a:gd name="connsiteY42" fmla="*/ 1499 h 6662057"/>
            <a:gd name="connsiteX43" fmla="*/ 5004548 w 6662057"/>
            <a:gd name="connsiteY43" fmla="*/ 448239 h 6662057"/>
            <a:gd name="connsiteX44" fmla="*/ 6216817 w 6662057"/>
            <a:gd name="connsiteY44" fmla="*/ 1660508 h 6662057"/>
            <a:gd name="connsiteX45" fmla="*/ 6663557 w 6662057"/>
            <a:gd name="connsiteY45" fmla="*/ 3332528 h 6662057"/>
            <a:gd name="connsiteX0" fmla="*/ 4996545 w 6662058"/>
            <a:gd name="connsiteY0" fmla="*/ 3331030 h 6662058"/>
            <a:gd name="connsiteX1" fmla="*/ 4957509 w 6662058"/>
            <a:gd name="connsiteY1" fmla="*/ 3430787 h 6662058"/>
            <a:gd name="connsiteX2" fmla="*/ 3569580 w 6662058"/>
            <a:gd name="connsiteY2" fmla="*/ 4818716 h 6662058"/>
            <a:gd name="connsiteX3" fmla="*/ 3469823 w 6662058"/>
            <a:gd name="connsiteY3" fmla="*/ 4857752 h 6662058"/>
            <a:gd name="connsiteX4" fmla="*/ 3372234 w 6662058"/>
            <a:gd name="connsiteY4" fmla="*/ 4816548 h 6662058"/>
            <a:gd name="connsiteX5" fmla="*/ 3331030 w 6662058"/>
            <a:gd name="connsiteY5" fmla="*/ 4718959 h 6662058"/>
            <a:gd name="connsiteX6" fmla="*/ 3331030 w 6662058"/>
            <a:gd name="connsiteY6" fmla="*/ 3886202 h 6662058"/>
            <a:gd name="connsiteX7" fmla="*/ 1804309 w 6662058"/>
            <a:gd name="connsiteY7" fmla="*/ 3886202 h 6662058"/>
            <a:gd name="connsiteX8" fmla="*/ 1706720 w 6662058"/>
            <a:gd name="connsiteY8" fmla="*/ 3844997 h 6662058"/>
            <a:gd name="connsiteX9" fmla="*/ 1665516 w 6662058"/>
            <a:gd name="connsiteY9" fmla="*/ 3747409 h 6662058"/>
            <a:gd name="connsiteX10" fmla="*/ 1665516 w 6662058"/>
            <a:gd name="connsiteY10" fmla="*/ 2914652 h 6662058"/>
            <a:gd name="connsiteX11" fmla="*/ 1706720 w 6662058"/>
            <a:gd name="connsiteY11" fmla="*/ 2817063 h 6662058"/>
            <a:gd name="connsiteX12" fmla="*/ 1804309 w 6662058"/>
            <a:gd name="connsiteY12" fmla="*/ 2775859 h 6662058"/>
            <a:gd name="connsiteX13" fmla="*/ 3331030 w 6662058"/>
            <a:gd name="connsiteY13" fmla="*/ 2775859 h 6662058"/>
            <a:gd name="connsiteX14" fmla="*/ 3331030 w 6662058"/>
            <a:gd name="connsiteY14" fmla="*/ 1943101 h 6662058"/>
            <a:gd name="connsiteX15" fmla="*/ 3370066 w 6662058"/>
            <a:gd name="connsiteY15" fmla="*/ 1843344 h 6662058"/>
            <a:gd name="connsiteX16" fmla="*/ 3469823 w 6662058"/>
            <a:gd name="connsiteY16" fmla="*/ 1804309 h 6662058"/>
            <a:gd name="connsiteX17" fmla="*/ 3573918 w 6662058"/>
            <a:gd name="connsiteY17" fmla="*/ 1847681 h 6662058"/>
            <a:gd name="connsiteX18" fmla="*/ 4957509 w 6662058"/>
            <a:gd name="connsiteY18" fmla="*/ 3231273 h 6662058"/>
            <a:gd name="connsiteX19" fmla="*/ 4996545 w 6662058"/>
            <a:gd name="connsiteY19" fmla="*/ 3331030 h 6662058"/>
            <a:gd name="connsiteX20" fmla="*/ 5690509 w 6662058"/>
            <a:gd name="connsiteY20" fmla="*/ 3331030 h 6662058"/>
            <a:gd name="connsiteX21" fmla="*/ 5373888 w 6662058"/>
            <a:gd name="connsiteY21" fmla="*/ 2146954 h 6662058"/>
            <a:gd name="connsiteX22" fmla="*/ 4769560 w 6662058"/>
            <a:gd name="connsiteY22" fmla="*/ 871794 h 6662058"/>
            <a:gd name="connsiteX23" fmla="*/ 3331030 w 6662058"/>
            <a:gd name="connsiteY23" fmla="*/ 971551 h 6662058"/>
            <a:gd name="connsiteX24" fmla="*/ 2146954 w 6662058"/>
            <a:gd name="connsiteY24" fmla="*/ 1288173 h 6662058"/>
            <a:gd name="connsiteX25" fmla="*/ 1288173 w 6662058"/>
            <a:gd name="connsiteY25" fmla="*/ 2146954 h 6662058"/>
            <a:gd name="connsiteX26" fmla="*/ 971551 w 6662058"/>
            <a:gd name="connsiteY26" fmla="*/ 3331030 h 6662058"/>
            <a:gd name="connsiteX27" fmla="*/ 1288173 w 6662058"/>
            <a:gd name="connsiteY27" fmla="*/ 4515107 h 6662058"/>
            <a:gd name="connsiteX28" fmla="*/ 2146954 w 6662058"/>
            <a:gd name="connsiteY28" fmla="*/ 5373888 h 6662058"/>
            <a:gd name="connsiteX29" fmla="*/ 3331030 w 6662058"/>
            <a:gd name="connsiteY29" fmla="*/ 5690509 h 6662058"/>
            <a:gd name="connsiteX30" fmla="*/ 4515107 w 6662058"/>
            <a:gd name="connsiteY30" fmla="*/ 5373888 h 6662058"/>
            <a:gd name="connsiteX31" fmla="*/ 5373888 w 6662058"/>
            <a:gd name="connsiteY31" fmla="*/ 4515107 h 6662058"/>
            <a:gd name="connsiteX32" fmla="*/ 5690509 w 6662058"/>
            <a:gd name="connsiteY32" fmla="*/ 3331030 h 6662058"/>
            <a:gd name="connsiteX33" fmla="*/ 6662059 w 6662058"/>
            <a:gd name="connsiteY33" fmla="*/ 3331030 h 6662058"/>
            <a:gd name="connsiteX34" fmla="*/ 6215319 w 6662058"/>
            <a:gd name="connsiteY34" fmla="*/ 5003050 h 6662058"/>
            <a:gd name="connsiteX35" fmla="*/ 5003050 w 6662058"/>
            <a:gd name="connsiteY35" fmla="*/ 6215319 h 6662058"/>
            <a:gd name="connsiteX36" fmla="*/ 3331030 w 6662058"/>
            <a:gd name="connsiteY36" fmla="*/ 6662059 h 6662058"/>
            <a:gd name="connsiteX37" fmla="*/ 1659010 w 6662058"/>
            <a:gd name="connsiteY37" fmla="*/ 6215319 h 6662058"/>
            <a:gd name="connsiteX38" fmla="*/ 446741 w 6662058"/>
            <a:gd name="connsiteY38" fmla="*/ 5003050 h 6662058"/>
            <a:gd name="connsiteX39" fmla="*/ 1 w 6662058"/>
            <a:gd name="connsiteY39" fmla="*/ 3331030 h 6662058"/>
            <a:gd name="connsiteX40" fmla="*/ 446741 w 6662058"/>
            <a:gd name="connsiteY40" fmla="*/ 1659010 h 6662058"/>
            <a:gd name="connsiteX41" fmla="*/ 1659010 w 6662058"/>
            <a:gd name="connsiteY41" fmla="*/ 446741 h 6662058"/>
            <a:gd name="connsiteX42" fmla="*/ 3331030 w 6662058"/>
            <a:gd name="connsiteY42" fmla="*/ 1 h 6662058"/>
            <a:gd name="connsiteX43" fmla="*/ 5003050 w 6662058"/>
            <a:gd name="connsiteY43" fmla="*/ 446741 h 6662058"/>
            <a:gd name="connsiteX44" fmla="*/ 6215319 w 6662058"/>
            <a:gd name="connsiteY44" fmla="*/ 1659010 h 6662058"/>
            <a:gd name="connsiteX45" fmla="*/ 6662059 w 6662058"/>
            <a:gd name="connsiteY45" fmla="*/ 3331030 h 6662058"/>
            <a:gd name="connsiteX0" fmla="*/ 4996544 w 6662058"/>
            <a:gd name="connsiteY0" fmla="*/ 3331029 h 6662058"/>
            <a:gd name="connsiteX1" fmla="*/ 4957508 w 6662058"/>
            <a:gd name="connsiteY1" fmla="*/ 3430786 h 6662058"/>
            <a:gd name="connsiteX2" fmla="*/ 3569579 w 6662058"/>
            <a:gd name="connsiteY2" fmla="*/ 4818715 h 6662058"/>
            <a:gd name="connsiteX3" fmla="*/ 3469822 w 6662058"/>
            <a:gd name="connsiteY3" fmla="*/ 4857751 h 6662058"/>
            <a:gd name="connsiteX4" fmla="*/ 3372233 w 6662058"/>
            <a:gd name="connsiteY4" fmla="*/ 4816547 h 6662058"/>
            <a:gd name="connsiteX5" fmla="*/ 3331029 w 6662058"/>
            <a:gd name="connsiteY5" fmla="*/ 4718958 h 6662058"/>
            <a:gd name="connsiteX6" fmla="*/ 3331029 w 6662058"/>
            <a:gd name="connsiteY6" fmla="*/ 3886201 h 6662058"/>
            <a:gd name="connsiteX7" fmla="*/ 1804308 w 6662058"/>
            <a:gd name="connsiteY7" fmla="*/ 3886201 h 6662058"/>
            <a:gd name="connsiteX8" fmla="*/ 1706719 w 6662058"/>
            <a:gd name="connsiteY8" fmla="*/ 3844996 h 6662058"/>
            <a:gd name="connsiteX9" fmla="*/ 1665515 w 6662058"/>
            <a:gd name="connsiteY9" fmla="*/ 3747408 h 6662058"/>
            <a:gd name="connsiteX10" fmla="*/ 1665515 w 6662058"/>
            <a:gd name="connsiteY10" fmla="*/ 2914651 h 6662058"/>
            <a:gd name="connsiteX11" fmla="*/ 1706719 w 6662058"/>
            <a:gd name="connsiteY11" fmla="*/ 2817062 h 6662058"/>
            <a:gd name="connsiteX12" fmla="*/ 1804308 w 6662058"/>
            <a:gd name="connsiteY12" fmla="*/ 2775858 h 6662058"/>
            <a:gd name="connsiteX13" fmla="*/ 3331029 w 6662058"/>
            <a:gd name="connsiteY13" fmla="*/ 2775858 h 6662058"/>
            <a:gd name="connsiteX14" fmla="*/ 3331029 w 6662058"/>
            <a:gd name="connsiteY14" fmla="*/ 1943100 h 6662058"/>
            <a:gd name="connsiteX15" fmla="*/ 3370065 w 6662058"/>
            <a:gd name="connsiteY15" fmla="*/ 1843343 h 6662058"/>
            <a:gd name="connsiteX16" fmla="*/ 3469822 w 6662058"/>
            <a:gd name="connsiteY16" fmla="*/ 1804308 h 6662058"/>
            <a:gd name="connsiteX17" fmla="*/ 3573917 w 6662058"/>
            <a:gd name="connsiteY17" fmla="*/ 1847680 h 6662058"/>
            <a:gd name="connsiteX18" fmla="*/ 4957508 w 6662058"/>
            <a:gd name="connsiteY18" fmla="*/ 3231272 h 6662058"/>
            <a:gd name="connsiteX19" fmla="*/ 4996544 w 6662058"/>
            <a:gd name="connsiteY19" fmla="*/ 3331029 h 6662058"/>
            <a:gd name="connsiteX20" fmla="*/ 5690508 w 6662058"/>
            <a:gd name="connsiteY20" fmla="*/ 3331029 h 6662058"/>
            <a:gd name="connsiteX21" fmla="*/ 5373887 w 6662058"/>
            <a:gd name="connsiteY21" fmla="*/ 2146953 h 6662058"/>
            <a:gd name="connsiteX22" fmla="*/ 4769559 w 6662058"/>
            <a:gd name="connsiteY22" fmla="*/ 871793 h 6662058"/>
            <a:gd name="connsiteX23" fmla="*/ 3342595 w 6662058"/>
            <a:gd name="connsiteY23" fmla="*/ 983116 h 6662058"/>
            <a:gd name="connsiteX24" fmla="*/ 2146953 w 6662058"/>
            <a:gd name="connsiteY24" fmla="*/ 1288172 h 6662058"/>
            <a:gd name="connsiteX25" fmla="*/ 1288172 w 6662058"/>
            <a:gd name="connsiteY25" fmla="*/ 2146953 h 6662058"/>
            <a:gd name="connsiteX26" fmla="*/ 971550 w 6662058"/>
            <a:gd name="connsiteY26" fmla="*/ 3331029 h 6662058"/>
            <a:gd name="connsiteX27" fmla="*/ 1288172 w 6662058"/>
            <a:gd name="connsiteY27" fmla="*/ 4515106 h 6662058"/>
            <a:gd name="connsiteX28" fmla="*/ 2146953 w 6662058"/>
            <a:gd name="connsiteY28" fmla="*/ 5373887 h 6662058"/>
            <a:gd name="connsiteX29" fmla="*/ 3331029 w 6662058"/>
            <a:gd name="connsiteY29" fmla="*/ 5690508 h 6662058"/>
            <a:gd name="connsiteX30" fmla="*/ 4515106 w 6662058"/>
            <a:gd name="connsiteY30" fmla="*/ 5373887 h 6662058"/>
            <a:gd name="connsiteX31" fmla="*/ 5373887 w 6662058"/>
            <a:gd name="connsiteY31" fmla="*/ 4515106 h 6662058"/>
            <a:gd name="connsiteX32" fmla="*/ 5690508 w 6662058"/>
            <a:gd name="connsiteY32" fmla="*/ 3331029 h 6662058"/>
            <a:gd name="connsiteX33" fmla="*/ 6662058 w 6662058"/>
            <a:gd name="connsiteY33" fmla="*/ 3331029 h 6662058"/>
            <a:gd name="connsiteX34" fmla="*/ 6215318 w 6662058"/>
            <a:gd name="connsiteY34" fmla="*/ 5003049 h 6662058"/>
            <a:gd name="connsiteX35" fmla="*/ 5003049 w 6662058"/>
            <a:gd name="connsiteY35" fmla="*/ 6215318 h 6662058"/>
            <a:gd name="connsiteX36" fmla="*/ 3331029 w 6662058"/>
            <a:gd name="connsiteY36" fmla="*/ 6662058 h 6662058"/>
            <a:gd name="connsiteX37" fmla="*/ 1659009 w 6662058"/>
            <a:gd name="connsiteY37" fmla="*/ 6215318 h 6662058"/>
            <a:gd name="connsiteX38" fmla="*/ 446740 w 6662058"/>
            <a:gd name="connsiteY38" fmla="*/ 5003049 h 6662058"/>
            <a:gd name="connsiteX39" fmla="*/ 0 w 6662058"/>
            <a:gd name="connsiteY39" fmla="*/ 3331029 h 6662058"/>
            <a:gd name="connsiteX40" fmla="*/ 446740 w 6662058"/>
            <a:gd name="connsiteY40" fmla="*/ 1659009 h 6662058"/>
            <a:gd name="connsiteX41" fmla="*/ 1659009 w 6662058"/>
            <a:gd name="connsiteY41" fmla="*/ 446740 h 6662058"/>
            <a:gd name="connsiteX42" fmla="*/ 3331029 w 6662058"/>
            <a:gd name="connsiteY42" fmla="*/ 0 h 6662058"/>
            <a:gd name="connsiteX43" fmla="*/ 5003049 w 6662058"/>
            <a:gd name="connsiteY43" fmla="*/ 446740 h 6662058"/>
            <a:gd name="connsiteX44" fmla="*/ 6215318 w 6662058"/>
            <a:gd name="connsiteY44" fmla="*/ 1659009 h 6662058"/>
            <a:gd name="connsiteX45" fmla="*/ 6662058 w 6662058"/>
            <a:gd name="connsiteY45" fmla="*/ 3331029 h 6662058"/>
            <a:gd name="connsiteX0" fmla="*/ 4996544 w 6662058"/>
            <a:gd name="connsiteY0" fmla="*/ 3331029 h 6662058"/>
            <a:gd name="connsiteX1" fmla="*/ 4957508 w 6662058"/>
            <a:gd name="connsiteY1" fmla="*/ 3430786 h 6662058"/>
            <a:gd name="connsiteX2" fmla="*/ 3569579 w 6662058"/>
            <a:gd name="connsiteY2" fmla="*/ 4818715 h 6662058"/>
            <a:gd name="connsiteX3" fmla="*/ 3469822 w 6662058"/>
            <a:gd name="connsiteY3" fmla="*/ 4857751 h 6662058"/>
            <a:gd name="connsiteX4" fmla="*/ 3372233 w 6662058"/>
            <a:gd name="connsiteY4" fmla="*/ 4816547 h 6662058"/>
            <a:gd name="connsiteX5" fmla="*/ 3331029 w 6662058"/>
            <a:gd name="connsiteY5" fmla="*/ 4718958 h 6662058"/>
            <a:gd name="connsiteX6" fmla="*/ 3331029 w 6662058"/>
            <a:gd name="connsiteY6" fmla="*/ 3886201 h 6662058"/>
            <a:gd name="connsiteX7" fmla="*/ 1804308 w 6662058"/>
            <a:gd name="connsiteY7" fmla="*/ 3886201 h 6662058"/>
            <a:gd name="connsiteX8" fmla="*/ 1706719 w 6662058"/>
            <a:gd name="connsiteY8" fmla="*/ 3844996 h 6662058"/>
            <a:gd name="connsiteX9" fmla="*/ 1665515 w 6662058"/>
            <a:gd name="connsiteY9" fmla="*/ 3747408 h 6662058"/>
            <a:gd name="connsiteX10" fmla="*/ 1665515 w 6662058"/>
            <a:gd name="connsiteY10" fmla="*/ 2914651 h 6662058"/>
            <a:gd name="connsiteX11" fmla="*/ 1706719 w 6662058"/>
            <a:gd name="connsiteY11" fmla="*/ 2817062 h 6662058"/>
            <a:gd name="connsiteX12" fmla="*/ 1804308 w 6662058"/>
            <a:gd name="connsiteY12" fmla="*/ 2775858 h 6662058"/>
            <a:gd name="connsiteX13" fmla="*/ 3331029 w 6662058"/>
            <a:gd name="connsiteY13" fmla="*/ 2775858 h 6662058"/>
            <a:gd name="connsiteX14" fmla="*/ 3331029 w 6662058"/>
            <a:gd name="connsiteY14" fmla="*/ 1943100 h 6662058"/>
            <a:gd name="connsiteX15" fmla="*/ 3370065 w 6662058"/>
            <a:gd name="connsiteY15" fmla="*/ 1843343 h 6662058"/>
            <a:gd name="connsiteX16" fmla="*/ 3469822 w 6662058"/>
            <a:gd name="connsiteY16" fmla="*/ 1804308 h 6662058"/>
            <a:gd name="connsiteX17" fmla="*/ 3573917 w 6662058"/>
            <a:gd name="connsiteY17" fmla="*/ 1847680 h 6662058"/>
            <a:gd name="connsiteX18" fmla="*/ 4957508 w 6662058"/>
            <a:gd name="connsiteY18" fmla="*/ 3231272 h 6662058"/>
            <a:gd name="connsiteX19" fmla="*/ 4996544 w 6662058"/>
            <a:gd name="connsiteY19" fmla="*/ 3331029 h 6662058"/>
            <a:gd name="connsiteX20" fmla="*/ 5690508 w 6662058"/>
            <a:gd name="connsiteY20" fmla="*/ 3331029 h 6662058"/>
            <a:gd name="connsiteX21" fmla="*/ 5373887 w 6662058"/>
            <a:gd name="connsiteY21" fmla="*/ 2146953 h 6662058"/>
            <a:gd name="connsiteX22" fmla="*/ 4769559 w 6662058"/>
            <a:gd name="connsiteY22" fmla="*/ 871793 h 6662058"/>
            <a:gd name="connsiteX23" fmla="*/ 3342595 w 6662058"/>
            <a:gd name="connsiteY23" fmla="*/ 983116 h 6662058"/>
            <a:gd name="connsiteX24" fmla="*/ 1927198 w 6662058"/>
            <a:gd name="connsiteY24" fmla="*/ 894926 h 6662058"/>
            <a:gd name="connsiteX25" fmla="*/ 1288172 w 6662058"/>
            <a:gd name="connsiteY25" fmla="*/ 2146953 h 6662058"/>
            <a:gd name="connsiteX26" fmla="*/ 971550 w 6662058"/>
            <a:gd name="connsiteY26" fmla="*/ 3331029 h 6662058"/>
            <a:gd name="connsiteX27" fmla="*/ 1288172 w 6662058"/>
            <a:gd name="connsiteY27" fmla="*/ 4515106 h 6662058"/>
            <a:gd name="connsiteX28" fmla="*/ 2146953 w 6662058"/>
            <a:gd name="connsiteY28" fmla="*/ 5373887 h 6662058"/>
            <a:gd name="connsiteX29" fmla="*/ 3331029 w 6662058"/>
            <a:gd name="connsiteY29" fmla="*/ 5690508 h 6662058"/>
            <a:gd name="connsiteX30" fmla="*/ 4515106 w 6662058"/>
            <a:gd name="connsiteY30" fmla="*/ 5373887 h 6662058"/>
            <a:gd name="connsiteX31" fmla="*/ 5373887 w 6662058"/>
            <a:gd name="connsiteY31" fmla="*/ 4515106 h 6662058"/>
            <a:gd name="connsiteX32" fmla="*/ 5690508 w 6662058"/>
            <a:gd name="connsiteY32" fmla="*/ 3331029 h 6662058"/>
            <a:gd name="connsiteX33" fmla="*/ 6662058 w 6662058"/>
            <a:gd name="connsiteY33" fmla="*/ 3331029 h 6662058"/>
            <a:gd name="connsiteX34" fmla="*/ 6215318 w 6662058"/>
            <a:gd name="connsiteY34" fmla="*/ 5003049 h 6662058"/>
            <a:gd name="connsiteX35" fmla="*/ 5003049 w 6662058"/>
            <a:gd name="connsiteY35" fmla="*/ 6215318 h 6662058"/>
            <a:gd name="connsiteX36" fmla="*/ 3331029 w 6662058"/>
            <a:gd name="connsiteY36" fmla="*/ 6662058 h 6662058"/>
            <a:gd name="connsiteX37" fmla="*/ 1659009 w 6662058"/>
            <a:gd name="connsiteY37" fmla="*/ 6215318 h 6662058"/>
            <a:gd name="connsiteX38" fmla="*/ 446740 w 6662058"/>
            <a:gd name="connsiteY38" fmla="*/ 5003049 h 6662058"/>
            <a:gd name="connsiteX39" fmla="*/ 0 w 6662058"/>
            <a:gd name="connsiteY39" fmla="*/ 3331029 h 6662058"/>
            <a:gd name="connsiteX40" fmla="*/ 446740 w 6662058"/>
            <a:gd name="connsiteY40" fmla="*/ 1659009 h 6662058"/>
            <a:gd name="connsiteX41" fmla="*/ 1659009 w 6662058"/>
            <a:gd name="connsiteY41" fmla="*/ 446740 h 6662058"/>
            <a:gd name="connsiteX42" fmla="*/ 3331029 w 6662058"/>
            <a:gd name="connsiteY42" fmla="*/ 0 h 6662058"/>
            <a:gd name="connsiteX43" fmla="*/ 5003049 w 6662058"/>
            <a:gd name="connsiteY43" fmla="*/ 446740 h 6662058"/>
            <a:gd name="connsiteX44" fmla="*/ 6215318 w 6662058"/>
            <a:gd name="connsiteY44" fmla="*/ 1659009 h 6662058"/>
            <a:gd name="connsiteX45" fmla="*/ 6662058 w 6662058"/>
            <a:gd name="connsiteY45" fmla="*/ 3331029 h 6662058"/>
            <a:gd name="connsiteX0" fmla="*/ 4996544 w 6662058"/>
            <a:gd name="connsiteY0" fmla="*/ 3331029 h 6662058"/>
            <a:gd name="connsiteX1" fmla="*/ 4957508 w 6662058"/>
            <a:gd name="connsiteY1" fmla="*/ 3430786 h 6662058"/>
            <a:gd name="connsiteX2" fmla="*/ 3569579 w 6662058"/>
            <a:gd name="connsiteY2" fmla="*/ 4818715 h 6662058"/>
            <a:gd name="connsiteX3" fmla="*/ 3469822 w 6662058"/>
            <a:gd name="connsiteY3" fmla="*/ 4857751 h 6662058"/>
            <a:gd name="connsiteX4" fmla="*/ 3372233 w 6662058"/>
            <a:gd name="connsiteY4" fmla="*/ 4816547 h 6662058"/>
            <a:gd name="connsiteX5" fmla="*/ 3331029 w 6662058"/>
            <a:gd name="connsiteY5" fmla="*/ 4718958 h 6662058"/>
            <a:gd name="connsiteX6" fmla="*/ 3331029 w 6662058"/>
            <a:gd name="connsiteY6" fmla="*/ 3886201 h 6662058"/>
            <a:gd name="connsiteX7" fmla="*/ 1804308 w 6662058"/>
            <a:gd name="connsiteY7" fmla="*/ 3886201 h 6662058"/>
            <a:gd name="connsiteX8" fmla="*/ 1706719 w 6662058"/>
            <a:gd name="connsiteY8" fmla="*/ 3844996 h 6662058"/>
            <a:gd name="connsiteX9" fmla="*/ 1665515 w 6662058"/>
            <a:gd name="connsiteY9" fmla="*/ 3747408 h 6662058"/>
            <a:gd name="connsiteX10" fmla="*/ 1665515 w 6662058"/>
            <a:gd name="connsiteY10" fmla="*/ 2914651 h 6662058"/>
            <a:gd name="connsiteX11" fmla="*/ 1706719 w 6662058"/>
            <a:gd name="connsiteY11" fmla="*/ 2817062 h 6662058"/>
            <a:gd name="connsiteX12" fmla="*/ 1804308 w 6662058"/>
            <a:gd name="connsiteY12" fmla="*/ 2775858 h 6662058"/>
            <a:gd name="connsiteX13" fmla="*/ 3331029 w 6662058"/>
            <a:gd name="connsiteY13" fmla="*/ 2775858 h 6662058"/>
            <a:gd name="connsiteX14" fmla="*/ 3331029 w 6662058"/>
            <a:gd name="connsiteY14" fmla="*/ 1943100 h 6662058"/>
            <a:gd name="connsiteX15" fmla="*/ 3370065 w 6662058"/>
            <a:gd name="connsiteY15" fmla="*/ 1843343 h 6662058"/>
            <a:gd name="connsiteX16" fmla="*/ 3469822 w 6662058"/>
            <a:gd name="connsiteY16" fmla="*/ 1804308 h 6662058"/>
            <a:gd name="connsiteX17" fmla="*/ 3573917 w 6662058"/>
            <a:gd name="connsiteY17" fmla="*/ 1847680 h 6662058"/>
            <a:gd name="connsiteX18" fmla="*/ 4957508 w 6662058"/>
            <a:gd name="connsiteY18" fmla="*/ 3231272 h 6662058"/>
            <a:gd name="connsiteX19" fmla="*/ 4996544 w 6662058"/>
            <a:gd name="connsiteY19" fmla="*/ 3331029 h 6662058"/>
            <a:gd name="connsiteX20" fmla="*/ 5690508 w 6662058"/>
            <a:gd name="connsiteY20" fmla="*/ 3331029 h 6662058"/>
            <a:gd name="connsiteX21" fmla="*/ 5373887 w 6662058"/>
            <a:gd name="connsiteY21" fmla="*/ 2146953 h 6662058"/>
            <a:gd name="connsiteX22" fmla="*/ 4769559 w 6662058"/>
            <a:gd name="connsiteY22" fmla="*/ 871793 h 6662058"/>
            <a:gd name="connsiteX23" fmla="*/ 3342595 w 6662058"/>
            <a:gd name="connsiteY23" fmla="*/ 983116 h 6662058"/>
            <a:gd name="connsiteX24" fmla="*/ 1927198 w 6662058"/>
            <a:gd name="connsiteY24" fmla="*/ 894926 h 6662058"/>
            <a:gd name="connsiteX25" fmla="*/ 1288172 w 6662058"/>
            <a:gd name="connsiteY25" fmla="*/ 2146953 h 6662058"/>
            <a:gd name="connsiteX26" fmla="*/ 508907 w 6662058"/>
            <a:gd name="connsiteY26" fmla="*/ 3331030 h 6662058"/>
            <a:gd name="connsiteX27" fmla="*/ 1288172 w 6662058"/>
            <a:gd name="connsiteY27" fmla="*/ 4515106 h 6662058"/>
            <a:gd name="connsiteX28" fmla="*/ 2146953 w 6662058"/>
            <a:gd name="connsiteY28" fmla="*/ 5373887 h 6662058"/>
            <a:gd name="connsiteX29" fmla="*/ 3331029 w 6662058"/>
            <a:gd name="connsiteY29" fmla="*/ 5690508 h 6662058"/>
            <a:gd name="connsiteX30" fmla="*/ 4515106 w 6662058"/>
            <a:gd name="connsiteY30" fmla="*/ 5373887 h 6662058"/>
            <a:gd name="connsiteX31" fmla="*/ 5373887 w 6662058"/>
            <a:gd name="connsiteY31" fmla="*/ 4515106 h 6662058"/>
            <a:gd name="connsiteX32" fmla="*/ 5690508 w 6662058"/>
            <a:gd name="connsiteY32" fmla="*/ 3331029 h 6662058"/>
            <a:gd name="connsiteX33" fmla="*/ 6662058 w 6662058"/>
            <a:gd name="connsiteY33" fmla="*/ 3331029 h 6662058"/>
            <a:gd name="connsiteX34" fmla="*/ 6215318 w 6662058"/>
            <a:gd name="connsiteY34" fmla="*/ 5003049 h 6662058"/>
            <a:gd name="connsiteX35" fmla="*/ 5003049 w 6662058"/>
            <a:gd name="connsiteY35" fmla="*/ 6215318 h 6662058"/>
            <a:gd name="connsiteX36" fmla="*/ 3331029 w 6662058"/>
            <a:gd name="connsiteY36" fmla="*/ 6662058 h 6662058"/>
            <a:gd name="connsiteX37" fmla="*/ 1659009 w 6662058"/>
            <a:gd name="connsiteY37" fmla="*/ 6215318 h 6662058"/>
            <a:gd name="connsiteX38" fmla="*/ 446740 w 6662058"/>
            <a:gd name="connsiteY38" fmla="*/ 5003049 h 6662058"/>
            <a:gd name="connsiteX39" fmla="*/ 0 w 6662058"/>
            <a:gd name="connsiteY39" fmla="*/ 3331029 h 6662058"/>
            <a:gd name="connsiteX40" fmla="*/ 446740 w 6662058"/>
            <a:gd name="connsiteY40" fmla="*/ 1659009 h 6662058"/>
            <a:gd name="connsiteX41" fmla="*/ 1659009 w 6662058"/>
            <a:gd name="connsiteY41" fmla="*/ 446740 h 6662058"/>
            <a:gd name="connsiteX42" fmla="*/ 3331029 w 6662058"/>
            <a:gd name="connsiteY42" fmla="*/ 0 h 6662058"/>
            <a:gd name="connsiteX43" fmla="*/ 5003049 w 6662058"/>
            <a:gd name="connsiteY43" fmla="*/ 446740 h 6662058"/>
            <a:gd name="connsiteX44" fmla="*/ 6215318 w 6662058"/>
            <a:gd name="connsiteY44" fmla="*/ 1659009 h 6662058"/>
            <a:gd name="connsiteX45" fmla="*/ 6662058 w 6662058"/>
            <a:gd name="connsiteY45" fmla="*/ 3331029 h 6662058"/>
            <a:gd name="connsiteX0" fmla="*/ 4996544 w 6662058"/>
            <a:gd name="connsiteY0" fmla="*/ 3331029 h 6662058"/>
            <a:gd name="connsiteX1" fmla="*/ 4957508 w 6662058"/>
            <a:gd name="connsiteY1" fmla="*/ 3430786 h 6662058"/>
            <a:gd name="connsiteX2" fmla="*/ 3569579 w 6662058"/>
            <a:gd name="connsiteY2" fmla="*/ 4818715 h 6662058"/>
            <a:gd name="connsiteX3" fmla="*/ 3469822 w 6662058"/>
            <a:gd name="connsiteY3" fmla="*/ 4857751 h 6662058"/>
            <a:gd name="connsiteX4" fmla="*/ 3372233 w 6662058"/>
            <a:gd name="connsiteY4" fmla="*/ 4816547 h 6662058"/>
            <a:gd name="connsiteX5" fmla="*/ 3331029 w 6662058"/>
            <a:gd name="connsiteY5" fmla="*/ 4718958 h 6662058"/>
            <a:gd name="connsiteX6" fmla="*/ 3331029 w 6662058"/>
            <a:gd name="connsiteY6" fmla="*/ 3886201 h 6662058"/>
            <a:gd name="connsiteX7" fmla="*/ 1804308 w 6662058"/>
            <a:gd name="connsiteY7" fmla="*/ 3886201 h 6662058"/>
            <a:gd name="connsiteX8" fmla="*/ 1706719 w 6662058"/>
            <a:gd name="connsiteY8" fmla="*/ 3844996 h 6662058"/>
            <a:gd name="connsiteX9" fmla="*/ 1665515 w 6662058"/>
            <a:gd name="connsiteY9" fmla="*/ 3747408 h 6662058"/>
            <a:gd name="connsiteX10" fmla="*/ 1665515 w 6662058"/>
            <a:gd name="connsiteY10" fmla="*/ 2914651 h 6662058"/>
            <a:gd name="connsiteX11" fmla="*/ 1706719 w 6662058"/>
            <a:gd name="connsiteY11" fmla="*/ 2817062 h 6662058"/>
            <a:gd name="connsiteX12" fmla="*/ 1804308 w 6662058"/>
            <a:gd name="connsiteY12" fmla="*/ 2775858 h 6662058"/>
            <a:gd name="connsiteX13" fmla="*/ 3331029 w 6662058"/>
            <a:gd name="connsiteY13" fmla="*/ 2775858 h 6662058"/>
            <a:gd name="connsiteX14" fmla="*/ 3331029 w 6662058"/>
            <a:gd name="connsiteY14" fmla="*/ 1943100 h 6662058"/>
            <a:gd name="connsiteX15" fmla="*/ 3370065 w 6662058"/>
            <a:gd name="connsiteY15" fmla="*/ 1843343 h 6662058"/>
            <a:gd name="connsiteX16" fmla="*/ 3469822 w 6662058"/>
            <a:gd name="connsiteY16" fmla="*/ 1804308 h 6662058"/>
            <a:gd name="connsiteX17" fmla="*/ 3573917 w 6662058"/>
            <a:gd name="connsiteY17" fmla="*/ 1847680 h 6662058"/>
            <a:gd name="connsiteX18" fmla="*/ 4957508 w 6662058"/>
            <a:gd name="connsiteY18" fmla="*/ 3231272 h 6662058"/>
            <a:gd name="connsiteX19" fmla="*/ 4996544 w 6662058"/>
            <a:gd name="connsiteY19" fmla="*/ 3331029 h 6662058"/>
            <a:gd name="connsiteX20" fmla="*/ 5690508 w 6662058"/>
            <a:gd name="connsiteY20" fmla="*/ 3331029 h 6662058"/>
            <a:gd name="connsiteX21" fmla="*/ 5373887 w 6662058"/>
            <a:gd name="connsiteY21" fmla="*/ 2146953 h 6662058"/>
            <a:gd name="connsiteX22" fmla="*/ 4769559 w 6662058"/>
            <a:gd name="connsiteY22" fmla="*/ 871793 h 6662058"/>
            <a:gd name="connsiteX23" fmla="*/ 3342595 w 6662058"/>
            <a:gd name="connsiteY23" fmla="*/ 983116 h 6662058"/>
            <a:gd name="connsiteX24" fmla="*/ 1927198 w 6662058"/>
            <a:gd name="connsiteY24" fmla="*/ 894926 h 6662058"/>
            <a:gd name="connsiteX25" fmla="*/ 1288172 w 6662058"/>
            <a:gd name="connsiteY25" fmla="*/ 2146953 h 6662058"/>
            <a:gd name="connsiteX26" fmla="*/ 508907 w 6662058"/>
            <a:gd name="connsiteY26" fmla="*/ 3331030 h 6662058"/>
            <a:gd name="connsiteX27" fmla="*/ 1288172 w 6662058"/>
            <a:gd name="connsiteY27" fmla="*/ 4515106 h 6662058"/>
            <a:gd name="connsiteX28" fmla="*/ 1927198 w 6662058"/>
            <a:gd name="connsiteY28" fmla="*/ 5790265 h 6662058"/>
            <a:gd name="connsiteX29" fmla="*/ 3331029 w 6662058"/>
            <a:gd name="connsiteY29" fmla="*/ 5690508 h 6662058"/>
            <a:gd name="connsiteX30" fmla="*/ 4515106 w 6662058"/>
            <a:gd name="connsiteY30" fmla="*/ 5373887 h 6662058"/>
            <a:gd name="connsiteX31" fmla="*/ 5373887 w 6662058"/>
            <a:gd name="connsiteY31" fmla="*/ 4515106 h 6662058"/>
            <a:gd name="connsiteX32" fmla="*/ 5690508 w 6662058"/>
            <a:gd name="connsiteY32" fmla="*/ 3331029 h 6662058"/>
            <a:gd name="connsiteX33" fmla="*/ 6662058 w 6662058"/>
            <a:gd name="connsiteY33" fmla="*/ 3331029 h 6662058"/>
            <a:gd name="connsiteX34" fmla="*/ 6215318 w 6662058"/>
            <a:gd name="connsiteY34" fmla="*/ 5003049 h 6662058"/>
            <a:gd name="connsiteX35" fmla="*/ 5003049 w 6662058"/>
            <a:gd name="connsiteY35" fmla="*/ 6215318 h 6662058"/>
            <a:gd name="connsiteX36" fmla="*/ 3331029 w 6662058"/>
            <a:gd name="connsiteY36" fmla="*/ 6662058 h 6662058"/>
            <a:gd name="connsiteX37" fmla="*/ 1659009 w 6662058"/>
            <a:gd name="connsiteY37" fmla="*/ 6215318 h 6662058"/>
            <a:gd name="connsiteX38" fmla="*/ 446740 w 6662058"/>
            <a:gd name="connsiteY38" fmla="*/ 5003049 h 6662058"/>
            <a:gd name="connsiteX39" fmla="*/ 0 w 6662058"/>
            <a:gd name="connsiteY39" fmla="*/ 3331029 h 6662058"/>
            <a:gd name="connsiteX40" fmla="*/ 446740 w 6662058"/>
            <a:gd name="connsiteY40" fmla="*/ 1659009 h 6662058"/>
            <a:gd name="connsiteX41" fmla="*/ 1659009 w 6662058"/>
            <a:gd name="connsiteY41" fmla="*/ 446740 h 6662058"/>
            <a:gd name="connsiteX42" fmla="*/ 3331029 w 6662058"/>
            <a:gd name="connsiteY42" fmla="*/ 0 h 6662058"/>
            <a:gd name="connsiteX43" fmla="*/ 5003049 w 6662058"/>
            <a:gd name="connsiteY43" fmla="*/ 446740 h 6662058"/>
            <a:gd name="connsiteX44" fmla="*/ 6215318 w 6662058"/>
            <a:gd name="connsiteY44" fmla="*/ 1659009 h 6662058"/>
            <a:gd name="connsiteX45" fmla="*/ 6662058 w 6662058"/>
            <a:gd name="connsiteY45" fmla="*/ 3331029 h 6662058"/>
            <a:gd name="connsiteX0" fmla="*/ 4996544 w 6662058"/>
            <a:gd name="connsiteY0" fmla="*/ 3331029 h 6662058"/>
            <a:gd name="connsiteX1" fmla="*/ 4957508 w 6662058"/>
            <a:gd name="connsiteY1" fmla="*/ 3430786 h 6662058"/>
            <a:gd name="connsiteX2" fmla="*/ 3569579 w 6662058"/>
            <a:gd name="connsiteY2" fmla="*/ 4818715 h 6662058"/>
            <a:gd name="connsiteX3" fmla="*/ 3469822 w 6662058"/>
            <a:gd name="connsiteY3" fmla="*/ 4857751 h 6662058"/>
            <a:gd name="connsiteX4" fmla="*/ 3372233 w 6662058"/>
            <a:gd name="connsiteY4" fmla="*/ 4816547 h 6662058"/>
            <a:gd name="connsiteX5" fmla="*/ 3331029 w 6662058"/>
            <a:gd name="connsiteY5" fmla="*/ 4718958 h 6662058"/>
            <a:gd name="connsiteX6" fmla="*/ 3331029 w 6662058"/>
            <a:gd name="connsiteY6" fmla="*/ 3886201 h 6662058"/>
            <a:gd name="connsiteX7" fmla="*/ 1804308 w 6662058"/>
            <a:gd name="connsiteY7" fmla="*/ 3886201 h 6662058"/>
            <a:gd name="connsiteX8" fmla="*/ 1706719 w 6662058"/>
            <a:gd name="connsiteY8" fmla="*/ 3844996 h 6662058"/>
            <a:gd name="connsiteX9" fmla="*/ 1665515 w 6662058"/>
            <a:gd name="connsiteY9" fmla="*/ 3747408 h 6662058"/>
            <a:gd name="connsiteX10" fmla="*/ 1665515 w 6662058"/>
            <a:gd name="connsiteY10" fmla="*/ 2914651 h 6662058"/>
            <a:gd name="connsiteX11" fmla="*/ 1706719 w 6662058"/>
            <a:gd name="connsiteY11" fmla="*/ 2817062 h 6662058"/>
            <a:gd name="connsiteX12" fmla="*/ 1804308 w 6662058"/>
            <a:gd name="connsiteY12" fmla="*/ 2775858 h 6662058"/>
            <a:gd name="connsiteX13" fmla="*/ 3331029 w 6662058"/>
            <a:gd name="connsiteY13" fmla="*/ 2775858 h 6662058"/>
            <a:gd name="connsiteX14" fmla="*/ 3331029 w 6662058"/>
            <a:gd name="connsiteY14" fmla="*/ 1943100 h 6662058"/>
            <a:gd name="connsiteX15" fmla="*/ 3370065 w 6662058"/>
            <a:gd name="connsiteY15" fmla="*/ 1843343 h 6662058"/>
            <a:gd name="connsiteX16" fmla="*/ 3469822 w 6662058"/>
            <a:gd name="connsiteY16" fmla="*/ 1804308 h 6662058"/>
            <a:gd name="connsiteX17" fmla="*/ 3573917 w 6662058"/>
            <a:gd name="connsiteY17" fmla="*/ 1847680 h 6662058"/>
            <a:gd name="connsiteX18" fmla="*/ 4957508 w 6662058"/>
            <a:gd name="connsiteY18" fmla="*/ 3231272 h 6662058"/>
            <a:gd name="connsiteX19" fmla="*/ 4996544 w 6662058"/>
            <a:gd name="connsiteY19" fmla="*/ 3331029 h 6662058"/>
            <a:gd name="connsiteX20" fmla="*/ 5690508 w 6662058"/>
            <a:gd name="connsiteY20" fmla="*/ 3331029 h 6662058"/>
            <a:gd name="connsiteX21" fmla="*/ 5373887 w 6662058"/>
            <a:gd name="connsiteY21" fmla="*/ 2146953 h 6662058"/>
            <a:gd name="connsiteX22" fmla="*/ 4769559 w 6662058"/>
            <a:gd name="connsiteY22" fmla="*/ 871793 h 6662058"/>
            <a:gd name="connsiteX23" fmla="*/ 3342595 w 6662058"/>
            <a:gd name="connsiteY23" fmla="*/ 983116 h 6662058"/>
            <a:gd name="connsiteX24" fmla="*/ 1927198 w 6662058"/>
            <a:gd name="connsiteY24" fmla="*/ 894926 h 6662058"/>
            <a:gd name="connsiteX25" fmla="*/ 1288172 w 6662058"/>
            <a:gd name="connsiteY25" fmla="*/ 2146953 h 6662058"/>
            <a:gd name="connsiteX26" fmla="*/ 508907 w 6662058"/>
            <a:gd name="connsiteY26" fmla="*/ 3331030 h 6662058"/>
            <a:gd name="connsiteX27" fmla="*/ 1288172 w 6662058"/>
            <a:gd name="connsiteY27" fmla="*/ 4515106 h 6662058"/>
            <a:gd name="connsiteX28" fmla="*/ 1927198 w 6662058"/>
            <a:gd name="connsiteY28" fmla="*/ 5790265 h 6662058"/>
            <a:gd name="connsiteX29" fmla="*/ 3331029 w 6662058"/>
            <a:gd name="connsiteY29" fmla="*/ 5690508 h 6662058"/>
            <a:gd name="connsiteX30" fmla="*/ 4757994 w 6662058"/>
            <a:gd name="connsiteY30" fmla="*/ 5778699 h 6662058"/>
            <a:gd name="connsiteX31" fmla="*/ 5373887 w 6662058"/>
            <a:gd name="connsiteY31" fmla="*/ 4515106 h 6662058"/>
            <a:gd name="connsiteX32" fmla="*/ 5690508 w 6662058"/>
            <a:gd name="connsiteY32" fmla="*/ 3331029 h 6662058"/>
            <a:gd name="connsiteX33" fmla="*/ 6662058 w 6662058"/>
            <a:gd name="connsiteY33" fmla="*/ 3331029 h 6662058"/>
            <a:gd name="connsiteX34" fmla="*/ 6215318 w 6662058"/>
            <a:gd name="connsiteY34" fmla="*/ 5003049 h 6662058"/>
            <a:gd name="connsiteX35" fmla="*/ 5003049 w 6662058"/>
            <a:gd name="connsiteY35" fmla="*/ 6215318 h 6662058"/>
            <a:gd name="connsiteX36" fmla="*/ 3331029 w 6662058"/>
            <a:gd name="connsiteY36" fmla="*/ 6662058 h 6662058"/>
            <a:gd name="connsiteX37" fmla="*/ 1659009 w 6662058"/>
            <a:gd name="connsiteY37" fmla="*/ 6215318 h 6662058"/>
            <a:gd name="connsiteX38" fmla="*/ 446740 w 6662058"/>
            <a:gd name="connsiteY38" fmla="*/ 5003049 h 6662058"/>
            <a:gd name="connsiteX39" fmla="*/ 0 w 6662058"/>
            <a:gd name="connsiteY39" fmla="*/ 3331029 h 6662058"/>
            <a:gd name="connsiteX40" fmla="*/ 446740 w 6662058"/>
            <a:gd name="connsiteY40" fmla="*/ 1659009 h 6662058"/>
            <a:gd name="connsiteX41" fmla="*/ 1659009 w 6662058"/>
            <a:gd name="connsiteY41" fmla="*/ 446740 h 6662058"/>
            <a:gd name="connsiteX42" fmla="*/ 3331029 w 6662058"/>
            <a:gd name="connsiteY42" fmla="*/ 0 h 6662058"/>
            <a:gd name="connsiteX43" fmla="*/ 5003049 w 6662058"/>
            <a:gd name="connsiteY43" fmla="*/ 446740 h 6662058"/>
            <a:gd name="connsiteX44" fmla="*/ 6215318 w 6662058"/>
            <a:gd name="connsiteY44" fmla="*/ 1659009 h 6662058"/>
            <a:gd name="connsiteX45" fmla="*/ 6662058 w 6662058"/>
            <a:gd name="connsiteY45" fmla="*/ 3331029 h 6662058"/>
            <a:gd name="connsiteX0" fmla="*/ 4996544 w 6662058"/>
            <a:gd name="connsiteY0" fmla="*/ 3331029 h 6662058"/>
            <a:gd name="connsiteX1" fmla="*/ 4957508 w 6662058"/>
            <a:gd name="connsiteY1" fmla="*/ 3430786 h 6662058"/>
            <a:gd name="connsiteX2" fmla="*/ 3569579 w 6662058"/>
            <a:gd name="connsiteY2" fmla="*/ 4818715 h 6662058"/>
            <a:gd name="connsiteX3" fmla="*/ 3469822 w 6662058"/>
            <a:gd name="connsiteY3" fmla="*/ 4857751 h 6662058"/>
            <a:gd name="connsiteX4" fmla="*/ 3372233 w 6662058"/>
            <a:gd name="connsiteY4" fmla="*/ 4816547 h 6662058"/>
            <a:gd name="connsiteX5" fmla="*/ 3331029 w 6662058"/>
            <a:gd name="connsiteY5" fmla="*/ 4718958 h 6662058"/>
            <a:gd name="connsiteX6" fmla="*/ 3331029 w 6662058"/>
            <a:gd name="connsiteY6" fmla="*/ 3886201 h 6662058"/>
            <a:gd name="connsiteX7" fmla="*/ 1804308 w 6662058"/>
            <a:gd name="connsiteY7" fmla="*/ 3886201 h 6662058"/>
            <a:gd name="connsiteX8" fmla="*/ 1706719 w 6662058"/>
            <a:gd name="connsiteY8" fmla="*/ 3844996 h 6662058"/>
            <a:gd name="connsiteX9" fmla="*/ 1665515 w 6662058"/>
            <a:gd name="connsiteY9" fmla="*/ 3747408 h 6662058"/>
            <a:gd name="connsiteX10" fmla="*/ 1665515 w 6662058"/>
            <a:gd name="connsiteY10" fmla="*/ 2914651 h 6662058"/>
            <a:gd name="connsiteX11" fmla="*/ 1706719 w 6662058"/>
            <a:gd name="connsiteY11" fmla="*/ 2817062 h 6662058"/>
            <a:gd name="connsiteX12" fmla="*/ 1804308 w 6662058"/>
            <a:gd name="connsiteY12" fmla="*/ 2775858 h 6662058"/>
            <a:gd name="connsiteX13" fmla="*/ 3331029 w 6662058"/>
            <a:gd name="connsiteY13" fmla="*/ 2775858 h 6662058"/>
            <a:gd name="connsiteX14" fmla="*/ 3331029 w 6662058"/>
            <a:gd name="connsiteY14" fmla="*/ 1943100 h 6662058"/>
            <a:gd name="connsiteX15" fmla="*/ 3370065 w 6662058"/>
            <a:gd name="connsiteY15" fmla="*/ 1843343 h 6662058"/>
            <a:gd name="connsiteX16" fmla="*/ 3469822 w 6662058"/>
            <a:gd name="connsiteY16" fmla="*/ 1804308 h 6662058"/>
            <a:gd name="connsiteX17" fmla="*/ 3573917 w 6662058"/>
            <a:gd name="connsiteY17" fmla="*/ 1847680 h 6662058"/>
            <a:gd name="connsiteX18" fmla="*/ 4957508 w 6662058"/>
            <a:gd name="connsiteY18" fmla="*/ 3231272 h 6662058"/>
            <a:gd name="connsiteX19" fmla="*/ 4996544 w 6662058"/>
            <a:gd name="connsiteY19" fmla="*/ 3331029 h 6662058"/>
            <a:gd name="connsiteX20" fmla="*/ 6199415 w 6662058"/>
            <a:gd name="connsiteY20" fmla="*/ 3331030 h 6662058"/>
            <a:gd name="connsiteX21" fmla="*/ 5373887 w 6662058"/>
            <a:gd name="connsiteY21" fmla="*/ 2146953 h 6662058"/>
            <a:gd name="connsiteX22" fmla="*/ 4769559 w 6662058"/>
            <a:gd name="connsiteY22" fmla="*/ 871793 h 6662058"/>
            <a:gd name="connsiteX23" fmla="*/ 3342595 w 6662058"/>
            <a:gd name="connsiteY23" fmla="*/ 983116 h 6662058"/>
            <a:gd name="connsiteX24" fmla="*/ 1927198 w 6662058"/>
            <a:gd name="connsiteY24" fmla="*/ 894926 h 6662058"/>
            <a:gd name="connsiteX25" fmla="*/ 1288172 w 6662058"/>
            <a:gd name="connsiteY25" fmla="*/ 2146953 h 6662058"/>
            <a:gd name="connsiteX26" fmla="*/ 508907 w 6662058"/>
            <a:gd name="connsiteY26" fmla="*/ 3331030 h 6662058"/>
            <a:gd name="connsiteX27" fmla="*/ 1288172 w 6662058"/>
            <a:gd name="connsiteY27" fmla="*/ 4515106 h 6662058"/>
            <a:gd name="connsiteX28" fmla="*/ 1927198 w 6662058"/>
            <a:gd name="connsiteY28" fmla="*/ 5790265 h 6662058"/>
            <a:gd name="connsiteX29" fmla="*/ 3331029 w 6662058"/>
            <a:gd name="connsiteY29" fmla="*/ 5690508 h 6662058"/>
            <a:gd name="connsiteX30" fmla="*/ 4757994 w 6662058"/>
            <a:gd name="connsiteY30" fmla="*/ 5778699 h 6662058"/>
            <a:gd name="connsiteX31" fmla="*/ 5373887 w 6662058"/>
            <a:gd name="connsiteY31" fmla="*/ 4515106 h 6662058"/>
            <a:gd name="connsiteX32" fmla="*/ 6199415 w 6662058"/>
            <a:gd name="connsiteY32" fmla="*/ 3331030 h 6662058"/>
            <a:gd name="connsiteX33" fmla="*/ 6662058 w 6662058"/>
            <a:gd name="connsiteY33" fmla="*/ 3331029 h 6662058"/>
            <a:gd name="connsiteX34" fmla="*/ 6215318 w 6662058"/>
            <a:gd name="connsiteY34" fmla="*/ 5003049 h 6662058"/>
            <a:gd name="connsiteX35" fmla="*/ 5003049 w 6662058"/>
            <a:gd name="connsiteY35" fmla="*/ 6215318 h 6662058"/>
            <a:gd name="connsiteX36" fmla="*/ 3331029 w 6662058"/>
            <a:gd name="connsiteY36" fmla="*/ 6662058 h 6662058"/>
            <a:gd name="connsiteX37" fmla="*/ 1659009 w 6662058"/>
            <a:gd name="connsiteY37" fmla="*/ 6215318 h 6662058"/>
            <a:gd name="connsiteX38" fmla="*/ 446740 w 6662058"/>
            <a:gd name="connsiteY38" fmla="*/ 5003049 h 6662058"/>
            <a:gd name="connsiteX39" fmla="*/ 0 w 6662058"/>
            <a:gd name="connsiteY39" fmla="*/ 3331029 h 6662058"/>
            <a:gd name="connsiteX40" fmla="*/ 446740 w 6662058"/>
            <a:gd name="connsiteY40" fmla="*/ 1659009 h 6662058"/>
            <a:gd name="connsiteX41" fmla="*/ 1659009 w 6662058"/>
            <a:gd name="connsiteY41" fmla="*/ 446740 h 6662058"/>
            <a:gd name="connsiteX42" fmla="*/ 3331029 w 6662058"/>
            <a:gd name="connsiteY42" fmla="*/ 0 h 6662058"/>
            <a:gd name="connsiteX43" fmla="*/ 5003049 w 6662058"/>
            <a:gd name="connsiteY43" fmla="*/ 446740 h 6662058"/>
            <a:gd name="connsiteX44" fmla="*/ 6215318 w 6662058"/>
            <a:gd name="connsiteY44" fmla="*/ 1659009 h 6662058"/>
            <a:gd name="connsiteX45" fmla="*/ 6662058 w 6662058"/>
            <a:gd name="connsiteY45" fmla="*/ 3331029 h 6662058"/>
            <a:gd name="connsiteX0" fmla="*/ 4996544 w 6662058"/>
            <a:gd name="connsiteY0" fmla="*/ 3331029 h 6662058"/>
            <a:gd name="connsiteX1" fmla="*/ 4957508 w 6662058"/>
            <a:gd name="connsiteY1" fmla="*/ 3430786 h 6662058"/>
            <a:gd name="connsiteX2" fmla="*/ 3569579 w 6662058"/>
            <a:gd name="connsiteY2" fmla="*/ 4818715 h 6662058"/>
            <a:gd name="connsiteX3" fmla="*/ 3469822 w 6662058"/>
            <a:gd name="connsiteY3" fmla="*/ 4857751 h 6662058"/>
            <a:gd name="connsiteX4" fmla="*/ 3372233 w 6662058"/>
            <a:gd name="connsiteY4" fmla="*/ 4816547 h 6662058"/>
            <a:gd name="connsiteX5" fmla="*/ 3331029 w 6662058"/>
            <a:gd name="connsiteY5" fmla="*/ 4718958 h 6662058"/>
            <a:gd name="connsiteX6" fmla="*/ 3331029 w 6662058"/>
            <a:gd name="connsiteY6" fmla="*/ 3886201 h 6662058"/>
            <a:gd name="connsiteX7" fmla="*/ 1804308 w 6662058"/>
            <a:gd name="connsiteY7" fmla="*/ 3886201 h 6662058"/>
            <a:gd name="connsiteX8" fmla="*/ 1706719 w 6662058"/>
            <a:gd name="connsiteY8" fmla="*/ 3844996 h 6662058"/>
            <a:gd name="connsiteX9" fmla="*/ 1665515 w 6662058"/>
            <a:gd name="connsiteY9" fmla="*/ 3747408 h 6662058"/>
            <a:gd name="connsiteX10" fmla="*/ 1665515 w 6662058"/>
            <a:gd name="connsiteY10" fmla="*/ 2914651 h 6662058"/>
            <a:gd name="connsiteX11" fmla="*/ 1706719 w 6662058"/>
            <a:gd name="connsiteY11" fmla="*/ 2817062 h 6662058"/>
            <a:gd name="connsiteX12" fmla="*/ 1804308 w 6662058"/>
            <a:gd name="connsiteY12" fmla="*/ 2775858 h 6662058"/>
            <a:gd name="connsiteX13" fmla="*/ 3331029 w 6662058"/>
            <a:gd name="connsiteY13" fmla="*/ 2775858 h 6662058"/>
            <a:gd name="connsiteX14" fmla="*/ 3331029 w 6662058"/>
            <a:gd name="connsiteY14" fmla="*/ 1943100 h 6662058"/>
            <a:gd name="connsiteX15" fmla="*/ 3370065 w 6662058"/>
            <a:gd name="connsiteY15" fmla="*/ 1843343 h 6662058"/>
            <a:gd name="connsiteX16" fmla="*/ 3469822 w 6662058"/>
            <a:gd name="connsiteY16" fmla="*/ 1804308 h 6662058"/>
            <a:gd name="connsiteX17" fmla="*/ 3573917 w 6662058"/>
            <a:gd name="connsiteY17" fmla="*/ 1847680 h 6662058"/>
            <a:gd name="connsiteX18" fmla="*/ 4957508 w 6662058"/>
            <a:gd name="connsiteY18" fmla="*/ 3231272 h 6662058"/>
            <a:gd name="connsiteX19" fmla="*/ 4996544 w 6662058"/>
            <a:gd name="connsiteY19" fmla="*/ 3331029 h 6662058"/>
            <a:gd name="connsiteX20" fmla="*/ 6199415 w 6662058"/>
            <a:gd name="connsiteY20" fmla="*/ 3331030 h 6662058"/>
            <a:gd name="connsiteX21" fmla="*/ 5373887 w 6662058"/>
            <a:gd name="connsiteY21" fmla="*/ 2146953 h 6662058"/>
            <a:gd name="connsiteX22" fmla="*/ 4769559 w 6662058"/>
            <a:gd name="connsiteY22" fmla="*/ 871793 h 6662058"/>
            <a:gd name="connsiteX23" fmla="*/ 3342596 w 6662058"/>
            <a:gd name="connsiteY23" fmla="*/ 497341 h 6662058"/>
            <a:gd name="connsiteX24" fmla="*/ 1927198 w 6662058"/>
            <a:gd name="connsiteY24" fmla="*/ 894926 h 6662058"/>
            <a:gd name="connsiteX25" fmla="*/ 1288172 w 6662058"/>
            <a:gd name="connsiteY25" fmla="*/ 2146953 h 6662058"/>
            <a:gd name="connsiteX26" fmla="*/ 508907 w 6662058"/>
            <a:gd name="connsiteY26" fmla="*/ 3331030 h 6662058"/>
            <a:gd name="connsiteX27" fmla="*/ 1288172 w 6662058"/>
            <a:gd name="connsiteY27" fmla="*/ 4515106 h 6662058"/>
            <a:gd name="connsiteX28" fmla="*/ 1927198 w 6662058"/>
            <a:gd name="connsiteY28" fmla="*/ 5790265 h 6662058"/>
            <a:gd name="connsiteX29" fmla="*/ 3331029 w 6662058"/>
            <a:gd name="connsiteY29" fmla="*/ 5690508 h 6662058"/>
            <a:gd name="connsiteX30" fmla="*/ 4757994 w 6662058"/>
            <a:gd name="connsiteY30" fmla="*/ 5778699 h 6662058"/>
            <a:gd name="connsiteX31" fmla="*/ 5373887 w 6662058"/>
            <a:gd name="connsiteY31" fmla="*/ 4515106 h 6662058"/>
            <a:gd name="connsiteX32" fmla="*/ 6199415 w 6662058"/>
            <a:gd name="connsiteY32" fmla="*/ 3331030 h 6662058"/>
            <a:gd name="connsiteX33" fmla="*/ 6662058 w 6662058"/>
            <a:gd name="connsiteY33" fmla="*/ 3331029 h 6662058"/>
            <a:gd name="connsiteX34" fmla="*/ 6215318 w 6662058"/>
            <a:gd name="connsiteY34" fmla="*/ 5003049 h 6662058"/>
            <a:gd name="connsiteX35" fmla="*/ 5003049 w 6662058"/>
            <a:gd name="connsiteY35" fmla="*/ 6215318 h 6662058"/>
            <a:gd name="connsiteX36" fmla="*/ 3331029 w 6662058"/>
            <a:gd name="connsiteY36" fmla="*/ 6662058 h 6662058"/>
            <a:gd name="connsiteX37" fmla="*/ 1659009 w 6662058"/>
            <a:gd name="connsiteY37" fmla="*/ 6215318 h 6662058"/>
            <a:gd name="connsiteX38" fmla="*/ 446740 w 6662058"/>
            <a:gd name="connsiteY38" fmla="*/ 5003049 h 6662058"/>
            <a:gd name="connsiteX39" fmla="*/ 0 w 6662058"/>
            <a:gd name="connsiteY39" fmla="*/ 3331029 h 6662058"/>
            <a:gd name="connsiteX40" fmla="*/ 446740 w 6662058"/>
            <a:gd name="connsiteY40" fmla="*/ 1659009 h 6662058"/>
            <a:gd name="connsiteX41" fmla="*/ 1659009 w 6662058"/>
            <a:gd name="connsiteY41" fmla="*/ 446740 h 6662058"/>
            <a:gd name="connsiteX42" fmla="*/ 3331029 w 6662058"/>
            <a:gd name="connsiteY42" fmla="*/ 0 h 6662058"/>
            <a:gd name="connsiteX43" fmla="*/ 5003049 w 6662058"/>
            <a:gd name="connsiteY43" fmla="*/ 446740 h 6662058"/>
            <a:gd name="connsiteX44" fmla="*/ 6215318 w 6662058"/>
            <a:gd name="connsiteY44" fmla="*/ 1659009 h 6662058"/>
            <a:gd name="connsiteX45" fmla="*/ 6662058 w 6662058"/>
            <a:gd name="connsiteY45" fmla="*/ 3331029 h 6662058"/>
            <a:gd name="connsiteX0" fmla="*/ 4996544 w 6662058"/>
            <a:gd name="connsiteY0" fmla="*/ 3331029 h 6662058"/>
            <a:gd name="connsiteX1" fmla="*/ 4957508 w 6662058"/>
            <a:gd name="connsiteY1" fmla="*/ 3430786 h 6662058"/>
            <a:gd name="connsiteX2" fmla="*/ 3569579 w 6662058"/>
            <a:gd name="connsiteY2" fmla="*/ 4818715 h 6662058"/>
            <a:gd name="connsiteX3" fmla="*/ 3469822 w 6662058"/>
            <a:gd name="connsiteY3" fmla="*/ 4857751 h 6662058"/>
            <a:gd name="connsiteX4" fmla="*/ 3372233 w 6662058"/>
            <a:gd name="connsiteY4" fmla="*/ 4816547 h 6662058"/>
            <a:gd name="connsiteX5" fmla="*/ 3331029 w 6662058"/>
            <a:gd name="connsiteY5" fmla="*/ 4718958 h 6662058"/>
            <a:gd name="connsiteX6" fmla="*/ 3331029 w 6662058"/>
            <a:gd name="connsiteY6" fmla="*/ 3886201 h 6662058"/>
            <a:gd name="connsiteX7" fmla="*/ 1804308 w 6662058"/>
            <a:gd name="connsiteY7" fmla="*/ 3886201 h 6662058"/>
            <a:gd name="connsiteX8" fmla="*/ 1706719 w 6662058"/>
            <a:gd name="connsiteY8" fmla="*/ 3844996 h 6662058"/>
            <a:gd name="connsiteX9" fmla="*/ 1665515 w 6662058"/>
            <a:gd name="connsiteY9" fmla="*/ 3747408 h 6662058"/>
            <a:gd name="connsiteX10" fmla="*/ 1665515 w 6662058"/>
            <a:gd name="connsiteY10" fmla="*/ 2914651 h 6662058"/>
            <a:gd name="connsiteX11" fmla="*/ 1706719 w 6662058"/>
            <a:gd name="connsiteY11" fmla="*/ 2817062 h 6662058"/>
            <a:gd name="connsiteX12" fmla="*/ 1804308 w 6662058"/>
            <a:gd name="connsiteY12" fmla="*/ 2775858 h 6662058"/>
            <a:gd name="connsiteX13" fmla="*/ 3331029 w 6662058"/>
            <a:gd name="connsiteY13" fmla="*/ 2775858 h 6662058"/>
            <a:gd name="connsiteX14" fmla="*/ 3331029 w 6662058"/>
            <a:gd name="connsiteY14" fmla="*/ 1943100 h 6662058"/>
            <a:gd name="connsiteX15" fmla="*/ 3370065 w 6662058"/>
            <a:gd name="connsiteY15" fmla="*/ 1843343 h 6662058"/>
            <a:gd name="connsiteX16" fmla="*/ 3469822 w 6662058"/>
            <a:gd name="connsiteY16" fmla="*/ 1804308 h 6662058"/>
            <a:gd name="connsiteX17" fmla="*/ 3573917 w 6662058"/>
            <a:gd name="connsiteY17" fmla="*/ 1847680 h 6662058"/>
            <a:gd name="connsiteX18" fmla="*/ 4957508 w 6662058"/>
            <a:gd name="connsiteY18" fmla="*/ 3231272 h 6662058"/>
            <a:gd name="connsiteX19" fmla="*/ 4996544 w 6662058"/>
            <a:gd name="connsiteY19" fmla="*/ 3331029 h 6662058"/>
            <a:gd name="connsiteX20" fmla="*/ 6199415 w 6662058"/>
            <a:gd name="connsiteY20" fmla="*/ 3331030 h 6662058"/>
            <a:gd name="connsiteX21" fmla="*/ 5790265 w 6662058"/>
            <a:gd name="connsiteY21" fmla="*/ 1892499 h 6662058"/>
            <a:gd name="connsiteX22" fmla="*/ 4769559 w 6662058"/>
            <a:gd name="connsiteY22" fmla="*/ 871793 h 6662058"/>
            <a:gd name="connsiteX23" fmla="*/ 3342596 w 6662058"/>
            <a:gd name="connsiteY23" fmla="*/ 497341 h 6662058"/>
            <a:gd name="connsiteX24" fmla="*/ 1927198 w 6662058"/>
            <a:gd name="connsiteY24" fmla="*/ 894926 h 6662058"/>
            <a:gd name="connsiteX25" fmla="*/ 1288172 w 6662058"/>
            <a:gd name="connsiteY25" fmla="*/ 2146953 h 6662058"/>
            <a:gd name="connsiteX26" fmla="*/ 508907 w 6662058"/>
            <a:gd name="connsiteY26" fmla="*/ 3331030 h 6662058"/>
            <a:gd name="connsiteX27" fmla="*/ 1288172 w 6662058"/>
            <a:gd name="connsiteY27" fmla="*/ 4515106 h 6662058"/>
            <a:gd name="connsiteX28" fmla="*/ 1927198 w 6662058"/>
            <a:gd name="connsiteY28" fmla="*/ 5790265 h 6662058"/>
            <a:gd name="connsiteX29" fmla="*/ 3331029 w 6662058"/>
            <a:gd name="connsiteY29" fmla="*/ 5690508 h 6662058"/>
            <a:gd name="connsiteX30" fmla="*/ 4757994 w 6662058"/>
            <a:gd name="connsiteY30" fmla="*/ 5778699 h 6662058"/>
            <a:gd name="connsiteX31" fmla="*/ 5373887 w 6662058"/>
            <a:gd name="connsiteY31" fmla="*/ 4515106 h 6662058"/>
            <a:gd name="connsiteX32" fmla="*/ 6199415 w 6662058"/>
            <a:gd name="connsiteY32" fmla="*/ 3331030 h 6662058"/>
            <a:gd name="connsiteX33" fmla="*/ 6662058 w 6662058"/>
            <a:gd name="connsiteY33" fmla="*/ 3331029 h 6662058"/>
            <a:gd name="connsiteX34" fmla="*/ 6215318 w 6662058"/>
            <a:gd name="connsiteY34" fmla="*/ 5003049 h 6662058"/>
            <a:gd name="connsiteX35" fmla="*/ 5003049 w 6662058"/>
            <a:gd name="connsiteY35" fmla="*/ 6215318 h 6662058"/>
            <a:gd name="connsiteX36" fmla="*/ 3331029 w 6662058"/>
            <a:gd name="connsiteY36" fmla="*/ 6662058 h 6662058"/>
            <a:gd name="connsiteX37" fmla="*/ 1659009 w 6662058"/>
            <a:gd name="connsiteY37" fmla="*/ 6215318 h 6662058"/>
            <a:gd name="connsiteX38" fmla="*/ 446740 w 6662058"/>
            <a:gd name="connsiteY38" fmla="*/ 5003049 h 6662058"/>
            <a:gd name="connsiteX39" fmla="*/ 0 w 6662058"/>
            <a:gd name="connsiteY39" fmla="*/ 3331029 h 6662058"/>
            <a:gd name="connsiteX40" fmla="*/ 446740 w 6662058"/>
            <a:gd name="connsiteY40" fmla="*/ 1659009 h 6662058"/>
            <a:gd name="connsiteX41" fmla="*/ 1659009 w 6662058"/>
            <a:gd name="connsiteY41" fmla="*/ 446740 h 6662058"/>
            <a:gd name="connsiteX42" fmla="*/ 3331029 w 6662058"/>
            <a:gd name="connsiteY42" fmla="*/ 0 h 6662058"/>
            <a:gd name="connsiteX43" fmla="*/ 5003049 w 6662058"/>
            <a:gd name="connsiteY43" fmla="*/ 446740 h 6662058"/>
            <a:gd name="connsiteX44" fmla="*/ 6215318 w 6662058"/>
            <a:gd name="connsiteY44" fmla="*/ 1659009 h 6662058"/>
            <a:gd name="connsiteX45" fmla="*/ 6662058 w 6662058"/>
            <a:gd name="connsiteY45" fmla="*/ 3331029 h 6662058"/>
            <a:gd name="connsiteX0" fmla="*/ 4996544 w 6662058"/>
            <a:gd name="connsiteY0" fmla="*/ 3331029 h 6662058"/>
            <a:gd name="connsiteX1" fmla="*/ 4957508 w 6662058"/>
            <a:gd name="connsiteY1" fmla="*/ 3430786 h 6662058"/>
            <a:gd name="connsiteX2" fmla="*/ 3569579 w 6662058"/>
            <a:gd name="connsiteY2" fmla="*/ 4818715 h 6662058"/>
            <a:gd name="connsiteX3" fmla="*/ 3469822 w 6662058"/>
            <a:gd name="connsiteY3" fmla="*/ 4857751 h 6662058"/>
            <a:gd name="connsiteX4" fmla="*/ 3372233 w 6662058"/>
            <a:gd name="connsiteY4" fmla="*/ 4816547 h 6662058"/>
            <a:gd name="connsiteX5" fmla="*/ 3331029 w 6662058"/>
            <a:gd name="connsiteY5" fmla="*/ 4718958 h 6662058"/>
            <a:gd name="connsiteX6" fmla="*/ 3331029 w 6662058"/>
            <a:gd name="connsiteY6" fmla="*/ 3886201 h 6662058"/>
            <a:gd name="connsiteX7" fmla="*/ 1804308 w 6662058"/>
            <a:gd name="connsiteY7" fmla="*/ 3886201 h 6662058"/>
            <a:gd name="connsiteX8" fmla="*/ 1706719 w 6662058"/>
            <a:gd name="connsiteY8" fmla="*/ 3844996 h 6662058"/>
            <a:gd name="connsiteX9" fmla="*/ 1665515 w 6662058"/>
            <a:gd name="connsiteY9" fmla="*/ 3747408 h 6662058"/>
            <a:gd name="connsiteX10" fmla="*/ 1665515 w 6662058"/>
            <a:gd name="connsiteY10" fmla="*/ 2914651 h 6662058"/>
            <a:gd name="connsiteX11" fmla="*/ 1706719 w 6662058"/>
            <a:gd name="connsiteY11" fmla="*/ 2817062 h 6662058"/>
            <a:gd name="connsiteX12" fmla="*/ 1804308 w 6662058"/>
            <a:gd name="connsiteY12" fmla="*/ 2775858 h 6662058"/>
            <a:gd name="connsiteX13" fmla="*/ 3331029 w 6662058"/>
            <a:gd name="connsiteY13" fmla="*/ 2775858 h 6662058"/>
            <a:gd name="connsiteX14" fmla="*/ 3331029 w 6662058"/>
            <a:gd name="connsiteY14" fmla="*/ 1943100 h 6662058"/>
            <a:gd name="connsiteX15" fmla="*/ 3370065 w 6662058"/>
            <a:gd name="connsiteY15" fmla="*/ 1843343 h 6662058"/>
            <a:gd name="connsiteX16" fmla="*/ 3469822 w 6662058"/>
            <a:gd name="connsiteY16" fmla="*/ 1804308 h 6662058"/>
            <a:gd name="connsiteX17" fmla="*/ 3573917 w 6662058"/>
            <a:gd name="connsiteY17" fmla="*/ 1847680 h 6662058"/>
            <a:gd name="connsiteX18" fmla="*/ 4957508 w 6662058"/>
            <a:gd name="connsiteY18" fmla="*/ 3231272 h 6662058"/>
            <a:gd name="connsiteX19" fmla="*/ 4996544 w 6662058"/>
            <a:gd name="connsiteY19" fmla="*/ 3331029 h 6662058"/>
            <a:gd name="connsiteX20" fmla="*/ 6199415 w 6662058"/>
            <a:gd name="connsiteY20" fmla="*/ 3331030 h 6662058"/>
            <a:gd name="connsiteX21" fmla="*/ 5790265 w 6662058"/>
            <a:gd name="connsiteY21" fmla="*/ 1892499 h 6662058"/>
            <a:gd name="connsiteX22" fmla="*/ 4769559 w 6662058"/>
            <a:gd name="connsiteY22" fmla="*/ 871793 h 6662058"/>
            <a:gd name="connsiteX23" fmla="*/ 3342596 w 6662058"/>
            <a:gd name="connsiteY23" fmla="*/ 497341 h 6662058"/>
            <a:gd name="connsiteX24" fmla="*/ 1927198 w 6662058"/>
            <a:gd name="connsiteY24" fmla="*/ 894926 h 6662058"/>
            <a:gd name="connsiteX25" fmla="*/ 1288172 w 6662058"/>
            <a:gd name="connsiteY25" fmla="*/ 2146953 h 6662058"/>
            <a:gd name="connsiteX26" fmla="*/ 508907 w 6662058"/>
            <a:gd name="connsiteY26" fmla="*/ 3331030 h 6662058"/>
            <a:gd name="connsiteX27" fmla="*/ 1288172 w 6662058"/>
            <a:gd name="connsiteY27" fmla="*/ 4515106 h 6662058"/>
            <a:gd name="connsiteX28" fmla="*/ 1927198 w 6662058"/>
            <a:gd name="connsiteY28" fmla="*/ 5790265 h 6662058"/>
            <a:gd name="connsiteX29" fmla="*/ 3331029 w 6662058"/>
            <a:gd name="connsiteY29" fmla="*/ 5690508 h 6662058"/>
            <a:gd name="connsiteX30" fmla="*/ 4757994 w 6662058"/>
            <a:gd name="connsiteY30" fmla="*/ 5778699 h 6662058"/>
            <a:gd name="connsiteX31" fmla="*/ 5813397 w 6662058"/>
            <a:gd name="connsiteY31" fmla="*/ 4734862 h 6662058"/>
            <a:gd name="connsiteX32" fmla="*/ 6199415 w 6662058"/>
            <a:gd name="connsiteY32" fmla="*/ 3331030 h 6662058"/>
            <a:gd name="connsiteX33" fmla="*/ 6662058 w 6662058"/>
            <a:gd name="connsiteY33" fmla="*/ 3331029 h 6662058"/>
            <a:gd name="connsiteX34" fmla="*/ 6215318 w 6662058"/>
            <a:gd name="connsiteY34" fmla="*/ 5003049 h 6662058"/>
            <a:gd name="connsiteX35" fmla="*/ 5003049 w 6662058"/>
            <a:gd name="connsiteY35" fmla="*/ 6215318 h 6662058"/>
            <a:gd name="connsiteX36" fmla="*/ 3331029 w 6662058"/>
            <a:gd name="connsiteY36" fmla="*/ 6662058 h 6662058"/>
            <a:gd name="connsiteX37" fmla="*/ 1659009 w 6662058"/>
            <a:gd name="connsiteY37" fmla="*/ 6215318 h 6662058"/>
            <a:gd name="connsiteX38" fmla="*/ 446740 w 6662058"/>
            <a:gd name="connsiteY38" fmla="*/ 5003049 h 6662058"/>
            <a:gd name="connsiteX39" fmla="*/ 0 w 6662058"/>
            <a:gd name="connsiteY39" fmla="*/ 3331029 h 6662058"/>
            <a:gd name="connsiteX40" fmla="*/ 446740 w 6662058"/>
            <a:gd name="connsiteY40" fmla="*/ 1659009 h 6662058"/>
            <a:gd name="connsiteX41" fmla="*/ 1659009 w 6662058"/>
            <a:gd name="connsiteY41" fmla="*/ 446740 h 6662058"/>
            <a:gd name="connsiteX42" fmla="*/ 3331029 w 6662058"/>
            <a:gd name="connsiteY42" fmla="*/ 0 h 6662058"/>
            <a:gd name="connsiteX43" fmla="*/ 5003049 w 6662058"/>
            <a:gd name="connsiteY43" fmla="*/ 446740 h 6662058"/>
            <a:gd name="connsiteX44" fmla="*/ 6215318 w 6662058"/>
            <a:gd name="connsiteY44" fmla="*/ 1659009 h 6662058"/>
            <a:gd name="connsiteX45" fmla="*/ 6662058 w 6662058"/>
            <a:gd name="connsiteY45" fmla="*/ 3331029 h 6662058"/>
            <a:gd name="connsiteX0" fmla="*/ 4996544 w 6662058"/>
            <a:gd name="connsiteY0" fmla="*/ 3331029 h 6662058"/>
            <a:gd name="connsiteX1" fmla="*/ 4957508 w 6662058"/>
            <a:gd name="connsiteY1" fmla="*/ 3430786 h 6662058"/>
            <a:gd name="connsiteX2" fmla="*/ 3569579 w 6662058"/>
            <a:gd name="connsiteY2" fmla="*/ 4818715 h 6662058"/>
            <a:gd name="connsiteX3" fmla="*/ 3469822 w 6662058"/>
            <a:gd name="connsiteY3" fmla="*/ 4857751 h 6662058"/>
            <a:gd name="connsiteX4" fmla="*/ 3372233 w 6662058"/>
            <a:gd name="connsiteY4" fmla="*/ 4816547 h 6662058"/>
            <a:gd name="connsiteX5" fmla="*/ 3331029 w 6662058"/>
            <a:gd name="connsiteY5" fmla="*/ 4718958 h 6662058"/>
            <a:gd name="connsiteX6" fmla="*/ 3331029 w 6662058"/>
            <a:gd name="connsiteY6" fmla="*/ 3886201 h 6662058"/>
            <a:gd name="connsiteX7" fmla="*/ 1804308 w 6662058"/>
            <a:gd name="connsiteY7" fmla="*/ 3886201 h 6662058"/>
            <a:gd name="connsiteX8" fmla="*/ 1706719 w 6662058"/>
            <a:gd name="connsiteY8" fmla="*/ 3844996 h 6662058"/>
            <a:gd name="connsiteX9" fmla="*/ 1665515 w 6662058"/>
            <a:gd name="connsiteY9" fmla="*/ 3747408 h 6662058"/>
            <a:gd name="connsiteX10" fmla="*/ 1665515 w 6662058"/>
            <a:gd name="connsiteY10" fmla="*/ 2914651 h 6662058"/>
            <a:gd name="connsiteX11" fmla="*/ 1706719 w 6662058"/>
            <a:gd name="connsiteY11" fmla="*/ 2817062 h 6662058"/>
            <a:gd name="connsiteX12" fmla="*/ 1804308 w 6662058"/>
            <a:gd name="connsiteY12" fmla="*/ 2775858 h 6662058"/>
            <a:gd name="connsiteX13" fmla="*/ 3331029 w 6662058"/>
            <a:gd name="connsiteY13" fmla="*/ 2775858 h 6662058"/>
            <a:gd name="connsiteX14" fmla="*/ 3331029 w 6662058"/>
            <a:gd name="connsiteY14" fmla="*/ 1943100 h 6662058"/>
            <a:gd name="connsiteX15" fmla="*/ 3370065 w 6662058"/>
            <a:gd name="connsiteY15" fmla="*/ 1843343 h 6662058"/>
            <a:gd name="connsiteX16" fmla="*/ 3469822 w 6662058"/>
            <a:gd name="connsiteY16" fmla="*/ 1804308 h 6662058"/>
            <a:gd name="connsiteX17" fmla="*/ 3573917 w 6662058"/>
            <a:gd name="connsiteY17" fmla="*/ 1847680 h 6662058"/>
            <a:gd name="connsiteX18" fmla="*/ 4957508 w 6662058"/>
            <a:gd name="connsiteY18" fmla="*/ 3231272 h 6662058"/>
            <a:gd name="connsiteX19" fmla="*/ 4996544 w 6662058"/>
            <a:gd name="connsiteY19" fmla="*/ 3331029 h 6662058"/>
            <a:gd name="connsiteX20" fmla="*/ 6199415 w 6662058"/>
            <a:gd name="connsiteY20" fmla="*/ 3331030 h 6662058"/>
            <a:gd name="connsiteX21" fmla="*/ 5790265 w 6662058"/>
            <a:gd name="connsiteY21" fmla="*/ 1892499 h 6662058"/>
            <a:gd name="connsiteX22" fmla="*/ 4769559 w 6662058"/>
            <a:gd name="connsiteY22" fmla="*/ 871793 h 6662058"/>
            <a:gd name="connsiteX23" fmla="*/ 3342596 w 6662058"/>
            <a:gd name="connsiteY23" fmla="*/ 497341 h 6662058"/>
            <a:gd name="connsiteX24" fmla="*/ 1927198 w 6662058"/>
            <a:gd name="connsiteY24" fmla="*/ 894926 h 6662058"/>
            <a:gd name="connsiteX25" fmla="*/ 1288172 w 6662058"/>
            <a:gd name="connsiteY25" fmla="*/ 2146953 h 6662058"/>
            <a:gd name="connsiteX26" fmla="*/ 508907 w 6662058"/>
            <a:gd name="connsiteY26" fmla="*/ 3331030 h 6662058"/>
            <a:gd name="connsiteX27" fmla="*/ 1288172 w 6662058"/>
            <a:gd name="connsiteY27" fmla="*/ 4515106 h 6662058"/>
            <a:gd name="connsiteX28" fmla="*/ 1927198 w 6662058"/>
            <a:gd name="connsiteY28" fmla="*/ 5790265 h 6662058"/>
            <a:gd name="connsiteX29" fmla="*/ 3342596 w 6662058"/>
            <a:gd name="connsiteY29" fmla="*/ 6164717 h 6662058"/>
            <a:gd name="connsiteX30" fmla="*/ 4757994 w 6662058"/>
            <a:gd name="connsiteY30" fmla="*/ 5778699 h 6662058"/>
            <a:gd name="connsiteX31" fmla="*/ 5813397 w 6662058"/>
            <a:gd name="connsiteY31" fmla="*/ 4734862 h 6662058"/>
            <a:gd name="connsiteX32" fmla="*/ 6199415 w 6662058"/>
            <a:gd name="connsiteY32" fmla="*/ 3331030 h 6662058"/>
            <a:gd name="connsiteX33" fmla="*/ 6662058 w 6662058"/>
            <a:gd name="connsiteY33" fmla="*/ 3331029 h 6662058"/>
            <a:gd name="connsiteX34" fmla="*/ 6215318 w 6662058"/>
            <a:gd name="connsiteY34" fmla="*/ 5003049 h 6662058"/>
            <a:gd name="connsiteX35" fmla="*/ 5003049 w 6662058"/>
            <a:gd name="connsiteY35" fmla="*/ 6215318 h 6662058"/>
            <a:gd name="connsiteX36" fmla="*/ 3331029 w 6662058"/>
            <a:gd name="connsiteY36" fmla="*/ 6662058 h 6662058"/>
            <a:gd name="connsiteX37" fmla="*/ 1659009 w 6662058"/>
            <a:gd name="connsiteY37" fmla="*/ 6215318 h 6662058"/>
            <a:gd name="connsiteX38" fmla="*/ 446740 w 6662058"/>
            <a:gd name="connsiteY38" fmla="*/ 5003049 h 6662058"/>
            <a:gd name="connsiteX39" fmla="*/ 0 w 6662058"/>
            <a:gd name="connsiteY39" fmla="*/ 3331029 h 6662058"/>
            <a:gd name="connsiteX40" fmla="*/ 446740 w 6662058"/>
            <a:gd name="connsiteY40" fmla="*/ 1659009 h 6662058"/>
            <a:gd name="connsiteX41" fmla="*/ 1659009 w 6662058"/>
            <a:gd name="connsiteY41" fmla="*/ 446740 h 6662058"/>
            <a:gd name="connsiteX42" fmla="*/ 3331029 w 6662058"/>
            <a:gd name="connsiteY42" fmla="*/ 0 h 6662058"/>
            <a:gd name="connsiteX43" fmla="*/ 5003049 w 6662058"/>
            <a:gd name="connsiteY43" fmla="*/ 446740 h 6662058"/>
            <a:gd name="connsiteX44" fmla="*/ 6215318 w 6662058"/>
            <a:gd name="connsiteY44" fmla="*/ 1659009 h 6662058"/>
            <a:gd name="connsiteX45" fmla="*/ 6662058 w 6662058"/>
            <a:gd name="connsiteY45" fmla="*/ 3331029 h 6662058"/>
            <a:gd name="connsiteX0" fmla="*/ 4996544 w 6662058"/>
            <a:gd name="connsiteY0" fmla="*/ 3331029 h 6662058"/>
            <a:gd name="connsiteX1" fmla="*/ 4957508 w 6662058"/>
            <a:gd name="connsiteY1" fmla="*/ 3430786 h 6662058"/>
            <a:gd name="connsiteX2" fmla="*/ 3569579 w 6662058"/>
            <a:gd name="connsiteY2" fmla="*/ 4818715 h 6662058"/>
            <a:gd name="connsiteX3" fmla="*/ 3469822 w 6662058"/>
            <a:gd name="connsiteY3" fmla="*/ 4857751 h 6662058"/>
            <a:gd name="connsiteX4" fmla="*/ 3372233 w 6662058"/>
            <a:gd name="connsiteY4" fmla="*/ 4816547 h 6662058"/>
            <a:gd name="connsiteX5" fmla="*/ 3331029 w 6662058"/>
            <a:gd name="connsiteY5" fmla="*/ 4718958 h 6662058"/>
            <a:gd name="connsiteX6" fmla="*/ 3331029 w 6662058"/>
            <a:gd name="connsiteY6" fmla="*/ 3886201 h 6662058"/>
            <a:gd name="connsiteX7" fmla="*/ 1804308 w 6662058"/>
            <a:gd name="connsiteY7" fmla="*/ 3886201 h 6662058"/>
            <a:gd name="connsiteX8" fmla="*/ 1706719 w 6662058"/>
            <a:gd name="connsiteY8" fmla="*/ 3844996 h 6662058"/>
            <a:gd name="connsiteX9" fmla="*/ 1665515 w 6662058"/>
            <a:gd name="connsiteY9" fmla="*/ 3747408 h 6662058"/>
            <a:gd name="connsiteX10" fmla="*/ 1665515 w 6662058"/>
            <a:gd name="connsiteY10" fmla="*/ 2914651 h 6662058"/>
            <a:gd name="connsiteX11" fmla="*/ 1706719 w 6662058"/>
            <a:gd name="connsiteY11" fmla="*/ 2817062 h 6662058"/>
            <a:gd name="connsiteX12" fmla="*/ 1804308 w 6662058"/>
            <a:gd name="connsiteY12" fmla="*/ 2775858 h 6662058"/>
            <a:gd name="connsiteX13" fmla="*/ 3331029 w 6662058"/>
            <a:gd name="connsiteY13" fmla="*/ 2775858 h 6662058"/>
            <a:gd name="connsiteX14" fmla="*/ 3331029 w 6662058"/>
            <a:gd name="connsiteY14" fmla="*/ 1943100 h 6662058"/>
            <a:gd name="connsiteX15" fmla="*/ 3370065 w 6662058"/>
            <a:gd name="connsiteY15" fmla="*/ 1843343 h 6662058"/>
            <a:gd name="connsiteX16" fmla="*/ 3469822 w 6662058"/>
            <a:gd name="connsiteY16" fmla="*/ 1804308 h 6662058"/>
            <a:gd name="connsiteX17" fmla="*/ 3573917 w 6662058"/>
            <a:gd name="connsiteY17" fmla="*/ 1847680 h 6662058"/>
            <a:gd name="connsiteX18" fmla="*/ 4957508 w 6662058"/>
            <a:gd name="connsiteY18" fmla="*/ 3231272 h 6662058"/>
            <a:gd name="connsiteX19" fmla="*/ 4996544 w 6662058"/>
            <a:gd name="connsiteY19" fmla="*/ 3331029 h 6662058"/>
            <a:gd name="connsiteX20" fmla="*/ 6199415 w 6662058"/>
            <a:gd name="connsiteY20" fmla="*/ 3331030 h 6662058"/>
            <a:gd name="connsiteX21" fmla="*/ 5790265 w 6662058"/>
            <a:gd name="connsiteY21" fmla="*/ 1892499 h 6662058"/>
            <a:gd name="connsiteX22" fmla="*/ 4769559 w 6662058"/>
            <a:gd name="connsiteY22" fmla="*/ 871793 h 6662058"/>
            <a:gd name="connsiteX23" fmla="*/ 3342596 w 6662058"/>
            <a:gd name="connsiteY23" fmla="*/ 497341 h 6662058"/>
            <a:gd name="connsiteX24" fmla="*/ 1927198 w 6662058"/>
            <a:gd name="connsiteY24" fmla="*/ 894926 h 6662058"/>
            <a:gd name="connsiteX25" fmla="*/ 1288172 w 6662058"/>
            <a:gd name="connsiteY25" fmla="*/ 2146953 h 6662058"/>
            <a:gd name="connsiteX26" fmla="*/ 508907 w 6662058"/>
            <a:gd name="connsiteY26" fmla="*/ 3331030 h 6662058"/>
            <a:gd name="connsiteX27" fmla="*/ 860228 w 6662058"/>
            <a:gd name="connsiteY27" fmla="*/ 4734862 h 6662058"/>
            <a:gd name="connsiteX28" fmla="*/ 1927198 w 6662058"/>
            <a:gd name="connsiteY28" fmla="*/ 5790265 h 6662058"/>
            <a:gd name="connsiteX29" fmla="*/ 3342596 w 6662058"/>
            <a:gd name="connsiteY29" fmla="*/ 6164717 h 6662058"/>
            <a:gd name="connsiteX30" fmla="*/ 4757994 w 6662058"/>
            <a:gd name="connsiteY30" fmla="*/ 5778699 h 6662058"/>
            <a:gd name="connsiteX31" fmla="*/ 5813397 w 6662058"/>
            <a:gd name="connsiteY31" fmla="*/ 4734862 h 6662058"/>
            <a:gd name="connsiteX32" fmla="*/ 6199415 w 6662058"/>
            <a:gd name="connsiteY32" fmla="*/ 3331030 h 6662058"/>
            <a:gd name="connsiteX33" fmla="*/ 6662058 w 6662058"/>
            <a:gd name="connsiteY33" fmla="*/ 3331029 h 6662058"/>
            <a:gd name="connsiteX34" fmla="*/ 6215318 w 6662058"/>
            <a:gd name="connsiteY34" fmla="*/ 5003049 h 6662058"/>
            <a:gd name="connsiteX35" fmla="*/ 5003049 w 6662058"/>
            <a:gd name="connsiteY35" fmla="*/ 6215318 h 6662058"/>
            <a:gd name="connsiteX36" fmla="*/ 3331029 w 6662058"/>
            <a:gd name="connsiteY36" fmla="*/ 6662058 h 6662058"/>
            <a:gd name="connsiteX37" fmla="*/ 1659009 w 6662058"/>
            <a:gd name="connsiteY37" fmla="*/ 6215318 h 6662058"/>
            <a:gd name="connsiteX38" fmla="*/ 446740 w 6662058"/>
            <a:gd name="connsiteY38" fmla="*/ 5003049 h 6662058"/>
            <a:gd name="connsiteX39" fmla="*/ 0 w 6662058"/>
            <a:gd name="connsiteY39" fmla="*/ 3331029 h 6662058"/>
            <a:gd name="connsiteX40" fmla="*/ 446740 w 6662058"/>
            <a:gd name="connsiteY40" fmla="*/ 1659009 h 6662058"/>
            <a:gd name="connsiteX41" fmla="*/ 1659009 w 6662058"/>
            <a:gd name="connsiteY41" fmla="*/ 446740 h 6662058"/>
            <a:gd name="connsiteX42" fmla="*/ 3331029 w 6662058"/>
            <a:gd name="connsiteY42" fmla="*/ 0 h 6662058"/>
            <a:gd name="connsiteX43" fmla="*/ 5003049 w 6662058"/>
            <a:gd name="connsiteY43" fmla="*/ 446740 h 6662058"/>
            <a:gd name="connsiteX44" fmla="*/ 6215318 w 6662058"/>
            <a:gd name="connsiteY44" fmla="*/ 1659009 h 6662058"/>
            <a:gd name="connsiteX45" fmla="*/ 6662058 w 6662058"/>
            <a:gd name="connsiteY45" fmla="*/ 3331029 h 6662058"/>
            <a:gd name="connsiteX0" fmla="*/ 4996544 w 6662058"/>
            <a:gd name="connsiteY0" fmla="*/ 3331029 h 6662058"/>
            <a:gd name="connsiteX1" fmla="*/ 4957508 w 6662058"/>
            <a:gd name="connsiteY1" fmla="*/ 3430786 h 6662058"/>
            <a:gd name="connsiteX2" fmla="*/ 3569579 w 6662058"/>
            <a:gd name="connsiteY2" fmla="*/ 4818715 h 6662058"/>
            <a:gd name="connsiteX3" fmla="*/ 3469822 w 6662058"/>
            <a:gd name="connsiteY3" fmla="*/ 4857751 h 6662058"/>
            <a:gd name="connsiteX4" fmla="*/ 3372233 w 6662058"/>
            <a:gd name="connsiteY4" fmla="*/ 4816547 h 6662058"/>
            <a:gd name="connsiteX5" fmla="*/ 3331029 w 6662058"/>
            <a:gd name="connsiteY5" fmla="*/ 4718958 h 6662058"/>
            <a:gd name="connsiteX6" fmla="*/ 3331029 w 6662058"/>
            <a:gd name="connsiteY6" fmla="*/ 3886201 h 6662058"/>
            <a:gd name="connsiteX7" fmla="*/ 1804308 w 6662058"/>
            <a:gd name="connsiteY7" fmla="*/ 3886201 h 6662058"/>
            <a:gd name="connsiteX8" fmla="*/ 1706719 w 6662058"/>
            <a:gd name="connsiteY8" fmla="*/ 3844996 h 6662058"/>
            <a:gd name="connsiteX9" fmla="*/ 1665515 w 6662058"/>
            <a:gd name="connsiteY9" fmla="*/ 3747408 h 6662058"/>
            <a:gd name="connsiteX10" fmla="*/ 1665515 w 6662058"/>
            <a:gd name="connsiteY10" fmla="*/ 2914651 h 6662058"/>
            <a:gd name="connsiteX11" fmla="*/ 1706719 w 6662058"/>
            <a:gd name="connsiteY11" fmla="*/ 2817062 h 6662058"/>
            <a:gd name="connsiteX12" fmla="*/ 1804308 w 6662058"/>
            <a:gd name="connsiteY12" fmla="*/ 2775858 h 6662058"/>
            <a:gd name="connsiteX13" fmla="*/ 3331029 w 6662058"/>
            <a:gd name="connsiteY13" fmla="*/ 2775858 h 6662058"/>
            <a:gd name="connsiteX14" fmla="*/ 3331029 w 6662058"/>
            <a:gd name="connsiteY14" fmla="*/ 1943100 h 6662058"/>
            <a:gd name="connsiteX15" fmla="*/ 3370065 w 6662058"/>
            <a:gd name="connsiteY15" fmla="*/ 1843343 h 6662058"/>
            <a:gd name="connsiteX16" fmla="*/ 3469822 w 6662058"/>
            <a:gd name="connsiteY16" fmla="*/ 1804308 h 6662058"/>
            <a:gd name="connsiteX17" fmla="*/ 3573917 w 6662058"/>
            <a:gd name="connsiteY17" fmla="*/ 1847680 h 6662058"/>
            <a:gd name="connsiteX18" fmla="*/ 4957508 w 6662058"/>
            <a:gd name="connsiteY18" fmla="*/ 3231272 h 6662058"/>
            <a:gd name="connsiteX19" fmla="*/ 4996544 w 6662058"/>
            <a:gd name="connsiteY19" fmla="*/ 3331029 h 6662058"/>
            <a:gd name="connsiteX20" fmla="*/ 6199415 w 6662058"/>
            <a:gd name="connsiteY20" fmla="*/ 3331030 h 6662058"/>
            <a:gd name="connsiteX21" fmla="*/ 5790265 w 6662058"/>
            <a:gd name="connsiteY21" fmla="*/ 1892499 h 6662058"/>
            <a:gd name="connsiteX22" fmla="*/ 4769559 w 6662058"/>
            <a:gd name="connsiteY22" fmla="*/ 871793 h 6662058"/>
            <a:gd name="connsiteX23" fmla="*/ 3342596 w 6662058"/>
            <a:gd name="connsiteY23" fmla="*/ 497341 h 6662058"/>
            <a:gd name="connsiteX24" fmla="*/ 1927198 w 6662058"/>
            <a:gd name="connsiteY24" fmla="*/ 894926 h 6662058"/>
            <a:gd name="connsiteX25" fmla="*/ 883360 w 6662058"/>
            <a:gd name="connsiteY25" fmla="*/ 1892499 h 6662058"/>
            <a:gd name="connsiteX26" fmla="*/ 508907 w 6662058"/>
            <a:gd name="connsiteY26" fmla="*/ 3331030 h 6662058"/>
            <a:gd name="connsiteX27" fmla="*/ 860228 w 6662058"/>
            <a:gd name="connsiteY27" fmla="*/ 4734862 h 6662058"/>
            <a:gd name="connsiteX28" fmla="*/ 1927198 w 6662058"/>
            <a:gd name="connsiteY28" fmla="*/ 5790265 h 6662058"/>
            <a:gd name="connsiteX29" fmla="*/ 3342596 w 6662058"/>
            <a:gd name="connsiteY29" fmla="*/ 6164717 h 6662058"/>
            <a:gd name="connsiteX30" fmla="*/ 4757994 w 6662058"/>
            <a:gd name="connsiteY30" fmla="*/ 5778699 h 6662058"/>
            <a:gd name="connsiteX31" fmla="*/ 5813397 w 6662058"/>
            <a:gd name="connsiteY31" fmla="*/ 4734862 h 6662058"/>
            <a:gd name="connsiteX32" fmla="*/ 6199415 w 6662058"/>
            <a:gd name="connsiteY32" fmla="*/ 3331030 h 6662058"/>
            <a:gd name="connsiteX33" fmla="*/ 6662058 w 6662058"/>
            <a:gd name="connsiteY33" fmla="*/ 3331029 h 6662058"/>
            <a:gd name="connsiteX34" fmla="*/ 6215318 w 6662058"/>
            <a:gd name="connsiteY34" fmla="*/ 5003049 h 6662058"/>
            <a:gd name="connsiteX35" fmla="*/ 5003049 w 6662058"/>
            <a:gd name="connsiteY35" fmla="*/ 6215318 h 6662058"/>
            <a:gd name="connsiteX36" fmla="*/ 3331029 w 6662058"/>
            <a:gd name="connsiteY36" fmla="*/ 6662058 h 6662058"/>
            <a:gd name="connsiteX37" fmla="*/ 1659009 w 6662058"/>
            <a:gd name="connsiteY37" fmla="*/ 6215318 h 6662058"/>
            <a:gd name="connsiteX38" fmla="*/ 446740 w 6662058"/>
            <a:gd name="connsiteY38" fmla="*/ 5003049 h 6662058"/>
            <a:gd name="connsiteX39" fmla="*/ 0 w 6662058"/>
            <a:gd name="connsiteY39" fmla="*/ 3331029 h 6662058"/>
            <a:gd name="connsiteX40" fmla="*/ 446740 w 6662058"/>
            <a:gd name="connsiteY40" fmla="*/ 1659009 h 6662058"/>
            <a:gd name="connsiteX41" fmla="*/ 1659009 w 6662058"/>
            <a:gd name="connsiteY41" fmla="*/ 446740 h 6662058"/>
            <a:gd name="connsiteX42" fmla="*/ 3331029 w 6662058"/>
            <a:gd name="connsiteY42" fmla="*/ 0 h 6662058"/>
            <a:gd name="connsiteX43" fmla="*/ 5003049 w 6662058"/>
            <a:gd name="connsiteY43" fmla="*/ 446740 h 6662058"/>
            <a:gd name="connsiteX44" fmla="*/ 6215318 w 6662058"/>
            <a:gd name="connsiteY44" fmla="*/ 1659009 h 6662058"/>
            <a:gd name="connsiteX45" fmla="*/ 6662058 w 6662058"/>
            <a:gd name="connsiteY45" fmla="*/ 3331029 h 6662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6662058" h="6662058">
              <a:moveTo>
                <a:pt x="4996544" y="3331029"/>
              </a:moveTo>
              <a:cubicBezTo>
                <a:pt x="4996544" y="3371510"/>
                <a:pt x="4983532" y="3404763"/>
                <a:pt x="4957508" y="3430786"/>
              </a:cubicBezTo>
              <a:lnTo>
                <a:pt x="3569579" y="4818715"/>
              </a:lnTo>
              <a:cubicBezTo>
                <a:pt x="3543556" y="4844739"/>
                <a:pt x="3510303" y="4857751"/>
                <a:pt x="3469822" y="4857751"/>
              </a:cubicBezTo>
              <a:cubicBezTo>
                <a:pt x="3432232" y="4857751"/>
                <a:pt x="3399703" y="4844016"/>
                <a:pt x="3372233" y="4816547"/>
              </a:cubicBezTo>
              <a:cubicBezTo>
                <a:pt x="3344764" y="4789077"/>
                <a:pt x="3331029" y="4756547"/>
                <a:pt x="3331029" y="4718958"/>
              </a:cubicBezTo>
              <a:lnTo>
                <a:pt x="3331029" y="3886201"/>
              </a:lnTo>
              <a:lnTo>
                <a:pt x="1804308" y="3886201"/>
              </a:lnTo>
              <a:cubicBezTo>
                <a:pt x="1766718" y="3886201"/>
                <a:pt x="1734188" y="3872466"/>
                <a:pt x="1706719" y="3844996"/>
              </a:cubicBezTo>
              <a:cubicBezTo>
                <a:pt x="1679250" y="3817527"/>
                <a:pt x="1665515" y="3784997"/>
                <a:pt x="1665515" y="3747408"/>
              </a:cubicBezTo>
              <a:lnTo>
                <a:pt x="1665515" y="2914651"/>
              </a:lnTo>
              <a:cubicBezTo>
                <a:pt x="1665515" y="2877061"/>
                <a:pt x="1679250" y="2844531"/>
                <a:pt x="1706719" y="2817062"/>
              </a:cubicBezTo>
              <a:cubicBezTo>
                <a:pt x="1734188" y="2789592"/>
                <a:pt x="1766718" y="2775858"/>
                <a:pt x="1804308" y="2775858"/>
              </a:cubicBezTo>
              <a:lnTo>
                <a:pt x="3331029" y="2775858"/>
              </a:lnTo>
              <a:lnTo>
                <a:pt x="3331029" y="1943100"/>
              </a:lnTo>
              <a:cubicBezTo>
                <a:pt x="3331029" y="1902619"/>
                <a:pt x="3344041" y="1869367"/>
                <a:pt x="3370065" y="1843343"/>
              </a:cubicBezTo>
              <a:cubicBezTo>
                <a:pt x="3396088" y="1817319"/>
                <a:pt x="3429341" y="1804308"/>
                <a:pt x="3469822" y="1804308"/>
              </a:cubicBezTo>
              <a:cubicBezTo>
                <a:pt x="3504520" y="1804308"/>
                <a:pt x="3539218" y="1818765"/>
                <a:pt x="3573917" y="1847680"/>
              </a:cubicBezTo>
              <a:lnTo>
                <a:pt x="4957508" y="3231272"/>
              </a:lnTo>
              <a:cubicBezTo>
                <a:pt x="4983532" y="3257295"/>
                <a:pt x="4996544" y="3290548"/>
                <a:pt x="4996544" y="3331029"/>
              </a:cubicBezTo>
              <a:close/>
              <a:moveTo>
                <a:pt x="6199415" y="3331030"/>
              </a:moveTo>
              <a:cubicBezTo>
                <a:pt x="6195560" y="2857303"/>
                <a:pt x="6028574" y="2302372"/>
                <a:pt x="5790265" y="1892499"/>
              </a:cubicBezTo>
              <a:cubicBezTo>
                <a:pt x="5551956" y="1482626"/>
                <a:pt x="5177504" y="1104319"/>
                <a:pt x="4769559" y="871793"/>
              </a:cubicBezTo>
              <a:cubicBezTo>
                <a:pt x="4361614" y="639267"/>
                <a:pt x="3816323" y="493486"/>
                <a:pt x="3342596" y="497341"/>
              </a:cubicBezTo>
              <a:cubicBezTo>
                <a:pt x="2868869" y="501196"/>
                <a:pt x="2337071" y="662400"/>
                <a:pt x="1927198" y="894926"/>
              </a:cubicBezTo>
              <a:cubicBezTo>
                <a:pt x="1517325" y="1127452"/>
                <a:pt x="1119742" y="1486482"/>
                <a:pt x="883360" y="1892499"/>
              </a:cubicBezTo>
              <a:cubicBezTo>
                <a:pt x="646978" y="2298516"/>
                <a:pt x="512762" y="2857303"/>
                <a:pt x="508907" y="3331030"/>
              </a:cubicBezTo>
              <a:cubicBezTo>
                <a:pt x="505052" y="3804757"/>
                <a:pt x="623846" y="4324990"/>
                <a:pt x="860228" y="4734862"/>
              </a:cubicBezTo>
              <a:cubicBezTo>
                <a:pt x="1096610" y="5144735"/>
                <a:pt x="1513470" y="5551956"/>
                <a:pt x="1927198" y="5790265"/>
              </a:cubicBezTo>
              <a:cubicBezTo>
                <a:pt x="2340926" y="6028574"/>
                <a:pt x="2870797" y="6166645"/>
                <a:pt x="3342596" y="6164717"/>
              </a:cubicBezTo>
              <a:cubicBezTo>
                <a:pt x="3814395" y="6162789"/>
                <a:pt x="4346194" y="6017008"/>
                <a:pt x="4757994" y="5778699"/>
              </a:cubicBezTo>
              <a:cubicBezTo>
                <a:pt x="5169794" y="5540390"/>
                <a:pt x="5573160" y="5142807"/>
                <a:pt x="5813397" y="4734862"/>
              </a:cubicBezTo>
              <a:cubicBezTo>
                <a:pt x="6053634" y="4326917"/>
                <a:pt x="6203270" y="3804757"/>
                <a:pt x="6199415" y="3331030"/>
              </a:cubicBezTo>
              <a:close/>
              <a:moveTo>
                <a:pt x="6662058" y="3331029"/>
              </a:moveTo>
              <a:cubicBezTo>
                <a:pt x="6662058" y="3935357"/>
                <a:pt x="6513144" y="4492697"/>
                <a:pt x="6215318" y="5003049"/>
              </a:cubicBezTo>
              <a:cubicBezTo>
                <a:pt x="5917492" y="5513402"/>
                <a:pt x="5513402" y="5917492"/>
                <a:pt x="5003049" y="6215318"/>
              </a:cubicBezTo>
              <a:cubicBezTo>
                <a:pt x="4492697" y="6513144"/>
                <a:pt x="3935357" y="6662058"/>
                <a:pt x="3331029" y="6662058"/>
              </a:cubicBezTo>
              <a:cubicBezTo>
                <a:pt x="2726702" y="6662058"/>
                <a:pt x="2169362" y="6513144"/>
                <a:pt x="1659009" y="6215318"/>
              </a:cubicBezTo>
              <a:cubicBezTo>
                <a:pt x="1148656" y="5917492"/>
                <a:pt x="744566" y="5513402"/>
                <a:pt x="446740" y="5003049"/>
              </a:cubicBezTo>
              <a:cubicBezTo>
                <a:pt x="148914" y="4492697"/>
                <a:pt x="0" y="3935357"/>
                <a:pt x="0" y="3331029"/>
              </a:cubicBezTo>
              <a:cubicBezTo>
                <a:pt x="0" y="2726702"/>
                <a:pt x="148914" y="2169362"/>
                <a:pt x="446740" y="1659009"/>
              </a:cubicBezTo>
              <a:cubicBezTo>
                <a:pt x="744566" y="1148656"/>
                <a:pt x="1148656" y="744566"/>
                <a:pt x="1659009" y="446740"/>
              </a:cubicBezTo>
              <a:cubicBezTo>
                <a:pt x="2169362" y="148914"/>
                <a:pt x="2726702" y="0"/>
                <a:pt x="3331029" y="0"/>
              </a:cubicBezTo>
              <a:cubicBezTo>
                <a:pt x="3935357" y="0"/>
                <a:pt x="4492697" y="148914"/>
                <a:pt x="5003049" y="446740"/>
              </a:cubicBezTo>
              <a:cubicBezTo>
                <a:pt x="5513402" y="744566"/>
                <a:pt x="5917492" y="1148656"/>
                <a:pt x="6215318" y="1659009"/>
              </a:cubicBezTo>
              <a:cubicBezTo>
                <a:pt x="6513144" y="2169362"/>
                <a:pt x="6662058" y="2726702"/>
                <a:pt x="6662058" y="3331029"/>
              </a:cubicBezTo>
              <a:close/>
            </a:path>
          </a:pathLst>
        </a:custGeom>
        <a:solidFill>
          <a:sysClr val="window" lastClr="FFFFFF"/>
        </a:solidFill>
        <a:ln w="4390" cap="flat">
          <a:noFill/>
          <a:prstDash val="solid"/>
          <a:miter/>
        </a:ln>
      </xdr:spPr>
      <xdr:txBody>
        <a:bodyPr rtlCol="0" anchor="ctr"/>
        <a:lstStyle/>
        <a:p>
          <a:endParaRPr lang="en-US"/>
        </a:p>
      </xdr:txBody>
    </xdr:sp>
    <xdr:clientData/>
  </xdr:twoCellAnchor>
  <xdr:twoCellAnchor>
    <xdr:from>
      <xdr:col>14</xdr:col>
      <xdr:colOff>0</xdr:colOff>
      <xdr:row>1</xdr:row>
      <xdr:rowOff>693420</xdr:rowOff>
    </xdr:from>
    <xdr:to>
      <xdr:col>14</xdr:col>
      <xdr:colOff>0</xdr:colOff>
      <xdr:row>1</xdr:row>
      <xdr:rowOff>1112524</xdr:rowOff>
    </xdr:to>
    <xdr:sp macro="" textlink="">
      <xdr:nvSpPr>
        <xdr:cNvPr id="37" name="svg_cancel">
          <a:extLst>
            <a:ext uri="{FF2B5EF4-FFF2-40B4-BE49-F238E27FC236}">
              <a16:creationId xmlns:a16="http://schemas.microsoft.com/office/drawing/2014/main" id="{00000000-0008-0000-0200-000025000000}"/>
            </a:ext>
          </a:extLst>
        </xdr:cNvPr>
        <xdr:cNvSpPr/>
      </xdr:nvSpPr>
      <xdr:spPr>
        <a:xfrm>
          <a:off x="9048750" y="0"/>
          <a:ext cx="419100" cy="0"/>
        </a:xfrm>
        <a:custGeom>
          <a:avLst/>
          <a:gdLst>
            <a:gd name="connsiteX0" fmla="*/ 2357866 w 4724400"/>
            <a:gd name="connsiteY0" fmla="*/ 4 h 4724403"/>
            <a:gd name="connsiteX1" fmla="*/ 730425 w 4724400"/>
            <a:gd name="connsiteY1" fmla="*/ 654228 h 4724403"/>
            <a:gd name="connsiteX2" fmla="*/ 390249 w 4724400"/>
            <a:gd name="connsiteY2" fmla="*/ 314053 h 4724403"/>
            <a:gd name="connsiteX3" fmla="*/ 0 w 4724400"/>
            <a:gd name="connsiteY3" fmla="*/ 475692 h 4724403"/>
            <a:gd name="connsiteX4" fmla="*/ 0 w 4724400"/>
            <a:gd name="connsiteY4" fmla="*/ 1752604 h 4724403"/>
            <a:gd name="connsiteX5" fmla="*/ 228600 w 4724400"/>
            <a:gd name="connsiteY5" fmla="*/ 1981204 h 4724403"/>
            <a:gd name="connsiteX6" fmla="*/ 1505512 w 4724400"/>
            <a:gd name="connsiteY6" fmla="*/ 1981204 h 4724403"/>
            <a:gd name="connsiteX7" fmla="*/ 1667161 w 4724400"/>
            <a:gd name="connsiteY7" fmla="*/ 1590955 h 4724403"/>
            <a:gd name="connsiteX8" fmla="*/ 1269492 w 4724400"/>
            <a:gd name="connsiteY8" fmla="*/ 1193286 h 4724403"/>
            <a:gd name="connsiteX9" fmla="*/ 2348008 w 4724400"/>
            <a:gd name="connsiteY9" fmla="*/ 762061 h 4724403"/>
            <a:gd name="connsiteX10" fmla="*/ 3962343 w 4724400"/>
            <a:gd name="connsiteY10" fmla="*/ 2375996 h 4724403"/>
            <a:gd name="connsiteX11" fmla="*/ 2362200 w 4724400"/>
            <a:gd name="connsiteY11" fmla="*/ 3962404 h 4724403"/>
            <a:gd name="connsiteX12" fmla="*/ 1308449 w 4724400"/>
            <a:gd name="connsiteY12" fmla="*/ 3566583 h 4724403"/>
            <a:gd name="connsiteX13" fmla="*/ 1152544 w 4724400"/>
            <a:gd name="connsiteY13" fmla="*/ 3571850 h 4724403"/>
            <a:gd name="connsiteX14" fmla="*/ 774763 w 4724400"/>
            <a:gd name="connsiteY14" fmla="*/ 3949631 h 4724403"/>
            <a:gd name="connsiteX15" fmla="*/ 779355 w 4724400"/>
            <a:gd name="connsiteY15" fmla="*/ 4115680 h 4724403"/>
            <a:gd name="connsiteX16" fmla="*/ 2362200 w 4724400"/>
            <a:gd name="connsiteY16" fmla="*/ 4724404 h 4724403"/>
            <a:gd name="connsiteX17" fmla="*/ 4724400 w 4724400"/>
            <a:gd name="connsiteY17" fmla="*/ 2362223 h 4724403"/>
            <a:gd name="connsiteX18" fmla="*/ 2357866 w 4724400"/>
            <a:gd name="connsiteY18" fmla="*/ 4 h 47244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4724400" h="4724403">
              <a:moveTo>
                <a:pt x="2357866" y="4"/>
              </a:moveTo>
              <a:cubicBezTo>
                <a:pt x="1726654" y="1137"/>
                <a:pt x="1153544" y="249873"/>
                <a:pt x="730425" y="654228"/>
              </a:cubicBezTo>
              <a:lnTo>
                <a:pt x="390249" y="314053"/>
              </a:lnTo>
              <a:cubicBezTo>
                <a:pt x="246231" y="170035"/>
                <a:pt x="0" y="272028"/>
                <a:pt x="0" y="475692"/>
              </a:cubicBezTo>
              <a:lnTo>
                <a:pt x="0" y="1752604"/>
              </a:lnTo>
              <a:cubicBezTo>
                <a:pt x="0" y="1878858"/>
                <a:pt x="102346" y="1981204"/>
                <a:pt x="228600" y="1981204"/>
              </a:cubicBezTo>
              <a:lnTo>
                <a:pt x="1505512" y="1981204"/>
              </a:lnTo>
              <a:cubicBezTo>
                <a:pt x="1709176" y="1981204"/>
                <a:pt x="1811169" y="1734973"/>
                <a:pt x="1667161" y="1590955"/>
              </a:cubicBezTo>
              <a:lnTo>
                <a:pt x="1269492" y="1193286"/>
              </a:lnTo>
              <a:cubicBezTo>
                <a:pt x="1563472" y="918023"/>
                <a:pt x="1943872" y="765547"/>
                <a:pt x="2348008" y="762061"/>
              </a:cubicBezTo>
              <a:cubicBezTo>
                <a:pt x="3228099" y="754460"/>
                <a:pt x="3969953" y="1466692"/>
                <a:pt x="3962343" y="2375996"/>
              </a:cubicBezTo>
              <a:cubicBezTo>
                <a:pt x="3955123" y="3238590"/>
                <a:pt x="3255798" y="3962404"/>
                <a:pt x="2362200" y="3962404"/>
              </a:cubicBezTo>
              <a:cubicBezTo>
                <a:pt x="1970465" y="3962404"/>
                <a:pt x="1600229" y="3822596"/>
                <a:pt x="1308449" y="3566583"/>
              </a:cubicBezTo>
              <a:cubicBezTo>
                <a:pt x="1263272" y="3526949"/>
                <a:pt x="1195045" y="3529359"/>
                <a:pt x="1152544" y="3571850"/>
              </a:cubicBezTo>
              <a:lnTo>
                <a:pt x="774763" y="3949631"/>
              </a:lnTo>
              <a:cubicBezTo>
                <a:pt x="728358" y="3996037"/>
                <a:pt x="730653" y="4071694"/>
                <a:pt x="779355" y="4115680"/>
              </a:cubicBezTo>
              <a:cubicBezTo>
                <a:pt x="1198226" y="4494023"/>
                <a:pt x="1753305" y="4724404"/>
                <a:pt x="2362200" y="4724404"/>
              </a:cubicBezTo>
              <a:cubicBezTo>
                <a:pt x="3666801" y="4724404"/>
                <a:pt x="4724391" y="3666815"/>
                <a:pt x="4724400" y="2362223"/>
              </a:cubicBezTo>
              <a:cubicBezTo>
                <a:pt x="4724410" y="1059117"/>
                <a:pt x="3660972" y="-2330"/>
                <a:pt x="2357866" y="4"/>
              </a:cubicBezTo>
              <a:close/>
            </a:path>
          </a:pathLst>
        </a:custGeom>
        <a:solidFill>
          <a:schemeClr val="bg1"/>
        </a:solidFill>
        <a:ln w="9525" cap="flat">
          <a:noFill/>
          <a:prstDash val="solid"/>
          <a:miter/>
        </a:ln>
      </xdr:spPr>
      <xdr:txBody>
        <a:bodyPr rtlCol="0" anchor="ctr"/>
        <a:lstStyle/>
        <a:p>
          <a:endParaRPr lang="en-US"/>
        </a:p>
      </xdr:txBody>
    </xdr:sp>
    <xdr:clientData/>
  </xdr:twoCellAnchor>
  <xdr:twoCellAnchor editAs="oneCell">
    <xdr:from>
      <xdr:col>16</xdr:col>
      <xdr:colOff>44824</xdr:colOff>
      <xdr:row>6</xdr:row>
      <xdr:rowOff>201706</xdr:rowOff>
    </xdr:from>
    <xdr:to>
      <xdr:col>17</xdr:col>
      <xdr:colOff>1359087</xdr:colOff>
      <xdr:row>6</xdr:row>
      <xdr:rowOff>598581</xdr:rowOff>
    </xdr:to>
    <xdr:pic>
      <xdr:nvPicPr>
        <xdr:cNvPr id="45" name="VIIM804d1bxeTO0SUmb33A==" descr="s_0_##md_0_model_frontpage_header|md_1_header_0_0#______#md_0_model_frontpage_header#s_0_fpLogo">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88899" y="201706"/>
          <a:ext cx="1692088"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228601</xdr:colOff>
      <xdr:row>12</xdr:row>
      <xdr:rowOff>34637</xdr:rowOff>
    </xdr:from>
    <xdr:to>
      <xdr:col>41</xdr:col>
      <xdr:colOff>723900</xdr:colOff>
      <xdr:row>12</xdr:row>
      <xdr:rowOff>311727</xdr:rowOff>
    </xdr:to>
    <xdr:pic>
      <xdr:nvPicPr>
        <xdr:cNvPr id="4" name="g0+J/Xhz78jw0/qGEagnxg==" descr="s_0_##md_0_model_scenario-assumptions|md_2_scenarios_start|md_2_start_0_1#_______#md_0_model_scenario-assumptions__logo#s_2_rLogo">
          <a:extLst>
            <a:ext uri="{FF2B5EF4-FFF2-40B4-BE49-F238E27FC236}">
              <a16:creationId xmlns:a16="http://schemas.microsoft.com/office/drawing/2014/main" id="{00000000-0008-0000-0300-000004000000}"/>
            </a:ext>
          </a:extLst>
        </xdr:cNvPr>
        <xdr:cNvPicPr>
          <a:picLocks/>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228601" y="34637"/>
          <a:ext cx="1257299" cy="277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123825</xdr:colOff>
      <xdr:row>1</xdr:row>
      <xdr:rowOff>171451</xdr:rowOff>
    </xdr:from>
    <xdr:to>
      <xdr:col>9</xdr:col>
      <xdr:colOff>22860</xdr:colOff>
      <xdr:row>1</xdr:row>
      <xdr:rowOff>411481</xdr:rowOff>
    </xdr:to>
    <xdr:pic>
      <xdr:nvPicPr>
        <xdr:cNvPr id="2" name="img_logo">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biLevel thresh="25000"/>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0"/>
          <a:ext cx="22860" cy="0"/>
        </a:xfrm>
        <a:prstGeom prst="rect">
          <a:avLst/>
        </a:prstGeom>
      </xdr:spPr>
    </xdr:pic>
    <xdr:clientData/>
  </xdr:twoCellAnchor>
  <xdr:twoCellAnchor>
    <xdr:from>
      <xdr:col>8</xdr:col>
      <xdr:colOff>126423</xdr:colOff>
      <xdr:row>1</xdr:row>
      <xdr:rowOff>787978</xdr:rowOff>
    </xdr:from>
    <xdr:to>
      <xdr:col>10</xdr:col>
      <xdr:colOff>100541</xdr:colOff>
      <xdr:row>1</xdr:row>
      <xdr:rowOff>1126644</xdr:rowOff>
    </xdr:to>
    <xdr:pic>
      <xdr:nvPicPr>
        <xdr:cNvPr id="3" name="img_clipboard">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205316" cy="0"/>
        </a:xfrm>
        <a:prstGeom prst="rect">
          <a:avLst/>
        </a:prstGeom>
      </xdr:spPr>
    </xdr:pic>
    <xdr:clientData/>
  </xdr:twoCellAnchor>
  <xdr:twoCellAnchor>
    <xdr:from>
      <xdr:col>24</xdr:col>
      <xdr:colOff>119742</xdr:colOff>
      <xdr:row>0</xdr:row>
      <xdr:rowOff>0</xdr:rowOff>
    </xdr:from>
    <xdr:to>
      <xdr:col>39</xdr:col>
      <xdr:colOff>101558</xdr:colOff>
      <xdr:row>0</xdr:row>
      <xdr:rowOff>0</xdr:rowOff>
    </xdr:to>
    <xdr:grpSp>
      <xdr:nvGrpSpPr>
        <xdr:cNvPr id="4" name="svg_risks" descr="s_0_##md_0_model_reporting_header|md_3_header_title|md_3_start_line1b_0|md_3_risks-matrix_0#__________#md_0_model_reporting_dashboard_l1b#s_0_risks">
          <a:extLst>
            <a:ext uri="{FF2B5EF4-FFF2-40B4-BE49-F238E27FC236}">
              <a16:creationId xmlns:a16="http://schemas.microsoft.com/office/drawing/2014/main" id="{00000000-0008-0000-0400-000004000000}"/>
            </a:ext>
          </a:extLst>
        </xdr:cNvPr>
        <xdr:cNvGrpSpPr/>
      </xdr:nvGrpSpPr>
      <xdr:grpSpPr>
        <a:xfrm>
          <a:off x="7682592" y="0"/>
          <a:ext cx="6363566" cy="0"/>
          <a:chOff x="16803092" y="1691915"/>
          <a:chExt cx="7907480" cy="4227192"/>
        </a:xfrm>
      </xdr:grpSpPr>
      <xdr:cxnSp macro="">
        <xdr:nvCxnSpPr>
          <xdr:cNvPr id="5" name="risks_0_0">
            <a:extLst>
              <a:ext uri="{FF2B5EF4-FFF2-40B4-BE49-F238E27FC236}">
                <a16:creationId xmlns:a16="http://schemas.microsoft.com/office/drawing/2014/main" id="{00000000-0008-0000-0400-000005000000}"/>
              </a:ext>
            </a:extLst>
          </xdr:cNvPr>
          <xdr:cNvCxnSpPr>
            <a:stCxn id="33" idx="0"/>
            <a:endCxn id="38" idx="0"/>
          </xdr:cNvCxnSpPr>
        </xdr:nvCxnSpPr>
        <xdr:spPr>
          <a:xfrm rot="10800000" flipH="1" flipV="1">
            <a:off x="17436190" y="2185262"/>
            <a:ext cx="7172919" cy="3198143"/>
          </a:xfrm>
          <a:prstGeom prst="bentConnector3">
            <a:avLst>
              <a:gd name="adj1" fmla="val -70"/>
            </a:avLst>
          </a:prstGeom>
          <a:ln w="12700">
            <a:solidFill>
              <a:srgbClr val="CDCDCD"/>
            </a:solidFill>
          </a:ln>
        </xdr:spPr>
        <xdr:style>
          <a:lnRef idx="1">
            <a:schemeClr val="dk1"/>
          </a:lnRef>
          <a:fillRef idx="0">
            <a:schemeClr val="dk1"/>
          </a:fillRef>
          <a:effectRef idx="0">
            <a:schemeClr val="dk1"/>
          </a:effectRef>
          <a:fontRef idx="minor">
            <a:schemeClr val="tx1"/>
          </a:fontRef>
        </xdr:style>
      </xdr:cxnSp>
      <xdr:sp macro="" textlink="">
        <xdr:nvSpPr>
          <xdr:cNvPr id="6" name="risks_5_5">
            <a:extLst>
              <a:ext uri="{FF2B5EF4-FFF2-40B4-BE49-F238E27FC236}">
                <a16:creationId xmlns:a16="http://schemas.microsoft.com/office/drawing/2014/main" id="{00000000-0008-0000-0400-000006000000}"/>
              </a:ext>
            </a:extLst>
          </xdr:cNvPr>
          <xdr:cNvSpPr/>
        </xdr:nvSpPr>
        <xdr:spPr>
          <a:xfrm flipH="1">
            <a:off x="23300214" y="2185681"/>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8080"/>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0"/>
              <a:satOff val="0"/>
              <a:lumOff val="0"/>
              <a:alphaOff val="0"/>
            </a:schemeClr>
          </a:fillRef>
          <a:effectRef idx="3">
            <a:schemeClr val="accent2">
              <a:hueOff val="0"/>
              <a:satOff val="0"/>
              <a:lumOff val="0"/>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7" name="risks_4_5">
            <a:extLst>
              <a:ext uri="{FF2B5EF4-FFF2-40B4-BE49-F238E27FC236}">
                <a16:creationId xmlns:a16="http://schemas.microsoft.com/office/drawing/2014/main" id="{00000000-0008-0000-0400-000007000000}"/>
              </a:ext>
            </a:extLst>
          </xdr:cNvPr>
          <xdr:cNvSpPr/>
        </xdr:nvSpPr>
        <xdr:spPr>
          <a:xfrm flipH="1">
            <a:off x="21855567" y="2185681"/>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8080"/>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195063"/>
              <a:satOff val="-243"/>
              <a:lumOff val="57"/>
              <a:alphaOff val="0"/>
            </a:schemeClr>
          </a:fillRef>
          <a:effectRef idx="3">
            <a:schemeClr val="accent2">
              <a:hueOff val="195063"/>
              <a:satOff val="-243"/>
              <a:lumOff val="57"/>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8" name="risks_3_5">
            <a:extLst>
              <a:ext uri="{FF2B5EF4-FFF2-40B4-BE49-F238E27FC236}">
                <a16:creationId xmlns:a16="http://schemas.microsoft.com/office/drawing/2014/main" id="{00000000-0008-0000-0400-000008000000}"/>
              </a:ext>
            </a:extLst>
          </xdr:cNvPr>
          <xdr:cNvSpPr/>
        </xdr:nvSpPr>
        <xdr:spPr>
          <a:xfrm flipH="1">
            <a:off x="20410918" y="2185681"/>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8080"/>
          </a:solidFill>
          <a:ln>
            <a:noFill/>
          </a:ln>
          <a:effectLst>
            <a:innerShdw blurRad="25400" dist="25145" dir="18900000">
              <a:scrgbClr r="0" g="0" b="0">
                <a:alpha val="30000"/>
              </a:scrgbClr>
            </a:innerShdw>
          </a:effectLst>
          <a:extLst>
            <a:ext uri="{91240B29-F687-4F45-9708-019B960494DF}">
              <a14:hiddenLine xmlns:a14="http://schemas.microsoft.com/office/drawing/2010/main">
                <a:noFill/>
              </a14:hiddenLine>
            </a:ext>
          </a:extLst>
        </xdr:spPr>
        <xdr:style>
          <a:lnRef idx="0">
            <a:schemeClr val="lt1">
              <a:hueOff val="0"/>
              <a:satOff val="0"/>
              <a:lumOff val="0"/>
              <a:alphaOff val="0"/>
            </a:schemeClr>
          </a:lnRef>
          <a:fillRef idx="3">
            <a:schemeClr val="accent2">
              <a:hueOff val="195063"/>
              <a:satOff val="-243"/>
              <a:lumOff val="57"/>
              <a:alphaOff val="0"/>
            </a:schemeClr>
          </a:fillRef>
          <a:effectRef idx="3">
            <a:schemeClr val="accent2">
              <a:hueOff val="195063"/>
              <a:satOff val="-243"/>
              <a:lumOff val="57"/>
              <a:alphaOff val="0"/>
            </a:schemeClr>
          </a:effectRef>
          <a:fontRef idx="minor">
            <a:schemeClr val="lt1"/>
          </a:fontRef>
        </xdr:style>
        <xdr: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ea typeface="+mn-ea"/>
                <a:cs typeface="Arial" panose="020B0604020202020204" pitchFamily="34" charset="0"/>
              </a:rPr>
              <a:t>R5</a:t>
            </a:r>
          </a:p>
        </xdr:txBody>
      </xdr:sp>
      <xdr:sp macro="" textlink="">
        <xdr:nvSpPr>
          <xdr:cNvPr id="9" name="risks_2_5">
            <a:extLst>
              <a:ext uri="{FF2B5EF4-FFF2-40B4-BE49-F238E27FC236}">
                <a16:creationId xmlns:a16="http://schemas.microsoft.com/office/drawing/2014/main" id="{00000000-0008-0000-0400-000009000000}"/>
              </a:ext>
            </a:extLst>
          </xdr:cNvPr>
          <xdr:cNvSpPr/>
        </xdr:nvSpPr>
        <xdr:spPr>
          <a:xfrm flipH="1">
            <a:off x="18966271" y="2185681"/>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8080"/>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585190"/>
              <a:satOff val="-730"/>
              <a:lumOff val="172"/>
              <a:alphaOff val="0"/>
            </a:schemeClr>
          </a:fillRef>
          <a:effectRef idx="3">
            <a:schemeClr val="accent2">
              <a:hueOff val="585190"/>
              <a:satOff val="-730"/>
              <a:lumOff val="172"/>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10" name="risks_1_5">
            <a:extLst>
              <a:ext uri="{FF2B5EF4-FFF2-40B4-BE49-F238E27FC236}">
                <a16:creationId xmlns:a16="http://schemas.microsoft.com/office/drawing/2014/main" id="{00000000-0008-0000-0400-00000A000000}"/>
              </a:ext>
            </a:extLst>
          </xdr:cNvPr>
          <xdr:cNvSpPr/>
        </xdr:nvSpPr>
        <xdr:spPr>
          <a:xfrm flipH="1">
            <a:off x="17521622" y="2185681"/>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FF80"/>
          </a:solidFill>
          <a:ln>
            <a:noFill/>
          </a:ln>
          <a:effectLst>
            <a:innerShdw blurRad="25400" dist="25145" dir="18900000">
              <a:scrgbClr r="0" g="0" b="0">
                <a:alpha val="30000"/>
              </a:scrgbClr>
            </a:innerShdw>
          </a:effectLst>
          <a:extLst>
            <a:ext uri="{91240B29-F687-4F45-9708-019B960494DF}">
              <a14:hiddenLine xmlns:a14="http://schemas.microsoft.com/office/drawing/2010/main">
                <a:noFill/>
              </a14:hiddenLine>
            </a:ext>
          </a:extLst>
        </xdr:spPr>
        <xdr:style>
          <a:lnRef idx="0">
            <a:schemeClr val="lt1">
              <a:hueOff val="0"/>
              <a:satOff val="0"/>
              <a:lumOff val="0"/>
              <a:alphaOff val="0"/>
            </a:schemeClr>
          </a:lnRef>
          <a:fillRef idx="3">
            <a:schemeClr val="accent2">
              <a:hueOff val="780253"/>
              <a:satOff val="-973"/>
              <a:lumOff val="229"/>
              <a:alphaOff val="0"/>
            </a:schemeClr>
          </a:fillRef>
          <a:effectRef idx="3">
            <a:schemeClr val="accent2">
              <a:hueOff val="780253"/>
              <a:satOff val="-973"/>
              <a:lumOff val="229"/>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R3</a:t>
            </a:r>
          </a:p>
        </xdr:txBody>
      </xdr:sp>
      <xdr:sp macro="" textlink="">
        <xdr:nvSpPr>
          <xdr:cNvPr id="11" name="risks_5_4">
            <a:extLst>
              <a:ext uri="{FF2B5EF4-FFF2-40B4-BE49-F238E27FC236}">
                <a16:creationId xmlns:a16="http://schemas.microsoft.com/office/drawing/2014/main" id="{00000000-0008-0000-0400-00000B000000}"/>
              </a:ext>
            </a:extLst>
          </xdr:cNvPr>
          <xdr:cNvSpPr/>
        </xdr:nvSpPr>
        <xdr:spPr>
          <a:xfrm flipH="1">
            <a:off x="23300214" y="2810674"/>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8080"/>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975316"/>
              <a:satOff val="-1216"/>
              <a:lumOff val="286"/>
              <a:alphaOff val="0"/>
            </a:schemeClr>
          </a:fillRef>
          <a:effectRef idx="3">
            <a:schemeClr val="accent2">
              <a:hueOff val="975316"/>
              <a:satOff val="-1216"/>
              <a:lumOff val="286"/>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12" name="risks_4_4">
            <a:extLst>
              <a:ext uri="{FF2B5EF4-FFF2-40B4-BE49-F238E27FC236}">
                <a16:creationId xmlns:a16="http://schemas.microsoft.com/office/drawing/2014/main" id="{00000000-0008-0000-0400-00000C000000}"/>
              </a:ext>
            </a:extLst>
          </xdr:cNvPr>
          <xdr:cNvSpPr/>
        </xdr:nvSpPr>
        <xdr:spPr>
          <a:xfrm flipH="1">
            <a:off x="21855567" y="2810674"/>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8080"/>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1170380"/>
              <a:satOff val="-1460"/>
              <a:lumOff val="343"/>
              <a:alphaOff val="0"/>
            </a:schemeClr>
          </a:fillRef>
          <a:effectRef idx="3">
            <a:schemeClr val="accent2">
              <a:hueOff val="1170380"/>
              <a:satOff val="-1460"/>
              <a:lumOff val="343"/>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13" name="risks_3_4">
            <a:extLst>
              <a:ext uri="{FF2B5EF4-FFF2-40B4-BE49-F238E27FC236}">
                <a16:creationId xmlns:a16="http://schemas.microsoft.com/office/drawing/2014/main" id="{00000000-0008-0000-0400-00000D000000}"/>
              </a:ext>
            </a:extLst>
          </xdr:cNvPr>
          <xdr:cNvSpPr/>
        </xdr:nvSpPr>
        <xdr:spPr>
          <a:xfrm flipH="1">
            <a:off x="20410918" y="2810674"/>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8080"/>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1365443"/>
              <a:satOff val="-1703"/>
              <a:lumOff val="400"/>
              <a:alphaOff val="0"/>
            </a:schemeClr>
          </a:fillRef>
          <a:effectRef idx="3">
            <a:schemeClr val="accent2">
              <a:hueOff val="1365443"/>
              <a:satOff val="-1703"/>
              <a:lumOff val="400"/>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14" name="risks_2_4">
            <a:extLst>
              <a:ext uri="{FF2B5EF4-FFF2-40B4-BE49-F238E27FC236}">
                <a16:creationId xmlns:a16="http://schemas.microsoft.com/office/drawing/2014/main" id="{00000000-0008-0000-0400-00000E000000}"/>
              </a:ext>
            </a:extLst>
          </xdr:cNvPr>
          <xdr:cNvSpPr/>
        </xdr:nvSpPr>
        <xdr:spPr>
          <a:xfrm flipH="1">
            <a:off x="18966271" y="2810674"/>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FF80"/>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1560506"/>
              <a:satOff val="-1946"/>
              <a:lumOff val="458"/>
              <a:alphaOff val="0"/>
            </a:schemeClr>
          </a:fillRef>
          <a:effectRef idx="3">
            <a:schemeClr val="accent2">
              <a:hueOff val="1560506"/>
              <a:satOff val="-1946"/>
              <a:lumOff val="458"/>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15" name="risks_1_4">
            <a:extLst>
              <a:ext uri="{FF2B5EF4-FFF2-40B4-BE49-F238E27FC236}">
                <a16:creationId xmlns:a16="http://schemas.microsoft.com/office/drawing/2014/main" id="{00000000-0008-0000-0400-00000F000000}"/>
              </a:ext>
            </a:extLst>
          </xdr:cNvPr>
          <xdr:cNvSpPr/>
        </xdr:nvSpPr>
        <xdr:spPr>
          <a:xfrm flipH="1">
            <a:off x="17521622" y="2810674"/>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50D092"/>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1755570"/>
              <a:satOff val="-2190"/>
              <a:lumOff val="515"/>
              <a:alphaOff val="0"/>
            </a:schemeClr>
          </a:fillRef>
          <a:effectRef idx="3">
            <a:schemeClr val="accent2">
              <a:hueOff val="1755570"/>
              <a:satOff val="-2190"/>
              <a:lumOff val="515"/>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16" name="risks_5_3">
            <a:extLst>
              <a:ext uri="{FF2B5EF4-FFF2-40B4-BE49-F238E27FC236}">
                <a16:creationId xmlns:a16="http://schemas.microsoft.com/office/drawing/2014/main" id="{00000000-0008-0000-0400-000010000000}"/>
              </a:ext>
            </a:extLst>
          </xdr:cNvPr>
          <xdr:cNvSpPr/>
        </xdr:nvSpPr>
        <xdr:spPr>
          <a:xfrm flipH="1">
            <a:off x="23300214" y="3435670"/>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8080"/>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1950633"/>
              <a:satOff val="-2433"/>
              <a:lumOff val="572"/>
              <a:alphaOff val="0"/>
            </a:schemeClr>
          </a:fillRef>
          <a:effectRef idx="3">
            <a:schemeClr val="accent2">
              <a:hueOff val="1950633"/>
              <a:satOff val="-2433"/>
              <a:lumOff val="572"/>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17" name="risks_4_3">
            <a:extLst>
              <a:ext uri="{FF2B5EF4-FFF2-40B4-BE49-F238E27FC236}">
                <a16:creationId xmlns:a16="http://schemas.microsoft.com/office/drawing/2014/main" id="{00000000-0008-0000-0400-000011000000}"/>
              </a:ext>
            </a:extLst>
          </xdr:cNvPr>
          <xdr:cNvSpPr/>
        </xdr:nvSpPr>
        <xdr:spPr>
          <a:xfrm flipH="1">
            <a:off x="21855567" y="3435670"/>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8080"/>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2145696"/>
              <a:satOff val="-2676"/>
              <a:lumOff val="629"/>
              <a:alphaOff val="0"/>
            </a:schemeClr>
          </a:fillRef>
          <a:effectRef idx="3">
            <a:schemeClr val="accent2">
              <a:hueOff val="2145696"/>
              <a:satOff val="-2676"/>
              <a:lumOff val="629"/>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18" name="risks_3_3">
            <a:extLst>
              <a:ext uri="{FF2B5EF4-FFF2-40B4-BE49-F238E27FC236}">
                <a16:creationId xmlns:a16="http://schemas.microsoft.com/office/drawing/2014/main" id="{00000000-0008-0000-0400-000012000000}"/>
              </a:ext>
            </a:extLst>
          </xdr:cNvPr>
          <xdr:cNvSpPr/>
        </xdr:nvSpPr>
        <xdr:spPr>
          <a:xfrm flipH="1">
            <a:off x="20410918" y="3435670"/>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FF80"/>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2340759"/>
              <a:satOff val="-2919"/>
              <a:lumOff val="686"/>
              <a:alphaOff val="0"/>
            </a:schemeClr>
          </a:fillRef>
          <a:effectRef idx="3">
            <a:schemeClr val="accent2">
              <a:hueOff val="2340759"/>
              <a:satOff val="-2919"/>
              <a:lumOff val="686"/>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19" name="risks_2_3">
            <a:extLst>
              <a:ext uri="{FF2B5EF4-FFF2-40B4-BE49-F238E27FC236}">
                <a16:creationId xmlns:a16="http://schemas.microsoft.com/office/drawing/2014/main" id="{00000000-0008-0000-0400-000013000000}"/>
              </a:ext>
            </a:extLst>
          </xdr:cNvPr>
          <xdr:cNvSpPr/>
        </xdr:nvSpPr>
        <xdr:spPr>
          <a:xfrm flipH="1">
            <a:off x="18966271" y="3435670"/>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FF80"/>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2535823"/>
              <a:satOff val="-3163"/>
              <a:lumOff val="744"/>
              <a:alphaOff val="0"/>
            </a:schemeClr>
          </a:fillRef>
          <a:effectRef idx="3">
            <a:schemeClr val="accent2">
              <a:hueOff val="2535823"/>
              <a:satOff val="-3163"/>
              <a:lumOff val="744"/>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20" name="risks_1_3">
            <a:extLst>
              <a:ext uri="{FF2B5EF4-FFF2-40B4-BE49-F238E27FC236}">
                <a16:creationId xmlns:a16="http://schemas.microsoft.com/office/drawing/2014/main" id="{00000000-0008-0000-0400-000014000000}"/>
              </a:ext>
            </a:extLst>
          </xdr:cNvPr>
          <xdr:cNvSpPr/>
        </xdr:nvSpPr>
        <xdr:spPr>
          <a:xfrm flipH="1">
            <a:off x="17521622" y="3435670"/>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50D092"/>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2730886"/>
              <a:satOff val="-3406"/>
              <a:lumOff val="801"/>
              <a:alphaOff val="0"/>
            </a:schemeClr>
          </a:fillRef>
          <a:effectRef idx="3">
            <a:schemeClr val="accent2">
              <a:hueOff val="2730886"/>
              <a:satOff val="-3406"/>
              <a:lumOff val="801"/>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21" name="risks_5_2">
            <a:extLst>
              <a:ext uri="{FF2B5EF4-FFF2-40B4-BE49-F238E27FC236}">
                <a16:creationId xmlns:a16="http://schemas.microsoft.com/office/drawing/2014/main" id="{00000000-0008-0000-0400-000015000000}"/>
              </a:ext>
            </a:extLst>
          </xdr:cNvPr>
          <xdr:cNvSpPr/>
        </xdr:nvSpPr>
        <xdr:spPr>
          <a:xfrm flipH="1">
            <a:off x="23300214" y="4060667"/>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8080"/>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2925949"/>
              <a:satOff val="-3649"/>
              <a:lumOff val="858"/>
              <a:alphaOff val="0"/>
            </a:schemeClr>
          </a:fillRef>
          <a:effectRef idx="3">
            <a:schemeClr val="accent2">
              <a:hueOff val="2925949"/>
              <a:satOff val="-3649"/>
              <a:lumOff val="858"/>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22" name="risks_4_2">
            <a:extLst>
              <a:ext uri="{FF2B5EF4-FFF2-40B4-BE49-F238E27FC236}">
                <a16:creationId xmlns:a16="http://schemas.microsoft.com/office/drawing/2014/main" id="{00000000-0008-0000-0400-000016000000}"/>
              </a:ext>
            </a:extLst>
          </xdr:cNvPr>
          <xdr:cNvSpPr/>
        </xdr:nvSpPr>
        <xdr:spPr>
          <a:xfrm flipH="1">
            <a:off x="21855567" y="4060667"/>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FF80"/>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3121013"/>
              <a:satOff val="-3893"/>
              <a:lumOff val="915"/>
              <a:alphaOff val="0"/>
            </a:schemeClr>
          </a:fillRef>
          <a:effectRef idx="3">
            <a:schemeClr val="accent2">
              <a:hueOff val="3121013"/>
              <a:satOff val="-3893"/>
              <a:lumOff val="915"/>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23" name="risks_3_2">
            <a:extLst>
              <a:ext uri="{FF2B5EF4-FFF2-40B4-BE49-F238E27FC236}">
                <a16:creationId xmlns:a16="http://schemas.microsoft.com/office/drawing/2014/main" id="{00000000-0008-0000-0400-000017000000}"/>
              </a:ext>
            </a:extLst>
          </xdr:cNvPr>
          <xdr:cNvSpPr/>
        </xdr:nvSpPr>
        <xdr:spPr>
          <a:xfrm flipH="1">
            <a:off x="20410918" y="4060667"/>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FF80"/>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3316076"/>
              <a:satOff val="-4136"/>
              <a:lumOff val="973"/>
              <a:alphaOff val="0"/>
            </a:schemeClr>
          </a:fillRef>
          <a:effectRef idx="3">
            <a:schemeClr val="accent2">
              <a:hueOff val="3316076"/>
              <a:satOff val="-4136"/>
              <a:lumOff val="973"/>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24" name="risks_2_2">
            <a:extLst>
              <a:ext uri="{FF2B5EF4-FFF2-40B4-BE49-F238E27FC236}">
                <a16:creationId xmlns:a16="http://schemas.microsoft.com/office/drawing/2014/main" id="{00000000-0008-0000-0400-000018000000}"/>
              </a:ext>
            </a:extLst>
          </xdr:cNvPr>
          <xdr:cNvSpPr/>
        </xdr:nvSpPr>
        <xdr:spPr>
          <a:xfrm flipH="1">
            <a:off x="18966271" y="4060667"/>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50D092"/>
          </a:solidFill>
          <a:ln>
            <a:noFill/>
          </a:ln>
          <a:effectLst>
            <a:innerShdw blurRad="25400" dist="25145" dir="18900000">
              <a:scrgbClr r="0" g="0" b="0">
                <a:alpha val="30000"/>
              </a:scrgbClr>
            </a:innerShdw>
          </a:effectLst>
          <a:extLst>
            <a:ext uri="{91240B29-F687-4F45-9708-019B960494DF}">
              <a14:hiddenLine xmlns:a14="http://schemas.microsoft.com/office/drawing/2010/main">
                <a:noFill/>
              </a14:hiddenLine>
            </a:ext>
          </a:extLst>
        </xdr:spPr>
        <xdr:style>
          <a:lnRef idx="0">
            <a:schemeClr val="lt1">
              <a:hueOff val="0"/>
              <a:satOff val="0"/>
              <a:lumOff val="0"/>
              <a:alphaOff val="0"/>
            </a:schemeClr>
          </a:lnRef>
          <a:fillRef idx="3">
            <a:schemeClr val="accent2">
              <a:hueOff val="3511139"/>
              <a:satOff val="-4379"/>
              <a:lumOff val="1030"/>
              <a:alphaOff val="0"/>
            </a:schemeClr>
          </a:fillRef>
          <a:effectRef idx="3">
            <a:schemeClr val="accent2">
              <a:hueOff val="3511139"/>
              <a:satOff val="-4379"/>
              <a:lumOff val="1030"/>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R2, R4</a:t>
            </a:r>
          </a:p>
        </xdr:txBody>
      </xdr:sp>
      <xdr:sp macro="" textlink="">
        <xdr:nvSpPr>
          <xdr:cNvPr id="25" name="risks_1_2">
            <a:extLst>
              <a:ext uri="{FF2B5EF4-FFF2-40B4-BE49-F238E27FC236}">
                <a16:creationId xmlns:a16="http://schemas.microsoft.com/office/drawing/2014/main" id="{00000000-0008-0000-0400-000019000000}"/>
              </a:ext>
            </a:extLst>
          </xdr:cNvPr>
          <xdr:cNvSpPr/>
        </xdr:nvSpPr>
        <xdr:spPr>
          <a:xfrm flipH="1">
            <a:off x="17521622" y="4060667"/>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50D092"/>
          </a:solidFill>
          <a:ln>
            <a:noFill/>
          </a:ln>
          <a:effectLst>
            <a:innerShdw blurRad="25400" dist="25145" dir="18900000">
              <a:scrgbClr r="0" g="0" b="0">
                <a:alpha val="30000"/>
              </a:scrgbClr>
            </a:innerShdw>
          </a:effectLst>
          <a:extLst>
            <a:ext uri="{91240B29-F687-4F45-9708-019B960494DF}">
              <a14:hiddenLine xmlns:a14="http://schemas.microsoft.com/office/drawing/2010/main">
                <a:noFill/>
              </a14:hiddenLine>
            </a:ext>
          </a:extLst>
        </xdr:spPr>
        <xdr:style>
          <a:lnRef idx="0">
            <a:schemeClr val="lt1">
              <a:hueOff val="0"/>
              <a:satOff val="0"/>
              <a:lumOff val="0"/>
              <a:alphaOff val="0"/>
            </a:schemeClr>
          </a:lnRef>
          <a:fillRef idx="3">
            <a:schemeClr val="accent2">
              <a:hueOff val="3706203"/>
              <a:satOff val="-4623"/>
              <a:lumOff val="1087"/>
              <a:alphaOff val="0"/>
            </a:schemeClr>
          </a:fillRef>
          <a:effectRef idx="3">
            <a:schemeClr val="accent2">
              <a:hueOff val="3706203"/>
              <a:satOff val="-4623"/>
              <a:lumOff val="1087"/>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R1</a:t>
            </a:r>
          </a:p>
        </xdr:txBody>
      </xdr:sp>
      <xdr:sp macro="" textlink="">
        <xdr:nvSpPr>
          <xdr:cNvPr id="26" name="risks_5_1">
            <a:extLst>
              <a:ext uri="{FF2B5EF4-FFF2-40B4-BE49-F238E27FC236}">
                <a16:creationId xmlns:a16="http://schemas.microsoft.com/office/drawing/2014/main" id="{00000000-0008-0000-0400-00001A000000}"/>
              </a:ext>
            </a:extLst>
          </xdr:cNvPr>
          <xdr:cNvSpPr/>
        </xdr:nvSpPr>
        <xdr:spPr>
          <a:xfrm flipH="1">
            <a:off x="23300214" y="4685660"/>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FFFF80"/>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3901266"/>
              <a:satOff val="-4866"/>
              <a:lumOff val="1144"/>
              <a:alphaOff val="0"/>
            </a:schemeClr>
          </a:fillRef>
          <a:effectRef idx="3">
            <a:schemeClr val="accent2">
              <a:hueOff val="3901266"/>
              <a:satOff val="-4866"/>
              <a:lumOff val="1144"/>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27" name="risks_4_1">
            <a:extLst>
              <a:ext uri="{FF2B5EF4-FFF2-40B4-BE49-F238E27FC236}">
                <a16:creationId xmlns:a16="http://schemas.microsoft.com/office/drawing/2014/main" id="{00000000-0008-0000-0400-00001B000000}"/>
              </a:ext>
            </a:extLst>
          </xdr:cNvPr>
          <xdr:cNvSpPr/>
        </xdr:nvSpPr>
        <xdr:spPr>
          <a:xfrm flipH="1">
            <a:off x="21855567" y="4685660"/>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50D092"/>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4096329"/>
              <a:satOff val="-5109"/>
              <a:lumOff val="1201"/>
              <a:alphaOff val="0"/>
            </a:schemeClr>
          </a:fillRef>
          <a:effectRef idx="3">
            <a:schemeClr val="accent2">
              <a:hueOff val="4096329"/>
              <a:satOff val="-5109"/>
              <a:lumOff val="1201"/>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28" name="risks_3_1">
            <a:extLst>
              <a:ext uri="{FF2B5EF4-FFF2-40B4-BE49-F238E27FC236}">
                <a16:creationId xmlns:a16="http://schemas.microsoft.com/office/drawing/2014/main" id="{00000000-0008-0000-0400-00001C000000}"/>
              </a:ext>
            </a:extLst>
          </xdr:cNvPr>
          <xdr:cNvSpPr/>
        </xdr:nvSpPr>
        <xdr:spPr>
          <a:xfrm flipH="1">
            <a:off x="20410918" y="4685660"/>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50D092"/>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4291393"/>
              <a:satOff val="-5352"/>
              <a:lumOff val="1259"/>
              <a:alphaOff val="0"/>
            </a:schemeClr>
          </a:fillRef>
          <a:effectRef idx="3">
            <a:schemeClr val="accent2">
              <a:hueOff val="4291393"/>
              <a:satOff val="-5352"/>
              <a:lumOff val="1259"/>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29" name="risks_2_1">
            <a:extLst>
              <a:ext uri="{FF2B5EF4-FFF2-40B4-BE49-F238E27FC236}">
                <a16:creationId xmlns:a16="http://schemas.microsoft.com/office/drawing/2014/main" id="{00000000-0008-0000-0400-00001D000000}"/>
              </a:ext>
            </a:extLst>
          </xdr:cNvPr>
          <xdr:cNvSpPr/>
        </xdr:nvSpPr>
        <xdr:spPr>
          <a:xfrm flipH="1">
            <a:off x="18966271" y="4685660"/>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50D092"/>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4486456"/>
              <a:satOff val="-5596"/>
              <a:lumOff val="1316"/>
              <a:alphaOff val="0"/>
            </a:schemeClr>
          </a:fillRef>
          <a:effectRef idx="3">
            <a:schemeClr val="accent2">
              <a:hueOff val="4486456"/>
              <a:satOff val="-5596"/>
              <a:lumOff val="1316"/>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30" name="risks_1_1">
            <a:extLst>
              <a:ext uri="{FF2B5EF4-FFF2-40B4-BE49-F238E27FC236}">
                <a16:creationId xmlns:a16="http://schemas.microsoft.com/office/drawing/2014/main" id="{00000000-0008-0000-0400-00001E000000}"/>
              </a:ext>
            </a:extLst>
          </xdr:cNvPr>
          <xdr:cNvSpPr/>
        </xdr:nvSpPr>
        <xdr:spPr>
          <a:xfrm flipH="1">
            <a:off x="17521622" y="4685660"/>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solidFill>
            <a:srgbClr val="50D092"/>
          </a:solidFill>
          <a:ln>
            <a:noFill/>
          </a:ln>
          <a:effectLst/>
          <a:extLst>
            <a:ext uri="{91240B29-F687-4F45-9708-019B960494DF}">
              <a14:hiddenLine xmlns:a14="http://schemas.microsoft.com/office/drawing/2010/main">
                <a:noFill/>
              </a14:hiddenLine>
            </a:ext>
            <a:ext uri="{AF507438-7753-43E0-B8FC-AC1667EBCBE1}">
              <a14:hiddenEffects xmlns:a14="http://schemas.microsoft.com/office/drawing/2010/main">
                <a:effectLst>
                  <a:innerShdw blurRad="25400" dist="25145" dir="18900000">
                    <a:scrgbClr r="0" g="0" b="0">
                      <a:alpha val="30000"/>
                    </a:scrgbClr>
                  </a:innerShdw>
                </a:effectLst>
              </a14:hiddenEffects>
            </a:ext>
          </a:extLst>
        </xdr:spPr>
        <xdr:style>
          <a:lnRef idx="0">
            <a:schemeClr val="lt1">
              <a:hueOff val="0"/>
              <a:satOff val="0"/>
              <a:lumOff val="0"/>
              <a:alphaOff val="0"/>
            </a:schemeClr>
          </a:lnRef>
          <a:fillRef idx="3">
            <a:schemeClr val="accent2">
              <a:hueOff val="4681519"/>
              <a:satOff val="-5839"/>
              <a:lumOff val="1373"/>
              <a:alphaOff val="0"/>
            </a:schemeClr>
          </a:fillRef>
          <a:effectRef idx="3">
            <a:schemeClr val="accent2">
              <a:hueOff val="4681519"/>
              <a:satOff val="-5839"/>
              <a:lumOff val="1373"/>
              <a:alphaOff val="0"/>
            </a:schemeClr>
          </a:effectRef>
          <a:fontRef idx="minor">
            <a:schemeClr val="lt1"/>
          </a:fontRef>
        </xdr:style>
        <xdr:txBody>
          <a:bodyPr spcFirstLastPara="0" vert="horz" wrap="square" lIns="38100" tIns="38100" rIns="38100" bIns="38100" numCol="1" spcCol="1270" anchor="ctr" anchorCtr="0">
            <a:noAutofit/>
          </a:bodyPr>
          <a:lstStyle/>
          <a:p>
            <a:pPr lvl="0" indent="0" algn="ctr" defTabSz="444500">
              <a:lnSpc>
                <a:spcPct val="90000"/>
              </a:lnSpc>
              <a:spcBef>
                <a:spcPct val="0"/>
              </a:spcBef>
              <a:spcAft>
                <a:spcPct val="35000"/>
              </a:spcAft>
            </a:pPr>
            <a:r>
              <a:rPr lang="en-US" sz="800" b="1" kern="1200">
                <a:solidFill>
                  <a:srgbClr val="000000"/>
                </a:solidFill>
                <a:latin typeface="Arial" panose="020B0604020202020204" pitchFamily="34" charset="0"/>
                <a:cs typeface="Arial" panose="020B0604020202020204" pitchFamily="34" charset="0"/>
              </a:rPr>
              <a:t> </a:t>
            </a:r>
          </a:p>
        </xdr:txBody>
      </xdr:sp>
      <xdr:sp macro="" textlink="">
        <xdr:nvSpPr>
          <xdr:cNvPr id="31" name="risks_1">
            <a:extLst>
              <a:ext uri="{FF2B5EF4-FFF2-40B4-BE49-F238E27FC236}">
                <a16:creationId xmlns:a16="http://schemas.microsoft.com/office/drawing/2014/main" id="{00000000-0008-0000-0400-00001F000000}"/>
              </a:ext>
            </a:extLst>
          </xdr:cNvPr>
          <xdr:cNvSpPr/>
        </xdr:nvSpPr>
        <xdr:spPr>
          <a:xfrm>
            <a:off x="16803092" y="5421217"/>
            <a:ext cx="1200603" cy="436710"/>
          </a:xfrm>
          <a:prstGeom prst="rect">
            <a:avLst/>
          </a:prstGeom>
          <a:noFill/>
          <a:ln w="12700" cap="flat" cmpd="sng" algn="ctr">
            <a:noFill/>
            <a:prstDash val="solid"/>
            <a:miter lim="800000"/>
          </a:ln>
          <a:effectLst/>
          <a:extLst>
            <a:ext uri="{909E8E84-426E-40DD-AFC4-6F175D3DCCD1}">
              <a14:hiddenFill xmlns:a14="http://schemas.microsoft.com/office/drawing/2010/main">
                <a:noFill/>
              </a14:hiddenFill>
            </a:ext>
            <a:ext uri="{91240B29-F687-4F45-9708-019B960494DF}">
              <a14:hiddenLine xmlns:a14="http://schemas.microsoft.com/office/drawing/2010/main" w="12700" cap="flat" cmpd="sng" algn="ctr">
                <a:no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da-DK" sz="900" b="1" cap="none" spc="0">
                <a:ln w="0"/>
                <a:solidFill>
                  <a:schemeClr val="tx1"/>
                </a:solidFill>
                <a:effectLst/>
                <a:latin typeface="Arial" panose="020B0604020202020204" pitchFamily="34" charset="0"/>
                <a:ea typeface="+mn-ea"/>
                <a:cs typeface="Arial" panose="020B0604020202020204" pitchFamily="34" charset="0"/>
              </a:rPr>
              <a:t>Sandsynlighed</a:t>
            </a:r>
            <a:endParaRPr lang="da-DK" sz="800" b="1" cap="none" spc="0">
              <a:ln w="0"/>
              <a:solidFill>
                <a:schemeClr val="tx1"/>
              </a:solidFill>
              <a:effectLst/>
              <a:latin typeface="Arial" panose="020B0604020202020204" pitchFamily="34" charset="0"/>
              <a:ea typeface="+mn-ea"/>
              <a:cs typeface="Arial" panose="020B0604020202020204" pitchFamily="34" charset="0"/>
            </a:endParaRPr>
          </a:p>
        </xdr:txBody>
      </xdr:sp>
      <xdr:sp macro="" textlink="">
        <xdr:nvSpPr>
          <xdr:cNvPr id="32" name="risks_0">
            <a:extLst>
              <a:ext uri="{FF2B5EF4-FFF2-40B4-BE49-F238E27FC236}">
                <a16:creationId xmlns:a16="http://schemas.microsoft.com/office/drawing/2014/main" id="{00000000-0008-0000-0400-000020000000}"/>
              </a:ext>
            </a:extLst>
          </xdr:cNvPr>
          <xdr:cNvSpPr/>
        </xdr:nvSpPr>
        <xdr:spPr>
          <a:xfrm>
            <a:off x="16829906" y="1713291"/>
            <a:ext cx="1247750" cy="475924"/>
          </a:xfrm>
          <a:prstGeom prst="rect">
            <a:avLst/>
          </a:prstGeom>
          <a:noFill/>
          <a:ln w="12700" cap="flat" cmpd="sng" algn="ctr">
            <a:noFill/>
            <a:prstDash val="solid"/>
            <a:miter lim="800000"/>
          </a:ln>
          <a:effectLst/>
          <a:extLst>
            <a:ext uri="{909E8E84-426E-40DD-AFC4-6F175D3DCCD1}">
              <a14:hiddenFill xmlns:a14="http://schemas.microsoft.com/office/drawing/2010/main">
                <a:noFill/>
              </a14:hiddenFill>
            </a:ext>
            <a:ext uri="{91240B29-F687-4F45-9708-019B960494DF}">
              <a14:hiddenLine xmlns:a14="http://schemas.microsoft.com/office/drawing/2010/main" w="12700" cap="flat" cmpd="sng" algn="ctr">
                <a:no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l"/>
            <a:r>
              <a:rPr lang="da-DK" sz="900" b="1" cap="none" spc="0">
                <a:ln w="0"/>
                <a:solidFill>
                  <a:schemeClr val="tx1"/>
                </a:solidFill>
                <a:effectLst/>
                <a:latin typeface="Arial" panose="020B0604020202020204" pitchFamily="34" charset="0"/>
                <a:cs typeface="Arial" panose="020B0604020202020204" pitchFamily="34" charset="0"/>
              </a:rPr>
              <a:t>Konsekvens</a:t>
            </a:r>
            <a:endParaRPr lang="da-DK" sz="800" b="1" cap="none" spc="0">
              <a:ln w="0"/>
              <a:solidFill>
                <a:schemeClr val="tx1"/>
              </a:solidFill>
              <a:effectLst/>
              <a:latin typeface="Arial" panose="020B0604020202020204" pitchFamily="34" charset="0"/>
              <a:cs typeface="Arial" panose="020B0604020202020204" pitchFamily="34" charset="0"/>
            </a:endParaRPr>
          </a:p>
        </xdr:txBody>
      </xdr:sp>
      <xdr:sp macro="" textlink="">
        <xdr:nvSpPr>
          <xdr:cNvPr id="33" name="Freeform 32">
            <a:extLst>
              <a:ext uri="{FF2B5EF4-FFF2-40B4-BE49-F238E27FC236}">
                <a16:creationId xmlns:a16="http://schemas.microsoft.com/office/drawing/2014/main" id="{00000000-0008-0000-0400-000021000000}"/>
              </a:ext>
            </a:extLst>
          </xdr:cNvPr>
          <xdr:cNvSpPr/>
        </xdr:nvSpPr>
        <xdr:spPr>
          <a:xfrm flipH="1">
            <a:off x="17063555" y="2185259"/>
            <a:ext cx="372639" cy="561121"/>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xdr:spPr>
        <xdr:style>
          <a:lnRef idx="0">
            <a:schemeClr val="lt1">
              <a:hueOff val="0"/>
              <a:satOff val="0"/>
              <a:lumOff val="0"/>
              <a:alphaOff val="0"/>
            </a:schemeClr>
          </a:lnRef>
          <a:fillRef idx="3">
            <a:schemeClr val="accent2">
              <a:hueOff val="780253"/>
              <a:satOff val="-973"/>
              <a:lumOff val="229"/>
              <a:alphaOff val="0"/>
            </a:schemeClr>
          </a:fillRef>
          <a:effectRef idx="3">
            <a:schemeClr val="accent2">
              <a:hueOff val="780253"/>
              <a:satOff val="-973"/>
              <a:lumOff val="229"/>
              <a:alphaOff val="0"/>
            </a:schemeClr>
          </a:effectRef>
          <a:fontRef idx="minor">
            <a:schemeClr val="lt1"/>
          </a:fontRef>
        </xdr:style>
        <xdr: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800" b="0" kern="1200" cap="none" spc="0">
                <a:ln w="0">
                  <a:noFill/>
                </a:ln>
                <a:solidFill>
                  <a:schemeClr val="tx1"/>
                </a:solidFill>
                <a:effectLst/>
                <a:latin typeface="Arial" panose="020B0604020202020204" pitchFamily="34" charset="0"/>
                <a:cs typeface="Arial" panose="020B0604020202020204" pitchFamily="34" charset="0"/>
              </a:rPr>
              <a:t>5</a:t>
            </a:r>
          </a:p>
        </xdr:txBody>
      </xdr:sp>
      <xdr:sp macro="" textlink="">
        <xdr:nvSpPr>
          <xdr:cNvPr id="34" name="Freeform 33">
            <a:extLst>
              <a:ext uri="{FF2B5EF4-FFF2-40B4-BE49-F238E27FC236}">
                <a16:creationId xmlns:a16="http://schemas.microsoft.com/office/drawing/2014/main" id="{00000000-0008-0000-0400-000022000000}"/>
              </a:ext>
            </a:extLst>
          </xdr:cNvPr>
          <xdr:cNvSpPr/>
        </xdr:nvSpPr>
        <xdr:spPr>
          <a:xfrm flipH="1">
            <a:off x="17063555" y="2810253"/>
            <a:ext cx="372639" cy="561121"/>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xdr:spPr>
        <xdr:style>
          <a:lnRef idx="0">
            <a:schemeClr val="lt1">
              <a:hueOff val="0"/>
              <a:satOff val="0"/>
              <a:lumOff val="0"/>
              <a:alphaOff val="0"/>
            </a:schemeClr>
          </a:lnRef>
          <a:fillRef idx="3">
            <a:schemeClr val="accent2">
              <a:hueOff val="1755570"/>
              <a:satOff val="-2190"/>
              <a:lumOff val="515"/>
              <a:alphaOff val="0"/>
            </a:schemeClr>
          </a:fillRef>
          <a:effectRef idx="3">
            <a:schemeClr val="accent2">
              <a:hueOff val="1755570"/>
              <a:satOff val="-2190"/>
              <a:lumOff val="515"/>
              <a:alphaOff val="0"/>
            </a:schemeClr>
          </a:effectRef>
          <a:fontRef idx="minor">
            <a:schemeClr val="lt1"/>
          </a:fontRef>
        </xdr:style>
        <xdr: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800" b="0" kern="1200" cap="none" spc="0">
                <a:ln>
                  <a:noFill/>
                </a:ln>
                <a:solidFill>
                  <a:schemeClr val="tx1"/>
                </a:solidFill>
                <a:effectLst/>
                <a:latin typeface="Arial" panose="020B0604020202020204" pitchFamily="34" charset="0"/>
                <a:cs typeface="Arial" panose="020B0604020202020204" pitchFamily="34" charset="0"/>
              </a:rPr>
              <a:t>4</a:t>
            </a:r>
            <a:endParaRPr lang="en-US" sz="800" b="0" kern="120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endParaRPr>
          </a:p>
        </xdr:txBody>
      </xdr:sp>
      <xdr:sp macro="" textlink="">
        <xdr:nvSpPr>
          <xdr:cNvPr id="35" name="Freeform 34">
            <a:extLst>
              <a:ext uri="{FF2B5EF4-FFF2-40B4-BE49-F238E27FC236}">
                <a16:creationId xmlns:a16="http://schemas.microsoft.com/office/drawing/2014/main" id="{00000000-0008-0000-0400-000023000000}"/>
              </a:ext>
            </a:extLst>
          </xdr:cNvPr>
          <xdr:cNvSpPr/>
        </xdr:nvSpPr>
        <xdr:spPr>
          <a:xfrm flipH="1">
            <a:off x="17063555" y="3435250"/>
            <a:ext cx="372639" cy="561121"/>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xdr:spPr>
        <xdr:style>
          <a:lnRef idx="0">
            <a:schemeClr val="lt1">
              <a:hueOff val="0"/>
              <a:satOff val="0"/>
              <a:lumOff val="0"/>
              <a:alphaOff val="0"/>
            </a:schemeClr>
          </a:lnRef>
          <a:fillRef idx="3">
            <a:schemeClr val="accent2">
              <a:hueOff val="2730886"/>
              <a:satOff val="-3406"/>
              <a:lumOff val="801"/>
              <a:alphaOff val="0"/>
            </a:schemeClr>
          </a:fillRef>
          <a:effectRef idx="3">
            <a:schemeClr val="accent2">
              <a:hueOff val="2730886"/>
              <a:satOff val="-3406"/>
              <a:lumOff val="801"/>
              <a:alphaOff val="0"/>
            </a:schemeClr>
          </a:effectRef>
          <a:fontRef idx="minor">
            <a:schemeClr val="lt1"/>
          </a:fontRef>
        </xdr:style>
        <xdr: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800" b="0" kern="120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3</a:t>
            </a:r>
          </a:p>
        </xdr:txBody>
      </xdr:sp>
      <xdr:sp macro="" textlink="">
        <xdr:nvSpPr>
          <xdr:cNvPr id="36" name="Freeform 35">
            <a:extLst>
              <a:ext uri="{FF2B5EF4-FFF2-40B4-BE49-F238E27FC236}">
                <a16:creationId xmlns:a16="http://schemas.microsoft.com/office/drawing/2014/main" id="{00000000-0008-0000-0400-000024000000}"/>
              </a:ext>
            </a:extLst>
          </xdr:cNvPr>
          <xdr:cNvSpPr/>
        </xdr:nvSpPr>
        <xdr:spPr>
          <a:xfrm flipH="1">
            <a:off x="17063555" y="4060245"/>
            <a:ext cx="372639" cy="561121"/>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xdr:spPr>
        <xdr:style>
          <a:lnRef idx="0">
            <a:schemeClr val="lt1">
              <a:hueOff val="0"/>
              <a:satOff val="0"/>
              <a:lumOff val="0"/>
              <a:alphaOff val="0"/>
            </a:schemeClr>
          </a:lnRef>
          <a:fillRef idx="3">
            <a:schemeClr val="accent2">
              <a:hueOff val="3706203"/>
              <a:satOff val="-4623"/>
              <a:lumOff val="1087"/>
              <a:alphaOff val="0"/>
            </a:schemeClr>
          </a:fillRef>
          <a:effectRef idx="3">
            <a:schemeClr val="accent2">
              <a:hueOff val="3706203"/>
              <a:satOff val="-4623"/>
              <a:lumOff val="1087"/>
              <a:alphaOff val="0"/>
            </a:schemeClr>
          </a:effectRef>
          <a:fontRef idx="minor">
            <a:schemeClr val="lt1"/>
          </a:fontRef>
        </xdr:style>
        <xdr: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800" b="0" kern="120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2</a:t>
            </a:r>
          </a:p>
        </xdr:txBody>
      </xdr:sp>
      <xdr:sp macro="" textlink="">
        <xdr:nvSpPr>
          <xdr:cNvPr id="37" name="Freeform 36">
            <a:extLst>
              <a:ext uri="{FF2B5EF4-FFF2-40B4-BE49-F238E27FC236}">
                <a16:creationId xmlns:a16="http://schemas.microsoft.com/office/drawing/2014/main" id="{00000000-0008-0000-0400-000025000000}"/>
              </a:ext>
            </a:extLst>
          </xdr:cNvPr>
          <xdr:cNvSpPr/>
        </xdr:nvSpPr>
        <xdr:spPr>
          <a:xfrm flipH="1">
            <a:off x="17063555" y="4685239"/>
            <a:ext cx="372639" cy="561121"/>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xdr:spPr>
        <xdr:style>
          <a:lnRef idx="0">
            <a:schemeClr val="lt1">
              <a:hueOff val="0"/>
              <a:satOff val="0"/>
              <a:lumOff val="0"/>
              <a:alphaOff val="0"/>
            </a:schemeClr>
          </a:lnRef>
          <a:fillRef idx="3">
            <a:schemeClr val="accent2">
              <a:hueOff val="4681519"/>
              <a:satOff val="-5839"/>
              <a:lumOff val="1373"/>
              <a:alphaOff val="0"/>
            </a:schemeClr>
          </a:fillRef>
          <a:effectRef idx="3">
            <a:schemeClr val="accent2">
              <a:hueOff val="4681519"/>
              <a:satOff val="-5839"/>
              <a:lumOff val="1373"/>
              <a:alphaOff val="0"/>
            </a:schemeClr>
          </a:effectRef>
          <a:fontRef idx="minor">
            <a:schemeClr val="lt1"/>
          </a:fontRef>
        </xdr:style>
        <xdr: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800" b="0" kern="120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1</a:t>
            </a:r>
          </a:p>
        </xdr:txBody>
      </xdr:sp>
      <xdr:sp macro="" textlink="">
        <xdr:nvSpPr>
          <xdr:cNvPr id="38" name="Freeform 37">
            <a:extLst>
              <a:ext uri="{FF2B5EF4-FFF2-40B4-BE49-F238E27FC236}">
                <a16:creationId xmlns:a16="http://schemas.microsoft.com/office/drawing/2014/main" id="{00000000-0008-0000-0400-000026000000}"/>
              </a:ext>
            </a:extLst>
          </xdr:cNvPr>
          <xdr:cNvSpPr/>
        </xdr:nvSpPr>
        <xdr:spPr>
          <a:xfrm flipH="1">
            <a:off x="23295797" y="5383398"/>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xdr:spPr>
        <xdr:style>
          <a:lnRef idx="0">
            <a:schemeClr val="lt1">
              <a:hueOff val="0"/>
              <a:satOff val="0"/>
              <a:lumOff val="0"/>
              <a:alphaOff val="0"/>
            </a:schemeClr>
          </a:lnRef>
          <a:fillRef idx="3">
            <a:schemeClr val="accent2">
              <a:hueOff val="3901266"/>
              <a:satOff val="-4866"/>
              <a:lumOff val="1144"/>
              <a:alphaOff val="0"/>
            </a:schemeClr>
          </a:fillRef>
          <a:effectRef idx="3">
            <a:schemeClr val="accent2">
              <a:hueOff val="3901266"/>
              <a:satOff val="-4866"/>
              <a:lumOff val="1144"/>
              <a:alphaOff val="0"/>
            </a:schemeClr>
          </a:effectRef>
          <a:fontRef idx="minor">
            <a:schemeClr val="lt1"/>
          </a:fontRef>
        </xdr:style>
        <xdr: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800" b="0" kern="120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5</a:t>
            </a:r>
          </a:p>
        </xdr:txBody>
      </xdr:sp>
      <xdr:sp macro="" textlink="">
        <xdr:nvSpPr>
          <xdr:cNvPr id="39" name="Freeform 38">
            <a:extLst>
              <a:ext uri="{FF2B5EF4-FFF2-40B4-BE49-F238E27FC236}">
                <a16:creationId xmlns:a16="http://schemas.microsoft.com/office/drawing/2014/main" id="{00000000-0008-0000-0400-000027000000}"/>
              </a:ext>
            </a:extLst>
          </xdr:cNvPr>
          <xdr:cNvSpPr/>
        </xdr:nvSpPr>
        <xdr:spPr>
          <a:xfrm flipH="1">
            <a:off x="21851150" y="5383398"/>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xdr:spPr>
        <xdr:style>
          <a:lnRef idx="0">
            <a:schemeClr val="lt1">
              <a:hueOff val="0"/>
              <a:satOff val="0"/>
              <a:lumOff val="0"/>
              <a:alphaOff val="0"/>
            </a:schemeClr>
          </a:lnRef>
          <a:fillRef idx="3">
            <a:schemeClr val="accent2">
              <a:hueOff val="4096329"/>
              <a:satOff val="-5109"/>
              <a:lumOff val="1201"/>
              <a:alphaOff val="0"/>
            </a:schemeClr>
          </a:fillRef>
          <a:effectRef idx="3">
            <a:schemeClr val="accent2">
              <a:hueOff val="4096329"/>
              <a:satOff val="-5109"/>
              <a:lumOff val="1201"/>
              <a:alphaOff val="0"/>
            </a:schemeClr>
          </a:effectRef>
          <a:fontRef idx="minor">
            <a:schemeClr val="lt1"/>
          </a:fontRef>
        </xdr:style>
        <xdr: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800" b="0" kern="120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4</a:t>
            </a:r>
          </a:p>
        </xdr:txBody>
      </xdr:sp>
      <xdr:sp macro="" textlink="">
        <xdr:nvSpPr>
          <xdr:cNvPr id="40" name="Freeform 39">
            <a:extLst>
              <a:ext uri="{FF2B5EF4-FFF2-40B4-BE49-F238E27FC236}">
                <a16:creationId xmlns:a16="http://schemas.microsoft.com/office/drawing/2014/main" id="{00000000-0008-0000-0400-000028000000}"/>
              </a:ext>
            </a:extLst>
          </xdr:cNvPr>
          <xdr:cNvSpPr/>
        </xdr:nvSpPr>
        <xdr:spPr>
          <a:xfrm flipH="1">
            <a:off x="20406501" y="5383398"/>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xdr:spPr>
        <xdr:style>
          <a:lnRef idx="0">
            <a:schemeClr val="lt1">
              <a:hueOff val="0"/>
              <a:satOff val="0"/>
              <a:lumOff val="0"/>
              <a:alphaOff val="0"/>
            </a:schemeClr>
          </a:lnRef>
          <a:fillRef idx="3">
            <a:schemeClr val="accent2">
              <a:hueOff val="4291393"/>
              <a:satOff val="-5352"/>
              <a:lumOff val="1259"/>
              <a:alphaOff val="0"/>
            </a:schemeClr>
          </a:fillRef>
          <a:effectRef idx="3">
            <a:schemeClr val="accent2">
              <a:hueOff val="4291393"/>
              <a:satOff val="-5352"/>
              <a:lumOff val="1259"/>
              <a:alphaOff val="0"/>
            </a:schemeClr>
          </a:effectRef>
          <a:fontRef idx="minor">
            <a:schemeClr val="lt1"/>
          </a:fontRef>
        </xdr:style>
        <xdr: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800" b="0" kern="120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3</a:t>
            </a:r>
          </a:p>
        </xdr:txBody>
      </xdr:sp>
      <xdr:sp macro="" textlink="">
        <xdr:nvSpPr>
          <xdr:cNvPr id="41" name="Freeform 40">
            <a:extLst>
              <a:ext uri="{FF2B5EF4-FFF2-40B4-BE49-F238E27FC236}">
                <a16:creationId xmlns:a16="http://schemas.microsoft.com/office/drawing/2014/main" id="{00000000-0008-0000-0400-000029000000}"/>
              </a:ext>
            </a:extLst>
          </xdr:cNvPr>
          <xdr:cNvSpPr/>
        </xdr:nvSpPr>
        <xdr:spPr>
          <a:xfrm flipH="1">
            <a:off x="18961854" y="5383398"/>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xdr:spPr>
        <xdr:style>
          <a:lnRef idx="0">
            <a:schemeClr val="lt1">
              <a:hueOff val="0"/>
              <a:satOff val="0"/>
              <a:lumOff val="0"/>
              <a:alphaOff val="0"/>
            </a:schemeClr>
          </a:lnRef>
          <a:fillRef idx="3">
            <a:schemeClr val="accent2">
              <a:hueOff val="4486456"/>
              <a:satOff val="-5596"/>
              <a:lumOff val="1316"/>
              <a:alphaOff val="0"/>
            </a:schemeClr>
          </a:fillRef>
          <a:effectRef idx="3">
            <a:schemeClr val="accent2">
              <a:hueOff val="4486456"/>
              <a:satOff val="-5596"/>
              <a:lumOff val="1316"/>
              <a:alphaOff val="0"/>
            </a:schemeClr>
          </a:effectRef>
          <a:fontRef idx="minor">
            <a:schemeClr val="lt1"/>
          </a:fontRef>
        </xdr:style>
        <xdr: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800" b="0" kern="120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2</a:t>
            </a:r>
          </a:p>
        </xdr:txBody>
      </xdr:sp>
      <xdr:sp macro="" textlink="">
        <xdr:nvSpPr>
          <xdr:cNvPr id="42" name="Freeform 41">
            <a:extLst>
              <a:ext uri="{FF2B5EF4-FFF2-40B4-BE49-F238E27FC236}">
                <a16:creationId xmlns:a16="http://schemas.microsoft.com/office/drawing/2014/main" id="{00000000-0008-0000-0400-00002A000000}"/>
              </a:ext>
            </a:extLst>
          </xdr:cNvPr>
          <xdr:cNvSpPr/>
        </xdr:nvSpPr>
        <xdr:spPr>
          <a:xfrm flipH="1">
            <a:off x="17517205" y="5383398"/>
            <a:ext cx="1313317" cy="535709"/>
          </a:xfrm>
          <a:custGeom>
            <a:avLst/>
            <a:gdLst>
              <a:gd name="connsiteX0" fmla="*/ 0 w 401169"/>
              <a:gd name="connsiteY0" fmla="*/ 0 h 240701"/>
              <a:gd name="connsiteX1" fmla="*/ 401169 w 401169"/>
              <a:gd name="connsiteY1" fmla="*/ 0 h 240701"/>
              <a:gd name="connsiteX2" fmla="*/ 401169 w 401169"/>
              <a:gd name="connsiteY2" fmla="*/ 240701 h 240701"/>
              <a:gd name="connsiteX3" fmla="*/ 0 w 401169"/>
              <a:gd name="connsiteY3" fmla="*/ 240701 h 240701"/>
              <a:gd name="connsiteX4" fmla="*/ 0 w 401169"/>
              <a:gd name="connsiteY4" fmla="*/ 0 h 2407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169" h="240701">
                <a:moveTo>
                  <a:pt x="0" y="0"/>
                </a:moveTo>
                <a:lnTo>
                  <a:pt x="401169" y="0"/>
                </a:lnTo>
                <a:lnTo>
                  <a:pt x="401169" y="240701"/>
                </a:lnTo>
                <a:lnTo>
                  <a:pt x="0" y="240701"/>
                </a:lnTo>
                <a:lnTo>
                  <a:pt x="0" y="0"/>
                </a:lnTo>
                <a:close/>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xdr:spPr>
        <xdr:style>
          <a:lnRef idx="0">
            <a:schemeClr val="lt1">
              <a:hueOff val="0"/>
              <a:satOff val="0"/>
              <a:lumOff val="0"/>
              <a:alphaOff val="0"/>
            </a:schemeClr>
          </a:lnRef>
          <a:fillRef idx="3">
            <a:schemeClr val="accent2">
              <a:hueOff val="4681519"/>
              <a:satOff val="-5839"/>
              <a:lumOff val="1373"/>
              <a:alphaOff val="0"/>
            </a:schemeClr>
          </a:fillRef>
          <a:effectRef idx="3">
            <a:schemeClr val="accent2">
              <a:hueOff val="4681519"/>
              <a:satOff val="-5839"/>
              <a:lumOff val="1373"/>
              <a:alphaOff val="0"/>
            </a:schemeClr>
          </a:effectRef>
          <a:fontRef idx="minor">
            <a:schemeClr val="lt1"/>
          </a:fontRef>
        </xdr:style>
        <xdr: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800" b="0" kern="1200" cap="none" spc="0">
                <a:ln>
                  <a:noFill/>
                </a:ln>
                <a:solidFill>
                  <a:schemeClr val="tx1"/>
                </a:solidFill>
                <a:effectLst/>
                <a:latin typeface="Arial" panose="020B0604020202020204" pitchFamily="34" charset="0"/>
                <a:cs typeface="Arial" panose="020B0604020202020204" pitchFamily="34" charset="0"/>
              </a:rPr>
              <a:t>1</a:t>
            </a:r>
          </a:p>
        </xdr:txBody>
      </xdr:sp>
      <xdr:sp macro="" textlink="">
        <xdr:nvSpPr>
          <xdr:cNvPr id="43" name="Round Single Corner Rectangle 42">
            <a:extLst>
              <a:ext uri="{FF2B5EF4-FFF2-40B4-BE49-F238E27FC236}">
                <a16:creationId xmlns:a16="http://schemas.microsoft.com/office/drawing/2014/main" id="{00000000-0008-0000-0400-00002B000000}"/>
              </a:ext>
            </a:extLst>
          </xdr:cNvPr>
          <xdr:cNvSpPr/>
        </xdr:nvSpPr>
        <xdr:spPr>
          <a:xfrm flipH="1">
            <a:off x="16840694" y="1691915"/>
            <a:ext cx="7869878" cy="4165019"/>
          </a:xfrm>
          <a:prstGeom prst="round1Rect">
            <a:avLst>
              <a:gd name="adj" fmla="val 5091"/>
            </a:avLst>
          </a:prstGeom>
          <a:noFill/>
          <a:ln w="12700" cap="flat" cmpd="sng" algn="ctr">
            <a:gradFill flip="none" rotWithShape="1">
              <a:gsLst>
                <a:gs pos="34000">
                  <a:schemeClr val="bg1">
                    <a:lumMod val="65000"/>
                  </a:schemeClr>
                </a:gs>
                <a:gs pos="47000">
                  <a:srgbClr val="F8F8DE">
                    <a:alpha val="0"/>
                  </a:srgbClr>
                </a:gs>
              </a:gsLst>
              <a:lin ang="6120000" scaled="0"/>
              <a:tileRect/>
            </a:gra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a-DK" sz="800">
              <a:latin typeface="Arial" panose="020B0604020202020204" pitchFamily="34" charset="0"/>
              <a:cs typeface="Arial" panose="020B0604020202020204" pitchFamily="34" charset="0"/>
            </a:endParaRPr>
          </a:p>
        </xdr:txBody>
      </xdr:sp>
    </xdr:grpSp>
    <xdr:clientData/>
  </xdr:twoCellAnchor>
  <xdr:twoCellAnchor>
    <xdr:from>
      <xdr:col>24</xdr:col>
      <xdr:colOff>219123</xdr:colOff>
      <xdr:row>1</xdr:row>
      <xdr:rowOff>1755865</xdr:rowOff>
    </xdr:from>
    <xdr:to>
      <xdr:col>42</xdr:col>
      <xdr:colOff>4481</xdr:colOff>
      <xdr:row>1</xdr:row>
      <xdr:rowOff>3282363</xdr:rowOff>
    </xdr:to>
    <xdr:graphicFrame macro="">
      <xdr:nvGraphicFramePr>
        <xdr:cNvPr id="44" name="graph_B" descr="s_0_##md_0_model_reporting_header|md_3_header_title|md_3_start_line2b_0|md_3_chart-B_0#__________#md_0_model_reporting_dashboard_l2b#c_0_graphB">
          <a:extLst>
            <a:ext uri="{FF2B5EF4-FFF2-40B4-BE49-F238E27FC236}">
              <a16:creationId xmlns:a16="http://schemas.microsoft.com/office/drawing/2014/main" id="{00000000-0008-0000-04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87086</xdr:colOff>
      <xdr:row>1</xdr:row>
      <xdr:rowOff>3326675</xdr:rowOff>
    </xdr:from>
    <xdr:to>
      <xdr:col>21</xdr:col>
      <xdr:colOff>197352</xdr:colOff>
      <xdr:row>1</xdr:row>
      <xdr:rowOff>5110715</xdr:rowOff>
    </xdr:to>
    <xdr:graphicFrame macro="">
      <xdr:nvGraphicFramePr>
        <xdr:cNvPr id="45" name="graph_A" descr="s_0_##md_0_model_reporting_header|md_3_header_title|md_3_start_line3a_0|md_3_chart-A_0#__________#md_0_model_reporting_dashboard_l3a#c_0_graphA">
          <a:extLst>
            <a:ext uri="{FF2B5EF4-FFF2-40B4-BE49-F238E27FC236}">
              <a16:creationId xmlns:a16="http://schemas.microsoft.com/office/drawing/2014/main" id="{00000000-0008-0000-04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197352</xdr:colOff>
      <xdr:row>1</xdr:row>
      <xdr:rowOff>3326676</xdr:rowOff>
    </xdr:from>
    <xdr:to>
      <xdr:col>40</xdr:col>
      <xdr:colOff>90672</xdr:colOff>
      <xdr:row>1</xdr:row>
      <xdr:rowOff>5110716</xdr:rowOff>
    </xdr:to>
    <xdr:graphicFrame macro="">
      <xdr:nvGraphicFramePr>
        <xdr:cNvPr id="46" name="graph_D" descr="s_0_##md_0_model_reporting_header|md_3_header_title|md_3_start_line3b_0|md_3_chart-D_0a#__________#md_0_model_reporting_dashboard_l3b#c_0_graphD">
          <a:extLst>
            <a:ext uri="{FF2B5EF4-FFF2-40B4-BE49-F238E27FC236}">
              <a16:creationId xmlns:a16="http://schemas.microsoft.com/office/drawing/2014/main" id="{00000000-0008-0000-04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132550</xdr:colOff>
      <xdr:row>0</xdr:row>
      <xdr:rowOff>0</xdr:rowOff>
    </xdr:from>
    <xdr:to>
      <xdr:col>21</xdr:col>
      <xdr:colOff>243939</xdr:colOff>
      <xdr:row>0</xdr:row>
      <xdr:rowOff>0</xdr:rowOff>
    </xdr:to>
    <xdr:grpSp>
      <xdr:nvGrpSpPr>
        <xdr:cNvPr id="47" name="svg_roadmap" descr="s_0_##md_0_model_reporting_header|md_3_header_title|md_3_start_line1a_0|md_3_roadmap_shape#__________#md_0_model_reporting_dashboard_l1a#s_0_roadmap">
          <a:extLst>
            <a:ext uri="{FF2B5EF4-FFF2-40B4-BE49-F238E27FC236}">
              <a16:creationId xmlns:a16="http://schemas.microsoft.com/office/drawing/2014/main" id="{00000000-0008-0000-0400-00002F000000}"/>
            </a:ext>
          </a:extLst>
        </xdr:cNvPr>
        <xdr:cNvGrpSpPr/>
      </xdr:nvGrpSpPr>
      <xdr:grpSpPr>
        <a:xfrm>
          <a:off x="608800" y="0"/>
          <a:ext cx="5921639" cy="0"/>
          <a:chOff x="0" y="0"/>
          <a:chExt cx="5496176" cy="1440572"/>
        </a:xfrm>
      </xdr:grpSpPr>
      <xdr:sp macro="" textlink="">
        <xdr:nvSpPr>
          <xdr:cNvPr id="48" name="roadmap_1_2_0_0">
            <a:extLst>
              <a:ext uri="{FF2B5EF4-FFF2-40B4-BE49-F238E27FC236}">
                <a16:creationId xmlns:a16="http://schemas.microsoft.com/office/drawing/2014/main" id="{00000000-0008-0000-0400-000030000000}"/>
              </a:ext>
            </a:extLst>
          </xdr:cNvPr>
          <xdr:cNvSpPr/>
        </xdr:nvSpPr>
        <xdr:spPr>
          <a:xfrm>
            <a:off x="1657701" y="430103"/>
            <a:ext cx="1879594" cy="471951"/>
          </a:xfrm>
          <a:prstGeom prst="round2SameRect">
            <a:avLst/>
          </a:prstGeom>
          <a:noFill/>
          <a:ln w="12700" cap="flat" cmpd="sng" algn="ctr">
            <a:gradFill flip="none" rotWithShape="1">
              <a:gsLst>
                <a:gs pos="30000">
                  <a:schemeClr val="bg1">
                    <a:lumMod val="65000"/>
                  </a:schemeClr>
                </a:gs>
                <a:gs pos="46000">
                  <a:srgbClr val="F8F8DE">
                    <a:alpha val="0"/>
                  </a:srgbClr>
                </a:gs>
              </a:gsLst>
              <a:lin ang="6060000" scaled="0"/>
              <a:tileRect/>
            </a:gradFill>
            <a:prstDash val="solid"/>
            <a:miter lim="800000"/>
          </a:ln>
          <a:effectLst/>
          <a:extLst>
            <a:ext uri="{909E8E84-426E-40DD-AFC4-6F175D3DCCD1}">
              <a14:hiddenFill xmlns:a14="http://schemas.microsoft.com/office/drawing/2010/main">
                <a:noFill/>
              </a14:hiddenFill>
            </a:ext>
          </a:extLst>
        </xdr:spPr>
        <xdr:style>
          <a:lnRef idx="2">
            <a:schemeClr val="accent1">
              <a:hueOff val="0"/>
              <a:satOff val="0"/>
              <a:lumOff val="0"/>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72000" tIns="72000" rIns="0" bIns="136123" numCol="1" spcCol="1270" anchor="t" anchorCtr="0">
            <a:noAutofit/>
          </a:bodyPr>
          <a:lstStyle>
            <a:defPPr>
              <a:defRPr lang="da-DK"/>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0" lvl="0" indent="0" algn="l" defTabSz="755650" rtl="0" eaLnBrk="1" latinLnBrk="0" hangingPunct="1">
              <a:lnSpc>
                <a:spcPct val="90000"/>
              </a:lnSpc>
              <a:spcBef>
                <a:spcPct val="0"/>
              </a:spcBef>
              <a:spcAft>
                <a:spcPct val="35000"/>
              </a:spcAft>
            </a:pPr>
            <a:r>
              <a:rPr lang="en-US" sz="900" b="1" kern="1200">
                <a:solidFill>
                  <a:schemeClr val="dk1">
                    <a:hueOff val="0"/>
                    <a:satOff val="0"/>
                    <a:lumOff val="0"/>
                    <a:alphaOff val="0"/>
                  </a:schemeClr>
                </a:solidFill>
                <a:latin typeface="Arial" panose="020B0604020202020204" pitchFamily="34" charset="0"/>
                <a:ea typeface="+mn-ea"/>
                <a:cs typeface="Arial" panose="020B0604020202020204" pitchFamily="34" charset="0"/>
              </a:rPr>
              <a:t>Uudbud mv.</a:t>
            </a:r>
          </a:p>
        </xdr:txBody>
      </xdr:sp>
      <xdr:sp macro="" textlink="">
        <xdr:nvSpPr>
          <xdr:cNvPr id="49" name="roadmap_0_0">
            <a:extLst>
              <a:ext uri="{FF2B5EF4-FFF2-40B4-BE49-F238E27FC236}">
                <a16:creationId xmlns:a16="http://schemas.microsoft.com/office/drawing/2014/main" id="{00000000-0008-0000-0400-000031000000}"/>
              </a:ext>
            </a:extLst>
          </xdr:cNvPr>
          <xdr:cNvSpPr/>
        </xdr:nvSpPr>
        <xdr:spPr>
          <a:xfrm>
            <a:off x="0" y="1"/>
            <a:ext cx="1618541" cy="1164845"/>
          </a:xfrm>
          <a:prstGeom prst="roundRect">
            <a:avLst>
              <a:gd name="adj" fmla="val 6118"/>
            </a:avLst>
          </a:prstGeom>
          <a:noFill/>
          <a:ln w="12700" cap="flat" cmpd="sng" algn="ctr">
            <a:gradFill flip="none" rotWithShape="1">
              <a:gsLst>
                <a:gs pos="32000">
                  <a:schemeClr val="bg1">
                    <a:lumMod val="65000"/>
                  </a:schemeClr>
                </a:gs>
                <a:gs pos="46000">
                  <a:srgbClr val="F8F8DE">
                    <a:alpha val="0"/>
                  </a:srgbClr>
                </a:gs>
              </a:gsLst>
              <a:lin ang="3840000" scaled="0"/>
              <a:tileRect/>
            </a:gradFill>
            <a:prstDash val="solid"/>
            <a:miter lim="800000"/>
          </a:ln>
          <a:effectLst/>
          <a:extLst>
            <a:ext uri="{909E8E84-426E-40DD-AFC4-6F175D3DCCD1}">
              <a14:hiddenFill xmlns:a14="http://schemas.microsoft.com/office/drawing/2010/main">
                <a:noFill/>
              </a14:hiddenFill>
            </a:ext>
          </a:extLst>
        </xdr:spPr>
        <xdr:style>
          <a:lnRef idx="2">
            <a:schemeClr val="accent1">
              <a:hueOff val="0"/>
              <a:satOff val="0"/>
              <a:lumOff val="0"/>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72000" tIns="72000" rIns="136123" bIns="136123" numCol="1" spcCol="1270" anchor="t" anchorCtr="0">
            <a:noAutofit/>
          </a:bodyPr>
          <a:lstStyle>
            <a:defPPr>
              <a:defRPr lang="da-DK"/>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0" lvl="0" indent="0" algn="l" defTabSz="755650">
              <a:lnSpc>
                <a:spcPct val="90000"/>
              </a:lnSpc>
              <a:spcBef>
                <a:spcPct val="0"/>
              </a:spcBef>
              <a:spcAft>
                <a:spcPct val="35000"/>
              </a:spcAft>
            </a:pPr>
            <a:r>
              <a:rPr lang="en-US" sz="900" b="1" kern="1200">
                <a:solidFill>
                  <a:schemeClr val="dk1">
                    <a:hueOff val="0"/>
                    <a:satOff val="0"/>
                    <a:lumOff val="0"/>
                    <a:alphaOff val="0"/>
                  </a:schemeClr>
                </a:solidFill>
                <a:latin typeface="Arial" panose="020B0604020202020204" pitchFamily="34" charset="0"/>
                <a:ea typeface="+mn-ea"/>
                <a:cs typeface="Arial" panose="020B0604020202020204" pitchFamily="34" charset="0"/>
              </a:rPr>
              <a:t>Analysefase</a:t>
            </a:r>
          </a:p>
        </xdr:txBody>
      </xdr:sp>
      <xdr:sp macro="" textlink="">
        <xdr:nvSpPr>
          <xdr:cNvPr id="50" name="roadmap_1_0_0">
            <a:extLst>
              <a:ext uri="{FF2B5EF4-FFF2-40B4-BE49-F238E27FC236}">
                <a16:creationId xmlns:a16="http://schemas.microsoft.com/office/drawing/2014/main" id="{00000000-0008-0000-0400-000032000000}"/>
              </a:ext>
            </a:extLst>
          </xdr:cNvPr>
          <xdr:cNvSpPr/>
        </xdr:nvSpPr>
        <xdr:spPr>
          <a:xfrm>
            <a:off x="1791457" y="245876"/>
            <a:ext cx="1443825" cy="112834"/>
          </a:xfrm>
          <a:prstGeom prst="rect">
            <a:avLst/>
          </a:prstGeom>
          <a:noFill/>
          <a:ln w="12700" cap="flat" cmpd="sng" algn="ctr">
            <a:noFill/>
            <a:prstDash val="solid"/>
            <a:miter lim="800000"/>
          </a:ln>
          <a:effectLst/>
          <a:extLst>
            <a:ext uri="{909E8E84-426E-40DD-AFC4-6F175D3DCCD1}">
              <a14:hiddenFill xmlns:a14="http://schemas.microsoft.com/office/drawing/2010/main">
                <a:noFill/>
              </a14:hiddenFill>
            </a:ext>
          </a:extLst>
        </xdr:spPr>
        <xdr:style>
          <a:lnRef idx="2">
            <a:schemeClr val="accent1">
              <a:hueOff val="0"/>
              <a:satOff val="0"/>
              <a:lumOff val="0"/>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0" tIns="0" rIns="0" bIns="0" numCol="1" spcCol="1270" anchor="t" anchorCtr="0">
            <a:noAutofit/>
          </a:bodyPr>
          <a:lstStyle>
            <a:defPPr>
              <a:defRPr lang="da-DK"/>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algn="l"/>
            <a:r>
              <a:rPr lang="en-US" sz="900" b="0">
                <a:solidFill>
                  <a:srgbClr val="000000"/>
                </a:solidFill>
                <a:effectLst/>
                <a:latin typeface="Arial" panose="020B0604020202020204" pitchFamily="34" charset="0"/>
                <a:ea typeface="+mn-ea"/>
                <a:cs typeface="Arial" panose="020B0604020202020204" pitchFamily="34" charset="0"/>
              </a:rPr>
              <a:t>startdato: 02-09-2014</a:t>
            </a:r>
            <a:endParaRPr lang="da-DK" sz="900" b="0">
              <a:solidFill>
                <a:srgbClr val="000000"/>
              </a:solidFill>
              <a:effectLst/>
              <a:latin typeface="Arial" panose="020B0604020202020204" pitchFamily="34" charset="0"/>
              <a:cs typeface="Arial" panose="020B0604020202020204" pitchFamily="34" charset="0"/>
            </a:endParaRPr>
          </a:p>
        </xdr:txBody>
      </xdr:sp>
      <xdr:sp macro="" textlink="">
        <xdr:nvSpPr>
          <xdr:cNvPr id="51" name="roadmap_1_2_0_0_0">
            <a:extLst>
              <a:ext uri="{FF2B5EF4-FFF2-40B4-BE49-F238E27FC236}">
                <a16:creationId xmlns:a16="http://schemas.microsoft.com/office/drawing/2014/main" id="{00000000-0008-0000-0400-000033000000}"/>
              </a:ext>
            </a:extLst>
          </xdr:cNvPr>
          <xdr:cNvSpPr/>
        </xdr:nvSpPr>
        <xdr:spPr>
          <a:xfrm>
            <a:off x="2392069" y="663720"/>
            <a:ext cx="1152670" cy="112834"/>
          </a:xfrm>
          <a:prstGeom prst="rect">
            <a:avLst/>
          </a:prstGeom>
          <a:noFill/>
          <a:ln w="12700" cap="flat" cmpd="sng" algn="ctr">
            <a:noFill/>
            <a:prstDash val="solid"/>
            <a:miter lim="800000"/>
          </a:ln>
          <a:effectLst/>
          <a:extLst>
            <a:ext uri="{909E8E84-426E-40DD-AFC4-6F175D3DCCD1}">
              <a14:hiddenFill xmlns:a14="http://schemas.microsoft.com/office/drawing/2010/main">
                <a:noFill/>
              </a14:hiddenFill>
            </a:ext>
          </a:extLst>
        </xdr:spPr>
        <xdr:style>
          <a:lnRef idx="2">
            <a:schemeClr val="accent1">
              <a:hueOff val="0"/>
              <a:satOff val="0"/>
              <a:lumOff val="0"/>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0" tIns="0" rIns="0" bIns="0" numCol="1" spcCol="1270" anchor="t" anchorCtr="0">
            <a:noAutofit/>
          </a:bodyPr>
          <a:lstStyle>
            <a:defPPr>
              <a:defRPr lang="da-DK"/>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algn="l"/>
            <a:r>
              <a:rPr lang="en-US" sz="900" b="0">
                <a:solidFill>
                  <a:srgbClr val="000000"/>
                </a:solidFill>
                <a:effectLst/>
                <a:latin typeface="Arial" panose="020B0604020202020204" pitchFamily="34" charset="0"/>
                <a:ea typeface="+mn-ea"/>
                <a:cs typeface="Arial" panose="020B0604020202020204" pitchFamily="34" charset="0"/>
              </a:rPr>
              <a:t>slutdato: 01-12-2016</a:t>
            </a:r>
          </a:p>
        </xdr:txBody>
      </xdr:sp>
      <xdr:sp macro="" textlink="">
        <xdr:nvSpPr>
          <xdr:cNvPr id="52" name="roadmap_0_0_0">
            <a:extLst>
              <a:ext uri="{FF2B5EF4-FFF2-40B4-BE49-F238E27FC236}">
                <a16:creationId xmlns:a16="http://schemas.microsoft.com/office/drawing/2014/main" id="{00000000-0008-0000-0400-000034000000}"/>
              </a:ext>
            </a:extLst>
          </xdr:cNvPr>
          <xdr:cNvSpPr/>
        </xdr:nvSpPr>
        <xdr:spPr>
          <a:xfrm>
            <a:off x="145372" y="250798"/>
            <a:ext cx="1442819" cy="111740"/>
          </a:xfrm>
          <a:prstGeom prst="rect">
            <a:avLst/>
          </a:prstGeom>
          <a:noFill/>
          <a:ln w="12700" cap="flat" cmpd="sng" algn="ctr">
            <a:noFill/>
            <a:prstDash val="solid"/>
            <a:miter lim="800000"/>
          </a:ln>
          <a:effectLst/>
          <a:extLst>
            <a:ext uri="{909E8E84-426E-40DD-AFC4-6F175D3DCCD1}">
              <a14:hiddenFill xmlns:a14="http://schemas.microsoft.com/office/drawing/2010/main">
                <a:noFill/>
              </a14:hiddenFill>
            </a:ext>
          </a:extLst>
        </xdr:spPr>
        <xdr:style>
          <a:lnRef idx="2">
            <a:schemeClr val="accent1">
              <a:hueOff val="0"/>
              <a:satOff val="0"/>
              <a:lumOff val="0"/>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0" tIns="0" rIns="0" bIns="0" numCol="1" spcCol="1270" anchor="t" anchorCtr="0">
            <a:noAutofit/>
          </a:bodyPr>
          <a:lstStyle>
            <a:defPPr>
              <a:defRPr lang="da-DK"/>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algn="l"/>
            <a:r>
              <a:rPr lang="en-US" sz="900" b="0">
                <a:solidFill>
                  <a:srgbClr val="000000"/>
                </a:solidFill>
                <a:effectLst/>
                <a:latin typeface="Arial" panose="020B0604020202020204" pitchFamily="34" charset="0"/>
                <a:ea typeface="+mn-ea"/>
                <a:cs typeface="Arial" panose="020B0604020202020204" pitchFamily="34" charset="0"/>
              </a:rPr>
              <a:t>startdato: 01-05-2011</a:t>
            </a:r>
            <a:endParaRPr lang="da-DK" sz="900" b="0">
              <a:solidFill>
                <a:srgbClr val="000000"/>
              </a:solidFill>
              <a:effectLst/>
              <a:latin typeface="Arial" panose="020B0604020202020204" pitchFamily="34" charset="0"/>
              <a:cs typeface="Arial" panose="020B0604020202020204" pitchFamily="34" charset="0"/>
            </a:endParaRPr>
          </a:p>
        </xdr:txBody>
      </xdr:sp>
      <xdr:sp macro="" textlink="">
        <xdr:nvSpPr>
          <xdr:cNvPr id="53" name="roadmap_1_2_1_0_0">
            <a:extLst>
              <a:ext uri="{FF2B5EF4-FFF2-40B4-BE49-F238E27FC236}">
                <a16:creationId xmlns:a16="http://schemas.microsoft.com/office/drawing/2014/main" id="{00000000-0008-0000-0400-000035000000}"/>
              </a:ext>
            </a:extLst>
          </xdr:cNvPr>
          <xdr:cNvSpPr/>
        </xdr:nvSpPr>
        <xdr:spPr>
          <a:xfrm>
            <a:off x="4342805" y="678020"/>
            <a:ext cx="1153371" cy="113711"/>
          </a:xfrm>
          <a:prstGeom prst="rect">
            <a:avLst/>
          </a:prstGeom>
          <a:noFill/>
          <a:ln w="12700" cap="flat" cmpd="sng" algn="ctr">
            <a:noFill/>
            <a:prstDash val="solid"/>
            <a:miter lim="800000"/>
          </a:ln>
          <a:effectLst/>
          <a:extLst>
            <a:ext uri="{909E8E84-426E-40DD-AFC4-6F175D3DCCD1}">
              <a14:hiddenFill xmlns:a14="http://schemas.microsoft.com/office/drawing/2010/main">
                <a:noFill/>
              </a14:hiddenFill>
            </a:ext>
          </a:extLst>
        </xdr:spPr>
        <xdr:style>
          <a:lnRef idx="2">
            <a:schemeClr val="accent1">
              <a:hueOff val="0"/>
              <a:satOff val="0"/>
              <a:lumOff val="0"/>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0" tIns="0" rIns="0" bIns="0" numCol="1" spcCol="1270" anchor="t" anchorCtr="0">
            <a:noAutofit/>
          </a:bodyPr>
          <a:lstStyle>
            <a:defPPr>
              <a:defRPr lang="da-DK"/>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algn="l"/>
            <a:r>
              <a:rPr lang="en-US" sz="900" b="0">
                <a:solidFill>
                  <a:srgbClr val="000000"/>
                </a:solidFill>
                <a:effectLst/>
                <a:latin typeface="Arial" panose="020B0604020202020204" pitchFamily="34" charset="0"/>
                <a:ea typeface="+mn-ea"/>
                <a:cs typeface="Arial" panose="020B0604020202020204" pitchFamily="34" charset="0"/>
              </a:rPr>
              <a:t>slutdato: 01-08-2020</a:t>
            </a:r>
          </a:p>
        </xdr:txBody>
      </xdr:sp>
      <xdr:sp macro="" textlink="">
        <xdr:nvSpPr>
          <xdr:cNvPr id="54" name="roadmap_1_2_1_0">
            <a:extLst>
              <a:ext uri="{FF2B5EF4-FFF2-40B4-BE49-F238E27FC236}">
                <a16:creationId xmlns:a16="http://schemas.microsoft.com/office/drawing/2014/main" id="{00000000-0008-0000-0400-000036000000}"/>
              </a:ext>
            </a:extLst>
          </xdr:cNvPr>
          <xdr:cNvSpPr/>
        </xdr:nvSpPr>
        <xdr:spPr>
          <a:xfrm>
            <a:off x="3576454" y="430102"/>
            <a:ext cx="1901550" cy="479517"/>
          </a:xfrm>
          <a:prstGeom prst="round2SameRect">
            <a:avLst/>
          </a:prstGeom>
          <a:noFill/>
          <a:ln w="12700" cap="flat" cmpd="sng" algn="ctr">
            <a:gradFill flip="none" rotWithShape="1">
              <a:gsLst>
                <a:gs pos="30000">
                  <a:schemeClr val="bg1">
                    <a:lumMod val="65000"/>
                  </a:schemeClr>
                </a:gs>
                <a:gs pos="46000">
                  <a:srgbClr val="F8F8DE">
                    <a:alpha val="0"/>
                  </a:srgbClr>
                </a:gs>
              </a:gsLst>
              <a:lin ang="6060000" scaled="0"/>
              <a:tileRect/>
            </a:gradFill>
            <a:prstDash val="solid"/>
            <a:miter lim="800000"/>
          </a:ln>
          <a:effectLst/>
          <a:extLst>
            <a:ext uri="{909E8E84-426E-40DD-AFC4-6F175D3DCCD1}">
              <a14:hiddenFill xmlns:a14="http://schemas.microsoft.com/office/drawing/2010/main">
                <a:noFill/>
              </a14:hiddenFill>
            </a:ext>
          </a:extLst>
        </xdr:spPr>
        <xdr:style>
          <a:lnRef idx="2">
            <a:schemeClr val="accent1">
              <a:hueOff val="0"/>
              <a:satOff val="0"/>
              <a:lumOff val="0"/>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72000" tIns="72000" rIns="0" bIns="136123" numCol="1" spcCol="1270" anchor="t" anchorCtr="0">
            <a:noAutofit/>
          </a:bodyPr>
          <a:lstStyle>
            <a:defPPr>
              <a:defRPr lang="da-DK"/>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defTabSz="755650">
              <a:lnSpc>
                <a:spcPct val="90000"/>
              </a:lnSpc>
              <a:spcBef>
                <a:spcPct val="0"/>
              </a:spcBef>
              <a:spcAft>
                <a:spcPct val="35000"/>
              </a:spcAft>
            </a:pPr>
            <a:r>
              <a:rPr lang="en-US" sz="900" b="1">
                <a:latin typeface="Arial" panose="020B0604020202020204" pitchFamily="34" charset="0"/>
                <a:cs typeface="Arial" panose="020B0604020202020204" pitchFamily="34" charset="0"/>
              </a:rPr>
              <a:t>Udvikling og implementering     </a:t>
            </a:r>
          </a:p>
        </xdr:txBody>
      </xdr:sp>
      <xdr:sp macro="" textlink="">
        <xdr:nvSpPr>
          <xdr:cNvPr id="55" name="roadmap_1_0">
            <a:extLst>
              <a:ext uri="{FF2B5EF4-FFF2-40B4-BE49-F238E27FC236}">
                <a16:creationId xmlns:a16="http://schemas.microsoft.com/office/drawing/2014/main" id="{00000000-0008-0000-0400-000037000000}"/>
              </a:ext>
            </a:extLst>
          </xdr:cNvPr>
          <xdr:cNvSpPr/>
        </xdr:nvSpPr>
        <xdr:spPr>
          <a:xfrm>
            <a:off x="1657700" y="0"/>
            <a:ext cx="3822619" cy="1164846"/>
          </a:xfrm>
          <a:prstGeom prst="round2SameRect">
            <a:avLst>
              <a:gd name="adj1" fmla="val 5269"/>
              <a:gd name="adj2" fmla="val 0"/>
            </a:avLst>
          </a:prstGeom>
          <a:noFill/>
          <a:ln w="12700" cap="flat" cmpd="sng" algn="ctr">
            <a:gradFill flip="none" rotWithShape="1">
              <a:gsLst>
                <a:gs pos="61000">
                  <a:schemeClr val="bg1">
                    <a:lumMod val="65000"/>
                  </a:schemeClr>
                </a:gs>
                <a:gs pos="78000">
                  <a:srgbClr val="F8F8DE">
                    <a:alpha val="0"/>
                  </a:srgbClr>
                </a:gs>
              </a:gsLst>
              <a:lin ang="5640000" scaled="0"/>
              <a:tileRect/>
            </a:gradFill>
            <a:prstDash val="solid"/>
            <a:miter lim="800000"/>
          </a:ln>
          <a:effectLst/>
          <a:extLst>
            <a:ext uri="{909E8E84-426E-40DD-AFC4-6F175D3DCCD1}">
              <a14:hiddenFill xmlns:a14="http://schemas.microsoft.com/office/drawing/2010/main">
                <a:noFill/>
              </a14:hiddenFill>
            </a:ext>
          </a:extLst>
        </xdr:spPr>
        <xdr:style>
          <a:lnRef idx="2">
            <a:schemeClr val="accent1">
              <a:hueOff val="0"/>
              <a:satOff val="0"/>
              <a:lumOff val="0"/>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72000" tIns="72000" rIns="0" bIns="136123" numCol="1" spcCol="1270" anchor="t" anchorCtr="0">
            <a:noAutofit/>
          </a:bodyPr>
          <a:lstStyle>
            <a:defPPr>
              <a:defRPr lang="da-DK"/>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0" lvl="0" indent="0" algn="l" defTabSz="755650">
              <a:lnSpc>
                <a:spcPct val="90000"/>
              </a:lnSpc>
              <a:spcBef>
                <a:spcPct val="0"/>
              </a:spcBef>
              <a:spcAft>
                <a:spcPct val="35000"/>
              </a:spcAft>
            </a:pPr>
            <a:r>
              <a:rPr lang="en-US" sz="900" b="1" kern="1200">
                <a:solidFill>
                  <a:schemeClr val="dk1">
                    <a:hueOff val="0"/>
                    <a:satOff val="0"/>
                    <a:lumOff val="0"/>
                    <a:alphaOff val="0"/>
                  </a:schemeClr>
                </a:solidFill>
                <a:latin typeface="Arial" panose="020B0604020202020204" pitchFamily="34" charset="0"/>
                <a:ea typeface="+mn-ea"/>
                <a:cs typeface="Arial" panose="020B0604020202020204" pitchFamily="34" charset="0"/>
              </a:rPr>
              <a:t>Gennemførelsesfase</a:t>
            </a:r>
            <a:endParaRPr lang="en-US" sz="1100" b="1" kern="1200">
              <a:solidFill>
                <a:schemeClr val="dk1">
                  <a:hueOff val="0"/>
                  <a:satOff val="0"/>
                  <a:lumOff val="0"/>
                  <a:alphaOff val="0"/>
                </a:schemeClr>
              </a:solidFill>
              <a:latin typeface="Arial" panose="020B0604020202020204" pitchFamily="34" charset="0"/>
              <a:ea typeface="+mn-ea"/>
              <a:cs typeface="Arial" panose="020B0604020202020204" pitchFamily="34" charset="0"/>
            </a:endParaRPr>
          </a:p>
        </xdr:txBody>
      </xdr:sp>
      <xdr:sp macro="" textlink="">
        <xdr:nvSpPr>
          <xdr:cNvPr id="56" name="roadmap_1_1">
            <a:extLst>
              <a:ext uri="{FF2B5EF4-FFF2-40B4-BE49-F238E27FC236}">
                <a16:creationId xmlns:a16="http://schemas.microsoft.com/office/drawing/2014/main" id="{00000000-0008-0000-0400-000038000000}"/>
              </a:ext>
            </a:extLst>
          </xdr:cNvPr>
          <xdr:cNvSpPr/>
        </xdr:nvSpPr>
        <xdr:spPr>
          <a:xfrm>
            <a:off x="1656763" y="855425"/>
            <a:ext cx="3826601" cy="585147"/>
          </a:xfrm>
          <a:prstGeom prst="chevron">
            <a:avLst>
              <a:gd name="adj" fmla="val 40000"/>
            </a:avLst>
          </a:prstGeom>
          <a:solidFill>
            <a:srgbClr val="506E7A"/>
          </a:solidFill>
          <a:ln w="25400" cap="flat" cmpd="sng" algn="ctr">
            <a:noFill/>
            <a:prstDash val="solid"/>
            <a:miter lim="800000"/>
          </a:ln>
          <a:effectLst/>
          <a:extLst>
            <a:ext uri="{91240B29-F687-4F45-9708-019B960494DF}">
              <a14:hiddenLine xmlns:a14="http://schemas.microsoft.com/office/drawing/2010/main" w="25400" cap="flat" cmpd="sng" algn="ctr">
                <a:noFill/>
                <a:prstDash val="solid"/>
                <a:miter lim="800000"/>
              </a14:hiddenLine>
            </a:ext>
          </a:extLst>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wrap="square" anchor="ct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lvl="0" algn="ctr"/>
            <a:r>
              <a:rPr lang="en-US" sz="1100" b="1">
                <a:solidFill>
                  <a:srgbClr val="FFFFFF"/>
                </a:solidFill>
                <a:effectLst/>
                <a:latin typeface="Arial" panose="020B0604020202020204" pitchFamily="34" charset="0"/>
                <a:ea typeface="+mn-ea"/>
                <a:cs typeface="Arial" panose="020B0604020202020204" pitchFamily="34" charset="0"/>
              </a:rPr>
              <a:t> </a:t>
            </a:r>
          </a:p>
        </xdr:txBody>
      </xdr:sp>
      <xdr:sp macro="" textlink="">
        <xdr:nvSpPr>
          <xdr:cNvPr id="57" name="roadmap_1_2_0_1">
            <a:extLst>
              <a:ext uri="{FF2B5EF4-FFF2-40B4-BE49-F238E27FC236}">
                <a16:creationId xmlns:a16="http://schemas.microsoft.com/office/drawing/2014/main" id="{00000000-0008-0000-0400-000039000000}"/>
              </a:ext>
            </a:extLst>
          </xdr:cNvPr>
          <xdr:cNvSpPr/>
        </xdr:nvSpPr>
        <xdr:spPr>
          <a:xfrm>
            <a:off x="1888915" y="919126"/>
            <a:ext cx="1689359" cy="443318"/>
          </a:xfrm>
          <a:prstGeom prst="chevron">
            <a:avLst>
              <a:gd name="adj" fmla="val 40000"/>
            </a:avLst>
          </a:prstGeom>
          <a:solidFill>
            <a:srgbClr val="C5D3D9"/>
          </a:solidFill>
          <a:ln w="25400" cap="flat" cmpd="sng" algn="ctr">
            <a:noFill/>
            <a:prstDash val="solid"/>
            <a:miter lim="800000"/>
          </a:ln>
          <a:effectLst/>
          <a:extLst>
            <a:ext uri="{91240B29-F687-4F45-9708-019B960494DF}">
              <a14:hiddenLine xmlns:a14="http://schemas.microsoft.com/office/drawing/2010/main" w="25400" cap="flat" cmpd="sng" algn="ctr">
                <a:noFill/>
                <a:prstDash val="solid"/>
                <a:miter lim="800000"/>
              </a14:hiddenLine>
            </a:ext>
          </a:extLst>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wrap="square" anchor="ct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a-DK" sz="1100" b="1">
                <a:solidFill>
                  <a:sysClr val="windowText" lastClr="000000"/>
                </a:solidFill>
                <a:latin typeface="Arial" panose="020B0604020202020204" pitchFamily="34" charset="0"/>
                <a:cs typeface="Arial" panose="020B0604020202020204" pitchFamily="34" charset="0"/>
              </a:rPr>
              <a:t>27 
måneder</a:t>
            </a:r>
          </a:p>
        </xdr:txBody>
      </xdr:sp>
      <xdr:sp macro="" textlink="">
        <xdr:nvSpPr>
          <xdr:cNvPr id="58" name="roadmap_1_2_1_1">
            <a:extLst>
              <a:ext uri="{FF2B5EF4-FFF2-40B4-BE49-F238E27FC236}">
                <a16:creationId xmlns:a16="http://schemas.microsoft.com/office/drawing/2014/main" id="{00000000-0008-0000-0400-00003A000000}"/>
              </a:ext>
            </a:extLst>
          </xdr:cNvPr>
          <xdr:cNvSpPr/>
        </xdr:nvSpPr>
        <xdr:spPr>
          <a:xfrm>
            <a:off x="3534145" y="919126"/>
            <a:ext cx="1765169" cy="443319"/>
          </a:xfrm>
          <a:prstGeom prst="chevron">
            <a:avLst>
              <a:gd name="adj" fmla="val 40000"/>
            </a:avLst>
          </a:prstGeom>
          <a:solidFill>
            <a:srgbClr val="C5D3D9"/>
          </a:solidFill>
          <a:ln w="25400" cap="flat" cmpd="sng" algn="ctr">
            <a:noFill/>
            <a:prstDash val="solid"/>
            <a:miter lim="800000"/>
          </a:ln>
          <a:effectLst/>
          <a:extLst>
            <a:ext uri="{91240B29-F687-4F45-9708-019B960494DF}">
              <a14:hiddenLine xmlns:a14="http://schemas.microsoft.com/office/drawing/2010/main" w="25400" cap="flat" cmpd="sng" algn="ctr">
                <a:noFill/>
                <a:prstDash val="solid"/>
                <a:miter lim="800000"/>
              </a14:hiddenLine>
            </a:ext>
          </a:extLst>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wrap="square" anchor="ct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a-DK" sz="1100" b="1">
                <a:solidFill>
                  <a:sysClr val="windowText" lastClr="000000"/>
                </a:solidFill>
                <a:latin typeface="Arial" panose="020B0604020202020204" pitchFamily="34" charset="0"/>
                <a:cs typeface="Arial" panose="020B0604020202020204" pitchFamily="34" charset="0"/>
              </a:rPr>
              <a:t>44 
måneder</a:t>
            </a:r>
          </a:p>
        </xdr:txBody>
      </xdr:sp>
      <xdr:sp macro="" textlink="">
        <xdr:nvSpPr>
          <xdr:cNvPr id="59" name="roadmap_0_1">
            <a:extLst>
              <a:ext uri="{FF2B5EF4-FFF2-40B4-BE49-F238E27FC236}">
                <a16:creationId xmlns:a16="http://schemas.microsoft.com/office/drawing/2014/main" id="{00000000-0008-0000-0400-00003B000000}"/>
              </a:ext>
            </a:extLst>
          </xdr:cNvPr>
          <xdr:cNvSpPr/>
        </xdr:nvSpPr>
        <xdr:spPr>
          <a:xfrm>
            <a:off x="9950" y="855424"/>
            <a:ext cx="1747016" cy="584604"/>
          </a:xfrm>
          <a:prstGeom prst="chevron">
            <a:avLst>
              <a:gd name="adj" fmla="val 40000"/>
            </a:avLst>
          </a:prstGeom>
          <a:solidFill>
            <a:srgbClr val="506E7A"/>
          </a:solidFill>
          <a:ln w="25400" cap="flat" cmpd="sng" algn="ctr">
            <a:noFill/>
            <a:prstDash val="solid"/>
            <a:miter lim="800000"/>
          </a:ln>
          <a:effectLst/>
          <a:extLst>
            <a:ext uri="{91240B29-F687-4F45-9708-019B960494DF}">
              <a14:hiddenLine xmlns:a14="http://schemas.microsoft.com/office/drawing/2010/main" w="25400" cap="flat" cmpd="sng" algn="ctr">
                <a:noFill/>
                <a:prstDash val="solid"/>
                <a:miter lim="800000"/>
              </a14:hiddenLine>
            </a:ext>
          </a:extLst>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wrap="square" anchor="ct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da-DK" sz="1100" b="1">
                <a:solidFill>
                  <a:srgbClr val="FFFFFF"/>
                </a:solidFill>
                <a:latin typeface="Arial" panose="020B0604020202020204" pitchFamily="34" charset="0"/>
                <a:ea typeface="+mn-ea"/>
                <a:cs typeface="Arial" panose="020B0604020202020204" pitchFamily="34" charset="0"/>
              </a:rPr>
              <a:t>40 
måneder</a:t>
            </a:r>
          </a:p>
        </xdr:txBody>
      </xdr:sp>
    </xdr:grpSp>
    <xdr:clientData/>
  </xdr:twoCellAnchor>
  <xdr:twoCellAnchor>
    <xdr:from>
      <xdr:col>16</xdr:col>
      <xdr:colOff>97970</xdr:colOff>
      <xdr:row>1</xdr:row>
      <xdr:rowOff>1676400</xdr:rowOff>
    </xdr:from>
    <xdr:to>
      <xdr:col>21</xdr:col>
      <xdr:colOff>239485</xdr:colOff>
      <xdr:row>1</xdr:row>
      <xdr:rowOff>3222171</xdr:rowOff>
    </xdr:to>
    <xdr:graphicFrame macro="">
      <xdr:nvGraphicFramePr>
        <xdr:cNvPr id="60" name="graph_C" descr="s_0_##md_0_model_reporting_header|md_3_header_title|md_3_start_line2a_0|md_3_chart-C_0#__________#md_0_model_reporting_dashboard_l2a#c_0_graphC">
          <a:extLst>
            <a:ext uri="{FF2B5EF4-FFF2-40B4-BE49-F238E27FC236}">
              <a16:creationId xmlns:a16="http://schemas.microsoft.com/office/drawing/2014/main" id="{00000000-0008-0000-04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27214</xdr:colOff>
      <xdr:row>12</xdr:row>
      <xdr:rowOff>40821</xdr:rowOff>
    </xdr:from>
    <xdr:to>
      <xdr:col>16</xdr:col>
      <xdr:colOff>1004454</xdr:colOff>
      <xdr:row>12</xdr:row>
      <xdr:rowOff>317911</xdr:rowOff>
    </xdr:to>
    <xdr:pic>
      <xdr:nvPicPr>
        <xdr:cNvPr id="119" name="g0+J/Xhz78jw0/qGEagnxg==" descr="s_0_##md_0_model_scenario-assumptions|md_2_scenarios_start|md_2_start_0_1#_______#md_0_model_scenario-assumptions__logo#s_2_rLogo">
          <a:extLst>
            <a:ext uri="{FF2B5EF4-FFF2-40B4-BE49-F238E27FC236}">
              <a16:creationId xmlns:a16="http://schemas.microsoft.com/office/drawing/2014/main" id="{00000000-0008-0000-0400-000077000000}"/>
            </a:ext>
          </a:extLst>
        </xdr:cNvPr>
        <xdr:cNvPicPr>
          <a:picLocks/>
        </xdr:cNvPicPr>
      </xdr:nvPicPr>
      <xdr:blipFill>
        <a:blip xmlns:r="http://schemas.openxmlformats.org/officeDocument/2006/relationships" r:embed="rId8" cstate="print">
          <a:biLevel thresh="25000"/>
          <a:extLst>
            <a:ext uri="{28A0092B-C50C-407E-A947-70E740481C1C}">
              <a14:useLocalDpi xmlns:a14="http://schemas.microsoft.com/office/drawing/2010/main" val="0"/>
            </a:ext>
          </a:extLst>
        </a:blip>
        <a:stretch>
          <a:fillRect/>
        </a:stretch>
      </xdr:blipFill>
      <xdr:spPr>
        <a:xfrm>
          <a:off x="8354785" y="40821"/>
          <a:ext cx="1303812" cy="277090"/>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0.00026</cdr:x>
      <cdr:y>0.00232</cdr:y>
    </cdr:from>
    <cdr:to>
      <cdr:x>0.99217</cdr:x>
      <cdr:y>0.98055</cdr:y>
    </cdr:to>
    <cdr:sp macro="" textlink="">
      <cdr:nvSpPr>
        <cdr:cNvPr id="2" name="Round Single Corner Rectangle 1"/>
        <cdr:cNvSpPr/>
      </cdr:nvSpPr>
      <cdr:spPr>
        <a:xfrm xmlns:a="http://schemas.openxmlformats.org/drawingml/2006/main" flipH="1">
          <a:off x="649" y="1923"/>
          <a:ext cx="2475361" cy="810634"/>
        </a:xfrm>
        <a:prstGeom xmlns:a="http://schemas.openxmlformats.org/drawingml/2006/main" prst="round1Rect">
          <a:avLst>
            <a:gd name="adj" fmla="val 5091"/>
          </a:avLst>
        </a:prstGeom>
        <a:noFill xmlns:a="http://schemas.openxmlformats.org/drawingml/2006/main"/>
        <a:ln xmlns:a="http://schemas.openxmlformats.org/drawingml/2006/main" w="12700" cap="flat" cmpd="sng" algn="ctr">
          <a:gradFill flip="none" rotWithShape="1">
            <a:gsLst>
              <a:gs pos="34000">
                <a:schemeClr val="bg1">
                  <a:lumMod val="65000"/>
                </a:schemeClr>
              </a:gs>
              <a:gs pos="49000">
                <a:srgbClr val="F8F8DE">
                  <a:alpha val="0"/>
                </a:srgbClr>
              </a:gs>
            </a:gsLst>
            <a:lin ang="6120000" scaled="0"/>
            <a:tileRect/>
          </a:gra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horzOverflow="clip" rtlCol="0" anchor="t"/>
        <a:lstStyle xmlns:a="http://schemas.openxmlformats.org/drawingml/2006/main"/>
        <a:p xmlns:a="http://schemas.openxmlformats.org/drawingml/2006/main">
          <a:pPr marL="0" indent="0"/>
          <a:endParaRPr lang="da-DK" sz="900">
            <a:solidFill>
              <a:schemeClr val="lt1"/>
            </a:solidFill>
            <a:latin typeface="Arial" panose="020B0604020202020204" pitchFamily="34" charset="0"/>
            <a:ea typeface="+mn-ea"/>
            <a:cs typeface="Arial" panose="020B0604020202020204"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0.00342</cdr:x>
      <cdr:y>0</cdr:y>
    </cdr:from>
    <cdr:to>
      <cdr:x>0.99504</cdr:x>
      <cdr:y>0.97823</cdr:y>
    </cdr:to>
    <cdr:sp macro="" textlink="">
      <cdr:nvSpPr>
        <cdr:cNvPr id="2" name="Round Single Corner Rectangle 1"/>
        <cdr:cNvSpPr/>
      </cdr:nvSpPr>
      <cdr:spPr>
        <a:xfrm xmlns:a="http://schemas.openxmlformats.org/drawingml/2006/main" flipH="1">
          <a:off x="21799" y="0"/>
          <a:ext cx="6320492" cy="1710060"/>
        </a:xfrm>
        <a:prstGeom xmlns:a="http://schemas.openxmlformats.org/drawingml/2006/main" prst="round1Rect">
          <a:avLst>
            <a:gd name="adj" fmla="val 5091"/>
          </a:avLst>
        </a:prstGeom>
        <a:noFill xmlns:a="http://schemas.openxmlformats.org/drawingml/2006/main"/>
        <a:ln xmlns:a="http://schemas.openxmlformats.org/drawingml/2006/main" w="12700" cap="flat" cmpd="sng" algn="ctr">
          <a:gradFill flip="none" rotWithShape="1">
            <a:gsLst>
              <a:gs pos="38000">
                <a:schemeClr val="bg1">
                  <a:lumMod val="65000"/>
                </a:schemeClr>
              </a:gs>
              <a:gs pos="51000">
                <a:srgbClr val="F8F8DE">
                  <a:alpha val="0"/>
                </a:srgbClr>
              </a:gs>
            </a:gsLst>
            <a:lin ang="6300000" scaled="0"/>
            <a:tileRect/>
          </a:gra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horzOverflow="clip" rtlCol="0" anchor="t"/>
        <a:lstStyle xmlns:a="http://schemas.openxmlformats.org/drawingml/2006/main"/>
        <a:p xmlns:a="http://schemas.openxmlformats.org/drawingml/2006/main">
          <a:pPr marL="0" indent="0"/>
          <a:endParaRPr lang="da-DK" sz="900">
            <a:solidFill>
              <a:schemeClr val="lt1"/>
            </a:solidFill>
            <a:latin typeface="Arial" panose="020B0604020202020204" pitchFamily="34" charset="0"/>
            <a:ea typeface="+mn-ea"/>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0.00252</cdr:x>
      <cdr:y>0.00232</cdr:y>
    </cdr:from>
    <cdr:to>
      <cdr:x>0.99542</cdr:x>
      <cdr:y>1</cdr:y>
    </cdr:to>
    <cdr:sp macro="" textlink="">
      <cdr:nvSpPr>
        <cdr:cNvPr id="2" name="Round Single Corner Rectangle 1"/>
        <cdr:cNvSpPr/>
      </cdr:nvSpPr>
      <cdr:spPr>
        <a:xfrm xmlns:a="http://schemas.openxmlformats.org/drawingml/2006/main" flipH="1">
          <a:off x="15240" y="4101"/>
          <a:ext cx="5999745" cy="1763739"/>
        </a:xfrm>
        <a:prstGeom xmlns:a="http://schemas.openxmlformats.org/drawingml/2006/main" prst="round1Rect">
          <a:avLst>
            <a:gd name="adj" fmla="val 5091"/>
          </a:avLst>
        </a:prstGeom>
        <a:noFill xmlns:a="http://schemas.openxmlformats.org/drawingml/2006/main"/>
        <a:ln xmlns:a="http://schemas.openxmlformats.org/drawingml/2006/main" w="12700" cap="flat" cmpd="sng" algn="ctr">
          <a:gradFill flip="none" rotWithShape="1">
            <a:gsLst>
              <a:gs pos="34000">
                <a:schemeClr val="bg1">
                  <a:lumMod val="65000"/>
                </a:schemeClr>
              </a:gs>
              <a:gs pos="49000">
                <a:srgbClr val="F8F8DE">
                  <a:alpha val="0"/>
                </a:srgbClr>
              </a:gs>
            </a:gsLst>
            <a:lin ang="6300000" scaled="0"/>
            <a:tileRect/>
          </a:gra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horzOverflow="clip" rtlCol="0" anchor="t"/>
        <a:lstStyle xmlns:a="http://schemas.openxmlformats.org/drawingml/2006/main"/>
        <a:p xmlns:a="http://schemas.openxmlformats.org/drawingml/2006/main">
          <a:pPr marL="0" indent="0"/>
          <a:endParaRPr lang="da-DK" sz="1100">
            <a:solidFill>
              <a:schemeClr val="lt1"/>
            </a:solidFill>
            <a:latin typeface="Arial" panose="020B0604020202020204" pitchFamily="34" charset="0"/>
            <a:ea typeface="+mn-ea"/>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0.00026</cdr:x>
      <cdr:y>0.00232</cdr:y>
    </cdr:from>
    <cdr:to>
      <cdr:x>0.99217</cdr:x>
      <cdr:y>0.98055</cdr:y>
    </cdr:to>
    <cdr:sp macro="" textlink="">
      <cdr:nvSpPr>
        <cdr:cNvPr id="5" name="Round Single Corner Rectangle 1"/>
        <cdr:cNvSpPr/>
      </cdr:nvSpPr>
      <cdr:spPr>
        <a:xfrm xmlns:a="http://schemas.openxmlformats.org/drawingml/2006/main" flipH="1">
          <a:off x="1568" y="4124"/>
          <a:ext cx="5981898" cy="1738893"/>
        </a:xfrm>
        <a:prstGeom xmlns:a="http://schemas.openxmlformats.org/drawingml/2006/main" prst="round1Rect">
          <a:avLst>
            <a:gd name="adj" fmla="val 5091"/>
          </a:avLst>
        </a:prstGeom>
        <a:noFill xmlns:a="http://schemas.openxmlformats.org/drawingml/2006/main"/>
        <a:ln xmlns:a="http://schemas.openxmlformats.org/drawingml/2006/main" w="12700" cap="flat" cmpd="sng" algn="ctr">
          <a:gradFill flip="none" rotWithShape="1">
            <a:gsLst>
              <a:gs pos="34000">
                <a:schemeClr val="bg1">
                  <a:lumMod val="65000"/>
                </a:schemeClr>
              </a:gs>
              <a:gs pos="49000">
                <a:srgbClr val="F8F8DE"/>
              </a:gs>
            </a:gsLst>
            <a:lin ang="6180000" scaled="0"/>
            <a:tileRect/>
          </a:gra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horzOverflow="clip" rtlCol="0" anchor="t"/>
        <a:lstStyle xmlns:a="http://schemas.openxmlformats.org/drawingml/2006/main"/>
        <a:p xmlns:a="http://schemas.openxmlformats.org/drawingml/2006/main">
          <a:pPr marL="0" indent="0"/>
          <a:endParaRPr lang="da-DK" sz="1100">
            <a:solidFill>
              <a:schemeClr val="lt1"/>
            </a:solidFill>
            <a:latin typeface="+mn-lt"/>
            <a:ea typeface="+mn-ea"/>
            <a:cs typeface="+mn-cs"/>
          </a:endParaRPr>
        </a:p>
      </cdr:txBody>
    </cdr:sp>
  </cdr:relSizeAnchor>
</c:userShape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dimension ref="A1:X16"/>
  <sheetViews>
    <sheetView workbookViewId="0">
      <selection activeCell="D7" sqref="D7"/>
    </sheetView>
  </sheetViews>
  <sheetFormatPr defaultColWidth="9.09765625" defaultRowHeight="12" x14ac:dyDescent="0.3"/>
  <cols>
    <col min="1" max="1" width="4.8984375" style="170" customWidth="1"/>
    <col min="2" max="2" width="1.3984375" style="170" customWidth="1"/>
    <col min="3" max="3" width="24.09765625" style="170" customWidth="1"/>
    <col min="4" max="4" width="78" style="170" customWidth="1"/>
    <col min="5" max="5" width="11.3984375" style="170" customWidth="1"/>
    <col min="6" max="16384" width="9.09765625" style="170"/>
  </cols>
  <sheetData>
    <row r="1" spans="1:24" ht="49.5" customHeight="1" x14ac:dyDescent="0.3">
      <c r="A1" s="169"/>
      <c r="B1" s="169"/>
      <c r="C1" s="169"/>
      <c r="D1" s="169"/>
      <c r="E1" s="169"/>
      <c r="F1" s="169"/>
      <c r="G1" s="169"/>
      <c r="H1" s="169"/>
      <c r="I1" s="169"/>
      <c r="J1" s="169"/>
      <c r="K1" s="169"/>
      <c r="L1" s="169"/>
      <c r="M1" s="169"/>
      <c r="N1" s="169"/>
      <c r="O1" s="169"/>
      <c r="P1" s="169"/>
      <c r="Q1" s="169"/>
      <c r="R1" s="169"/>
      <c r="S1" s="169"/>
      <c r="T1" s="169"/>
      <c r="U1" s="169"/>
      <c r="V1" s="169"/>
      <c r="W1" s="169"/>
      <c r="X1" s="169"/>
    </row>
    <row r="3" spans="1:24" ht="28.5" x14ac:dyDescent="0.3">
      <c r="C3" s="171" t="s">
        <v>418</v>
      </c>
    </row>
    <row r="4" spans="1:24" ht="15.5" x14ac:dyDescent="0.3">
      <c r="C4" s="172" t="s">
        <v>378</v>
      </c>
      <c r="D4" s="173" t="s">
        <v>379</v>
      </c>
      <c r="E4" s="173" t="s">
        <v>380</v>
      </c>
    </row>
    <row r="5" spans="1:24" ht="13" x14ac:dyDescent="0.3">
      <c r="C5" s="229" t="s">
        <v>561</v>
      </c>
      <c r="D5" s="230" t="s">
        <v>563</v>
      </c>
      <c r="E5" s="229" t="s">
        <v>564</v>
      </c>
    </row>
    <row r="6" spans="1:24" ht="26" x14ac:dyDescent="0.3">
      <c r="C6" s="174">
        <v>45511</v>
      </c>
      <c r="D6" s="217" t="s">
        <v>447</v>
      </c>
      <c r="E6" s="174" t="s">
        <v>445</v>
      </c>
    </row>
    <row r="7" spans="1:24" ht="117" x14ac:dyDescent="0.3">
      <c r="C7" s="174">
        <v>45505</v>
      </c>
      <c r="D7" s="216" t="s">
        <v>446</v>
      </c>
      <c r="E7" s="214" t="s">
        <v>445</v>
      </c>
    </row>
    <row r="8" spans="1:24" ht="13" x14ac:dyDescent="0.3">
      <c r="C8" s="174">
        <v>45469.122916666704</v>
      </c>
      <c r="D8" s="174" t="s">
        <v>444</v>
      </c>
      <c r="E8" s="174" t="s">
        <v>381</v>
      </c>
    </row>
    <row r="9" spans="1:24" ht="26" x14ac:dyDescent="0.3">
      <c r="C9" s="174">
        <v>45454</v>
      </c>
      <c r="D9" s="175" t="s">
        <v>442</v>
      </c>
      <c r="E9" s="176" t="s">
        <v>381</v>
      </c>
    </row>
    <row r="10" spans="1:24" ht="52" x14ac:dyDescent="0.3">
      <c r="C10" s="174">
        <v>45412</v>
      </c>
      <c r="D10" s="175" t="s">
        <v>440</v>
      </c>
      <c r="E10" s="176" t="s">
        <v>381</v>
      </c>
    </row>
    <row r="11" spans="1:24" ht="65" x14ac:dyDescent="0.3">
      <c r="C11" s="174" t="s">
        <v>435</v>
      </c>
      <c r="D11" s="175" t="s">
        <v>436</v>
      </c>
      <c r="E11" s="176" t="s">
        <v>381</v>
      </c>
    </row>
    <row r="12" spans="1:24" ht="39" x14ac:dyDescent="0.3">
      <c r="C12" s="174" t="s">
        <v>432</v>
      </c>
      <c r="D12" s="175" t="s">
        <v>433</v>
      </c>
      <c r="E12" s="176" t="s">
        <v>381</v>
      </c>
    </row>
    <row r="13" spans="1:24" ht="39" x14ac:dyDescent="0.3">
      <c r="C13" s="174" t="s">
        <v>430</v>
      </c>
      <c r="D13" s="175" t="s">
        <v>431</v>
      </c>
      <c r="E13" s="176" t="s">
        <v>381</v>
      </c>
    </row>
    <row r="14" spans="1:24" ht="26" x14ac:dyDescent="0.3">
      <c r="C14" s="174" t="s">
        <v>419</v>
      </c>
      <c r="D14" s="175" t="s">
        <v>420</v>
      </c>
      <c r="E14" s="176" t="s">
        <v>381</v>
      </c>
    </row>
    <row r="15" spans="1:24" ht="26" x14ac:dyDescent="0.3">
      <c r="C15" s="174" t="s">
        <v>415</v>
      </c>
      <c r="D15" s="175" t="s">
        <v>416</v>
      </c>
      <c r="E15" s="176" t="s">
        <v>417</v>
      </c>
    </row>
    <row r="16" spans="1:24" ht="13" x14ac:dyDescent="0.3">
      <c r="C16" s="174" t="s">
        <v>383</v>
      </c>
      <c r="D16" s="175" t="s">
        <v>382</v>
      </c>
      <c r="E16" s="176" t="s">
        <v>381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NR_6">
    <tabColor rgb="FF808080"/>
  </sheetPr>
  <dimension ref="A1:U258"/>
  <sheetViews>
    <sheetView topLeftCell="G1" zoomScale="85" zoomScaleNormal="85" workbookViewId="0">
      <selection activeCell="N10" sqref="N10"/>
    </sheetView>
  </sheetViews>
  <sheetFormatPr defaultColWidth="9.09765625" defaultRowHeight="13" x14ac:dyDescent="0.3"/>
  <cols>
    <col min="1" max="1" width="13.09765625" customWidth="1"/>
    <col min="2" max="2" width="54" customWidth="1"/>
    <col min="3" max="3" width="17.796875" customWidth="1"/>
    <col min="4" max="4" width="17.19921875" customWidth="1"/>
    <col min="5" max="5" width="23.69921875" customWidth="1"/>
    <col min="6" max="6" width="19.5" customWidth="1"/>
    <col min="7" max="10" width="16.8984375" customWidth="1"/>
    <col min="11" max="11" width="19.296875" customWidth="1"/>
    <col min="12" max="12" width="17.09765625" customWidth="1"/>
    <col min="13" max="13" width="19.19921875" customWidth="1"/>
    <col min="14" max="14" width="24.09765625" customWidth="1"/>
    <col min="15" max="15" width="21" customWidth="1"/>
    <col min="16" max="16" width="23.59765625" customWidth="1"/>
    <col min="17" max="17" width="28" customWidth="1"/>
    <col min="18" max="18" width="21.59765625" customWidth="1"/>
    <col min="19" max="19" width="17.19921875" customWidth="1"/>
    <col min="20" max="20" width="15.59765625" customWidth="1"/>
    <col min="21" max="21" width="13.296875" bestFit="1" customWidth="1"/>
  </cols>
  <sheetData>
    <row r="1" spans="1:21" s="2" customFormat="1" ht="12.75" customHeight="1" x14ac:dyDescent="0.3">
      <c r="A1" s="1" t="s">
        <v>285</v>
      </c>
      <c r="B1" s="1" t="s">
        <v>286</v>
      </c>
      <c r="C1" s="1" t="s">
        <v>287</v>
      </c>
      <c r="D1" s="1" t="s">
        <v>288</v>
      </c>
      <c r="E1" s="1" t="s">
        <v>39</v>
      </c>
      <c r="F1" s="1" t="s">
        <v>40</v>
      </c>
      <c r="G1" s="1" t="s">
        <v>41</v>
      </c>
      <c r="H1" s="1"/>
      <c r="I1" s="1"/>
      <c r="J1" s="1"/>
      <c r="K1" s="1" t="s">
        <v>42</v>
      </c>
      <c r="L1" s="1" t="s">
        <v>43</v>
      </c>
      <c r="M1" s="1" t="s">
        <v>44</v>
      </c>
      <c r="N1" s="1" t="s">
        <v>45</v>
      </c>
      <c r="O1" s="1" t="s">
        <v>276</v>
      </c>
      <c r="P1" s="1" t="s">
        <v>277</v>
      </c>
      <c r="Q1" s="1" t="s">
        <v>278</v>
      </c>
      <c r="R1" s="1" t="s">
        <v>279</v>
      </c>
      <c r="S1" s="1" t="s">
        <v>280</v>
      </c>
      <c r="T1" s="1" t="s">
        <v>281</v>
      </c>
      <c r="U1" s="1" t="s">
        <v>282</v>
      </c>
    </row>
    <row r="2" spans="1:21" x14ac:dyDescent="0.3">
      <c r="A2" t="s">
        <v>290</v>
      </c>
      <c r="B2" t="s">
        <v>289</v>
      </c>
      <c r="C2" s="3" t="s">
        <v>46</v>
      </c>
      <c r="D2" s="3" t="s">
        <v>47</v>
      </c>
      <c r="E2" s="3" t="s">
        <v>48</v>
      </c>
      <c r="F2" s="3" t="s">
        <v>49</v>
      </c>
      <c r="G2" s="3" t="s">
        <v>50</v>
      </c>
      <c r="H2" s="45"/>
      <c r="I2" s="45"/>
      <c r="J2" s="45"/>
      <c r="K2" s="45" t="s">
        <v>51</v>
      </c>
      <c r="L2" s="45" t="s">
        <v>52</v>
      </c>
      <c r="M2" s="3" t="s">
        <v>56</v>
      </c>
      <c r="N2" s="3" t="s">
        <v>57</v>
      </c>
      <c r="O2" s="3" t="s">
        <v>58</v>
      </c>
      <c r="P2" s="45" t="s">
        <v>275</v>
      </c>
      <c r="Q2" s="45" t="s">
        <v>273</v>
      </c>
      <c r="R2" s="45" t="s">
        <v>274</v>
      </c>
      <c r="S2" s="45" t="s">
        <v>53</v>
      </c>
      <c r="T2" s="3" t="s">
        <v>54</v>
      </c>
      <c r="U2" s="45" t="s">
        <v>55</v>
      </c>
    </row>
    <row r="3" spans="1:21" x14ac:dyDescent="0.3">
      <c r="A3" s="144" t="s">
        <v>292</v>
      </c>
      <c r="B3" s="148" t="s">
        <v>291</v>
      </c>
      <c r="C3" s="3" t="s">
        <v>59</v>
      </c>
      <c r="D3">
        <v>0.05</v>
      </c>
      <c r="E3">
        <v>3.5000000000000003E-2</v>
      </c>
      <c r="F3">
        <v>2011</v>
      </c>
      <c r="G3">
        <v>2026</v>
      </c>
      <c r="K3">
        <v>2011</v>
      </c>
      <c r="L3">
        <v>1</v>
      </c>
      <c r="M3">
        <f ca="1">IF(INDEX(Stamoplysninger!K95:O95,2)&lt;&gt;0,INDEX(Stamoplysninger!K95:O95,2),YEAR(NOW()))</f>
        <v>2025</v>
      </c>
      <c r="N3">
        <f ca="1">IF(INDEX(Stamoplysninger!K99:O99,2)&lt;&gt;0,INDEX(Stamoplysninger!K99:O99,2),YEAR(NOW()))</f>
        <v>2025</v>
      </c>
      <c r="O3">
        <f ca="1">INDEX(g_pl_factors,(g_reporting_year-g_pl_years_start)*(g_pl_years_end-g_pl_years_start+1)+(g_pl_year-g_pl_years_start+1))</f>
        <v>1</v>
      </c>
      <c r="P3" s="4">
        <f>INDEX(Stamoplysninger!K29:O29,2)</f>
        <v>0</v>
      </c>
      <c r="Q3">
        <f>INDEX(Stamoplysninger!$K$48:$O$48,4)</f>
        <v>0</v>
      </c>
      <c r="R3" s="4">
        <f>INDEX(Stamoplysninger!$K$48:$O$48,3)</f>
        <v>0</v>
      </c>
      <c r="S3">
        <f ca="1">S5-S4</f>
        <v>3</v>
      </c>
      <c r="T3">
        <f ca="1">T5-T4</f>
        <v>3</v>
      </c>
      <c r="U3" s="3" t="s">
        <v>60</v>
      </c>
    </row>
    <row r="4" spans="1:21" x14ac:dyDescent="0.3">
      <c r="A4" s="144" t="s">
        <v>293</v>
      </c>
      <c r="B4" s="144" t="s">
        <v>148</v>
      </c>
      <c r="C4" s="3" t="s">
        <v>61</v>
      </c>
      <c r="K4">
        <v>2012</v>
      </c>
      <c r="L4">
        <v>0.98425196850393704</v>
      </c>
      <c r="P4" s="4">
        <f>INDEX(Stamoplysninger!K36:O36,2)</f>
        <v>0</v>
      </c>
      <c r="Q4">
        <f>INDEX(Stamoplysninger!$K$50:$O$50,4)</f>
        <v>0</v>
      </c>
      <c r="R4" s="4">
        <f>INDEX(Stamoplysninger!$K$50:$O$50,3)</f>
        <v>0</v>
      </c>
      <c r="S4">
        <f ca="1">MIN(S6:S8)</f>
        <v>2025</v>
      </c>
      <c r="T4">
        <f ca="1">S4</f>
        <v>2025</v>
      </c>
      <c r="U4" s="45" t="s">
        <v>243</v>
      </c>
    </row>
    <row r="5" spans="1:21" x14ac:dyDescent="0.3">
      <c r="A5" s="144" t="s">
        <v>295</v>
      </c>
      <c r="B5" s="144" t="s">
        <v>362</v>
      </c>
      <c r="C5" s="3" t="s">
        <v>62</v>
      </c>
      <c r="K5">
        <v>2013</v>
      </c>
      <c r="L5">
        <v>0.97935519254123082</v>
      </c>
      <c r="P5" s="4">
        <f>INDEX(Stamoplysninger!K38:O38,2)</f>
        <v>0</v>
      </c>
      <c r="Q5">
        <f>INDEX(Stamoplysninger!$K$52:$O$52,4)</f>
        <v>0</v>
      </c>
      <c r="R5" s="4">
        <f>INDEX(Stamoplysninger!$K$52:$O$52,3)</f>
        <v>0</v>
      </c>
      <c r="S5">
        <f ca="1">MAX(S6:S8)</f>
        <v>2028</v>
      </c>
      <c r="T5">
        <f ca="1">MAX(S5,T6:T25)</f>
        <v>2028</v>
      </c>
      <c r="U5" t="str">
        <f>IF(ISBLANK(INDEX(Stamoplysninger!$K$48:$O$48,2)),"",INDEX(Stamoplysninger!$K$48:$O$48,2))</f>
        <v/>
      </c>
    </row>
    <row r="6" spans="1:21" ht="14.5" x14ac:dyDescent="0.35">
      <c r="A6" s="144" t="s">
        <v>294</v>
      </c>
      <c r="B6" s="144" t="s">
        <v>296</v>
      </c>
      <c r="K6">
        <v>2014</v>
      </c>
      <c r="L6">
        <v>0.9754533790251303</v>
      </c>
      <c r="Q6">
        <f>INDEX(Stamoplysninger!$K$54:$O$54,4)</f>
        <v>0</v>
      </c>
      <c r="R6" s="4">
        <f>INDEX(Stamoplysninger!$K$54:$O$54,3)</f>
        <v>0</v>
      </c>
      <c r="S6" s="80">
        <f ca="1">IF(P3=0,YEAR(NOW()),YEAR(P3))</f>
        <v>2025</v>
      </c>
      <c r="T6" s="222">
        <f>YEAR(R3)+Q3</f>
        <v>1900</v>
      </c>
      <c r="U6" t="str">
        <f>IF(ISBLANK(INDEX(Stamoplysninger!$K$50:$O$50,2)),"",INDEX(Stamoplysninger!$K$50:$O$50,2))</f>
        <v/>
      </c>
    </row>
    <row r="7" spans="1:21" ht="14.5" x14ac:dyDescent="0.35">
      <c r="A7" s="144" t="s">
        <v>298</v>
      </c>
      <c r="B7" s="144" t="s">
        <v>300</v>
      </c>
      <c r="K7">
        <v>2015</v>
      </c>
      <c r="L7">
        <v>0.97060037713943326</v>
      </c>
      <c r="Q7">
        <f>INDEX(Stamoplysninger!$K$56:$O$56,4)</f>
        <v>0</v>
      </c>
      <c r="R7" s="4">
        <f>INDEX(Stamoplysninger!$K$56:$O$56,3)</f>
        <v>0</v>
      </c>
      <c r="S7" s="80">
        <f ca="1">IF(P4=0,S6,YEAR(P4))</f>
        <v>2025</v>
      </c>
      <c r="T7" s="222">
        <f>YEAR(R4)+Q4</f>
        <v>1900</v>
      </c>
      <c r="U7" t="str">
        <f>IF(ISBLANK(INDEX(Stamoplysninger!$K$52:$O$52,2)),"",INDEX(Stamoplysninger!$K$52:$O$52,2))</f>
        <v/>
      </c>
    </row>
    <row r="8" spans="1:21" ht="14.5" x14ac:dyDescent="0.35">
      <c r="A8" s="144" t="s">
        <v>299</v>
      </c>
      <c r="B8" s="145" t="s">
        <v>560</v>
      </c>
      <c r="K8">
        <v>2016</v>
      </c>
      <c r="L8">
        <v>0.96577151954172469</v>
      </c>
      <c r="Q8">
        <f>INDEX(Stamoplysninger!$K$58:$O$58,4)</f>
        <v>0</v>
      </c>
      <c r="R8" s="4">
        <f>INDEX(Stamoplysninger!$K$58:$O$58,3)</f>
        <v>0</v>
      </c>
      <c r="S8" s="80">
        <f ca="1">IF(P5=0,S6+3,YEAR(P5))</f>
        <v>2028</v>
      </c>
      <c r="T8" s="222">
        <f>YEAR(R5)+Q5</f>
        <v>1900</v>
      </c>
      <c r="U8" t="str">
        <f>IF(ISBLANK(INDEX(Stamoplysninger!$K$54:$O$54,2)),"",INDEX(Stamoplysninger!$K$54:$O$54,2))</f>
        <v/>
      </c>
    </row>
    <row r="9" spans="1:21" ht="14.5" x14ac:dyDescent="0.35">
      <c r="A9" s="144" t="s">
        <v>301</v>
      </c>
      <c r="B9" s="144" t="s">
        <v>242</v>
      </c>
      <c r="K9">
        <v>2017</v>
      </c>
      <c r="L9">
        <v>0.95431968334162509</v>
      </c>
      <c r="Q9">
        <f>INDEX(Stamoplysninger!$K$60:$O$60,4)</f>
        <v>0</v>
      </c>
      <c r="R9" s="4">
        <f>INDEX(Stamoplysninger!$K$60:$O$60,3)</f>
        <v>0</v>
      </c>
      <c r="T9" s="222">
        <f>YEAR(R6)+Q6</f>
        <v>1900</v>
      </c>
      <c r="U9" t="str">
        <f>IF(ISBLANK(INDEX(Stamoplysninger!$K56:$O56,2)),"",INDEX(Stamoplysninger!$K56:$O56,2))</f>
        <v/>
      </c>
    </row>
    <row r="10" spans="1:21" ht="14.5" x14ac:dyDescent="0.35">
      <c r="A10" s="144" t="s">
        <v>302</v>
      </c>
      <c r="B10" s="144" t="s">
        <v>297</v>
      </c>
      <c r="K10">
        <v>2018</v>
      </c>
      <c r="L10">
        <v>0.9365256951340778</v>
      </c>
      <c r="Q10">
        <f>INDEX(Stamoplysninger!$K$62:$O$62,4)</f>
        <v>0</v>
      </c>
      <c r="R10" s="4">
        <f>INDEX(Stamoplysninger!$K$62:$O$62,3)</f>
        <v>0</v>
      </c>
      <c r="T10" s="222">
        <f>YEAR(R7)+Q7</f>
        <v>1900</v>
      </c>
      <c r="U10" t="str">
        <f>IF(ISBLANK(INDEX(Stamoplysninger!$K58:$O58,2)),"",INDEX(Stamoplysninger!$K58:$O58,2))</f>
        <v/>
      </c>
    </row>
    <row r="11" spans="1:21" ht="14.5" x14ac:dyDescent="0.35">
      <c r="A11" s="144" t="s">
        <v>303</v>
      </c>
      <c r="B11" s="144" t="s">
        <v>96</v>
      </c>
      <c r="K11">
        <v>2019</v>
      </c>
      <c r="L11">
        <v>0.92450710279770765</v>
      </c>
      <c r="Q11">
        <f>INDEX(Stamoplysninger!$K$64:$O$64,4)</f>
        <v>0</v>
      </c>
      <c r="R11" s="4">
        <f>INDEX(Stamoplysninger!$K$64:$O$64,3)</f>
        <v>0</v>
      </c>
      <c r="T11" s="222">
        <f t="shared" ref="T11:T23" si="0">YEAR(R8)+Q8</f>
        <v>1900</v>
      </c>
      <c r="U11" t="str">
        <f>IF(ISBLANK(INDEX(Stamoplysninger!$K60:$O60,2)),"",INDEX(Stamoplysninger!$K60:$O60,2))</f>
        <v/>
      </c>
    </row>
    <row r="12" spans="1:21" ht="14.5" x14ac:dyDescent="0.35">
      <c r="A12" s="144" t="s">
        <v>304</v>
      </c>
      <c r="B12" s="144" t="s">
        <v>139</v>
      </c>
      <c r="K12">
        <v>2020</v>
      </c>
      <c r="L12">
        <v>0.91444817289585334</v>
      </c>
      <c r="Q12">
        <f>INDEX(Stamoplysninger!$K$66:$O$66,4)</f>
        <v>0</v>
      </c>
      <c r="R12" s="4">
        <f>INDEX(Stamoplysninger!$K$66:$O$66,3)</f>
        <v>0</v>
      </c>
      <c r="T12" s="222">
        <f t="shared" si="0"/>
        <v>1900</v>
      </c>
      <c r="U12" t="str">
        <f>IF(ISBLANK(INDEX(Stamoplysninger!$K62:$O62,2)),"",INDEX(Stamoplysninger!$K62:$O62,2))</f>
        <v/>
      </c>
    </row>
    <row r="13" spans="1:21" ht="14.5" x14ac:dyDescent="0.35">
      <c r="A13" s="144" t="s">
        <v>305</v>
      </c>
      <c r="B13" s="144" t="s">
        <v>441</v>
      </c>
      <c r="K13">
        <v>2021</v>
      </c>
      <c r="L13">
        <v>0.90360491392870879</v>
      </c>
      <c r="Q13">
        <f>INDEX(Stamoplysninger!$K$68:$O$68,4)</f>
        <v>0</v>
      </c>
      <c r="R13" s="4">
        <f>INDEX(Stamoplysninger!$K$68:$O$68,3)</f>
        <v>0</v>
      </c>
      <c r="T13" s="222">
        <f t="shared" si="0"/>
        <v>1900</v>
      </c>
      <c r="U13" t="str">
        <f>IF(ISBLANK(INDEX(Stamoplysninger!$K64:$O64,2)),"",INDEX(Stamoplysninger!$K64:$O64,2))</f>
        <v/>
      </c>
    </row>
    <row r="14" spans="1:21" ht="14.5" x14ac:dyDescent="0.35">
      <c r="A14" s="144" t="s">
        <v>306</v>
      </c>
      <c r="B14" s="144" t="s">
        <v>140</v>
      </c>
      <c r="K14">
        <v>2022</v>
      </c>
      <c r="L14">
        <v>0.86635178708409288</v>
      </c>
      <c r="Q14">
        <f>INDEX(Stamoplysninger!$K$70:$O$70,4)</f>
        <v>0</v>
      </c>
      <c r="R14" s="4">
        <f>INDEX(Stamoplysninger!$K$70:$O$70,3)</f>
        <v>0</v>
      </c>
      <c r="T14" s="222">
        <f t="shared" si="0"/>
        <v>1900</v>
      </c>
      <c r="U14" t="str">
        <f>IF(ISBLANK(INDEX(Stamoplysninger!$K66:$O66,2)),"",INDEX(Stamoplysninger!$K66:$O66,2))</f>
        <v/>
      </c>
    </row>
    <row r="15" spans="1:21" ht="14.5" x14ac:dyDescent="0.35">
      <c r="A15" s="144" t="s">
        <v>307</v>
      </c>
      <c r="B15" s="148" t="s">
        <v>61</v>
      </c>
      <c r="K15">
        <v>2023</v>
      </c>
      <c r="L15">
        <v>0.84522125569179796</v>
      </c>
      <c r="Q15">
        <f>INDEX(Stamoplysninger!$K$72:$O$72,4)</f>
        <v>0</v>
      </c>
      <c r="R15" s="4">
        <f>INDEX(Stamoplysninger!$K$72:$O$72,3)</f>
        <v>0</v>
      </c>
      <c r="T15" s="222">
        <f t="shared" si="0"/>
        <v>1900</v>
      </c>
      <c r="U15" t="str">
        <f>IF(ISBLANK(INDEX(Stamoplysninger!$K68:$O68,2)),"",INDEX(Stamoplysninger!$K68:$O68,2))</f>
        <v/>
      </c>
    </row>
    <row r="16" spans="1:21" ht="14.5" x14ac:dyDescent="0.35">
      <c r="A16" s="144" t="s">
        <v>308</v>
      </c>
      <c r="B16" s="144" t="s">
        <v>238</v>
      </c>
      <c r="K16">
        <v>2024</v>
      </c>
      <c r="L16">
        <v>0.81271274585749798</v>
      </c>
      <c r="Q16">
        <f>INDEX(Stamoplysninger!$K$74:$O$74,4)</f>
        <v>0</v>
      </c>
      <c r="R16" s="4">
        <f>INDEX(Stamoplysninger!$K$74:$O$74,3)</f>
        <v>0</v>
      </c>
      <c r="T16" s="222">
        <f t="shared" si="0"/>
        <v>1900</v>
      </c>
      <c r="U16" t="str">
        <f>IF(ISBLANK(INDEX(Stamoplysninger!$K70:$O70,2)),"",INDEX(Stamoplysninger!$K70:$O70,2))</f>
        <v/>
      </c>
    </row>
    <row r="17" spans="1:21" ht="14.5" x14ac:dyDescent="0.35">
      <c r="A17" s="144" t="s">
        <v>309</v>
      </c>
      <c r="B17" s="144" t="s">
        <v>62</v>
      </c>
      <c r="K17">
        <v>2025</v>
      </c>
      <c r="L17">
        <v>0.79444061178641068</v>
      </c>
      <c r="Q17">
        <f>INDEX(Stamoplysninger!$K$76:$O$76,4)</f>
        <v>0</v>
      </c>
      <c r="R17" s="4">
        <f>INDEX(Stamoplysninger!$K$76:$O$76,3)</f>
        <v>0</v>
      </c>
      <c r="T17" s="222">
        <f t="shared" si="0"/>
        <v>1900</v>
      </c>
      <c r="U17" t="str">
        <f>IF(ISBLANK(INDEX(Stamoplysninger!$K72:$O72,2)),"",INDEX(Stamoplysninger!$K72:$O72,2))</f>
        <v/>
      </c>
    </row>
    <row r="18" spans="1:21" ht="14.5" x14ac:dyDescent="0.35">
      <c r="A18" s="144" t="s">
        <v>310</v>
      </c>
      <c r="B18" s="144" t="s">
        <v>238</v>
      </c>
      <c r="K18">
        <v>2026</v>
      </c>
      <c r="L18">
        <v>0.77810050125995167</v>
      </c>
      <c r="Q18">
        <f>INDEX(Stamoplysninger!$K$78:$O$78,4)</f>
        <v>0</v>
      </c>
      <c r="R18" s="4">
        <f>INDEX(Stamoplysninger!$K$78:$O$78,3)</f>
        <v>0</v>
      </c>
      <c r="T18" s="222">
        <f t="shared" si="0"/>
        <v>1900</v>
      </c>
      <c r="U18" t="str">
        <f>IF(ISBLANK(INDEX(Stamoplysninger!$K74:$O74,2)),"",INDEX(Stamoplysninger!$K74:$O74,2))</f>
        <v/>
      </c>
    </row>
    <row r="19" spans="1:21" ht="14.5" x14ac:dyDescent="0.35">
      <c r="A19" s="144" t="s">
        <v>311</v>
      </c>
      <c r="B19" s="144" t="s">
        <v>241</v>
      </c>
      <c r="L19">
        <v>1.016</v>
      </c>
      <c r="Q19">
        <f>INDEX(Stamoplysninger!$K$80:$O$80,4)</f>
        <v>0</v>
      </c>
      <c r="R19" s="4">
        <f>INDEX(Stamoplysninger!$K$80:$O$80,3)</f>
        <v>0</v>
      </c>
      <c r="T19" s="222">
        <f t="shared" si="0"/>
        <v>1900</v>
      </c>
      <c r="U19" t="str">
        <f>IF(ISBLANK(INDEX(Stamoplysninger!$K76:$O76,2)),"",INDEX(Stamoplysninger!$K76:$O76,2))</f>
        <v/>
      </c>
    </row>
    <row r="20" spans="1:21" ht="14.5" x14ac:dyDescent="0.35">
      <c r="A20" s="144" t="s">
        <v>312</v>
      </c>
      <c r="B20" s="144" t="s">
        <v>123</v>
      </c>
      <c r="L20">
        <v>1</v>
      </c>
      <c r="Q20">
        <f>INDEX(Stamoplysninger!$K$82:$O$82,4)</f>
        <v>0</v>
      </c>
      <c r="R20" s="4">
        <f>INDEX(Stamoplysninger!$K$82:$O$82,3)</f>
        <v>0</v>
      </c>
      <c r="T20" s="222">
        <f t="shared" si="0"/>
        <v>1900</v>
      </c>
      <c r="U20" t="str">
        <f>IF(ISBLANK(INDEX(Stamoplysninger!$K78:$O78,2)),"",INDEX(Stamoplysninger!$K78:$O78,2))</f>
        <v/>
      </c>
    </row>
    <row r="21" spans="1:21" ht="104.5" x14ac:dyDescent="0.35">
      <c r="A21" s="144" t="s">
        <v>313</v>
      </c>
      <c r="B21" s="149" t="s">
        <v>363</v>
      </c>
      <c r="L21">
        <v>0.99502487562189068</v>
      </c>
      <c r="Q21">
        <f>INDEX(Stamoplysninger!$K$84:$O$84,4)</f>
        <v>0</v>
      </c>
      <c r="R21" s="4">
        <f>INDEX(Stamoplysninger!$K$84:$O$84,3)</f>
        <v>0</v>
      </c>
      <c r="T21" s="222">
        <f t="shared" si="0"/>
        <v>1900</v>
      </c>
      <c r="U21" t="str">
        <f>IF(ISBLANK(INDEX(Stamoplysninger!$K80:$O80,2)),"",INDEX(Stamoplysninger!$K80:$O80,2))</f>
        <v/>
      </c>
    </row>
    <row r="22" spans="1:21" ht="14.5" x14ac:dyDescent="0.35">
      <c r="A22" s="144" t="s">
        <v>314</v>
      </c>
      <c r="B22" s="144" t="s">
        <v>395</v>
      </c>
      <c r="L22">
        <v>0.99106063308953263</v>
      </c>
      <c r="Q22">
        <f>INDEX(Stamoplysninger!$K$86:$O$86,4)</f>
        <v>0</v>
      </c>
      <c r="R22" s="4">
        <f>INDEX(Stamoplysninger!$K$86:$O$86,3)</f>
        <v>0</v>
      </c>
      <c r="T22" s="222">
        <f t="shared" si="0"/>
        <v>1900</v>
      </c>
      <c r="U22" t="str">
        <f>IF(ISBLANK(INDEX(Stamoplysninger!$K82:$O82,2)),"",INDEX(Stamoplysninger!$K82:$O82,2))</f>
        <v/>
      </c>
    </row>
    <row r="23" spans="1:21" ht="14.5" x14ac:dyDescent="0.35">
      <c r="A23" s="144" t="s">
        <v>315</v>
      </c>
      <c r="B23" s="144" t="s">
        <v>141</v>
      </c>
      <c r="L23">
        <v>0.98612998317366451</v>
      </c>
      <c r="T23" s="222">
        <f t="shared" si="0"/>
        <v>1900</v>
      </c>
      <c r="U23" t="str">
        <f>IF(ISBLANK(INDEX(Stamoplysninger!$K84:$O84,2)),"",INDEX(Stamoplysninger!$K84:$O84,2))</f>
        <v/>
      </c>
    </row>
    <row r="24" spans="1:21" ht="14.5" x14ac:dyDescent="0.35">
      <c r="A24" s="144" t="s">
        <v>316</v>
      </c>
      <c r="B24" s="144" t="s">
        <v>142</v>
      </c>
      <c r="L24">
        <v>0.98122386385439253</v>
      </c>
      <c r="T24" s="222">
        <f>YEAR(R21)+Q21</f>
        <v>1900</v>
      </c>
      <c r="U24" t="str">
        <f>IF(ISBLANK(INDEX(Stamoplysninger!$K86:$O86,2)),"",INDEX(Stamoplysninger!$K86:$O86,2))</f>
        <v/>
      </c>
    </row>
    <row r="25" spans="1:21" ht="14.5" x14ac:dyDescent="0.35">
      <c r="A25" s="144" t="s">
        <v>317</v>
      </c>
      <c r="B25" s="144" t="s">
        <v>143</v>
      </c>
      <c r="L25">
        <v>0.96958879827509148</v>
      </c>
      <c r="T25" s="222">
        <f>YEAR(R22)+Q22</f>
        <v>1900</v>
      </c>
    </row>
    <row r="26" spans="1:21" x14ac:dyDescent="0.3">
      <c r="A26" s="144" t="s">
        <v>318</v>
      </c>
      <c r="B26" s="144" t="s">
        <v>138</v>
      </c>
      <c r="L26">
        <v>0.95151010625622334</v>
      </c>
    </row>
    <row r="27" spans="1:21" x14ac:dyDescent="0.3">
      <c r="A27" s="144" t="s">
        <v>319</v>
      </c>
      <c r="B27" s="150" t="s">
        <v>384</v>
      </c>
      <c r="L27">
        <v>0.9392992164424715</v>
      </c>
    </row>
    <row r="28" spans="1:21" x14ac:dyDescent="0.3">
      <c r="A28" s="144" t="s">
        <v>320</v>
      </c>
      <c r="B28" s="144" t="s">
        <v>144</v>
      </c>
      <c r="L28">
        <v>0.92907934366218758</v>
      </c>
    </row>
    <row r="29" spans="1:21" x14ac:dyDescent="0.3">
      <c r="A29" s="144" t="s">
        <v>321</v>
      </c>
      <c r="B29" s="144" t="s">
        <v>118</v>
      </c>
      <c r="L29">
        <v>0.91806259255156863</v>
      </c>
    </row>
    <row r="30" spans="1:21" x14ac:dyDescent="0.3">
      <c r="A30" s="144" t="s">
        <v>322</v>
      </c>
      <c r="B30" s="144" t="s">
        <v>145</v>
      </c>
      <c r="L30">
        <v>0.88021341567743883</v>
      </c>
    </row>
    <row r="31" spans="1:21" x14ac:dyDescent="0.3">
      <c r="A31" s="144" t="s">
        <v>323</v>
      </c>
      <c r="B31" s="144" t="s">
        <v>119</v>
      </c>
      <c r="L31">
        <v>0.85874479578286722</v>
      </c>
    </row>
    <row r="32" spans="1:21" x14ac:dyDescent="0.3">
      <c r="A32" s="144" t="s">
        <v>324</v>
      </c>
      <c r="B32" s="144" t="s">
        <v>121</v>
      </c>
      <c r="L32">
        <v>0.82571614979121843</v>
      </c>
    </row>
    <row r="33" spans="1:12" ht="91" x14ac:dyDescent="0.3">
      <c r="A33" s="144" t="s">
        <v>325</v>
      </c>
      <c r="B33" s="149" t="s">
        <v>443</v>
      </c>
      <c r="L33">
        <v>0.80715166157499363</v>
      </c>
    </row>
    <row r="34" spans="1:12" x14ac:dyDescent="0.3">
      <c r="A34" s="144" t="s">
        <v>326</v>
      </c>
      <c r="B34" s="144" t="s">
        <v>95</v>
      </c>
      <c r="L34">
        <v>0.79055010928011138</v>
      </c>
    </row>
    <row r="35" spans="1:12" x14ac:dyDescent="0.3">
      <c r="A35" s="144" t="s">
        <v>327</v>
      </c>
      <c r="B35" s="148" t="s">
        <v>394</v>
      </c>
      <c r="L35">
        <v>1.02108</v>
      </c>
    </row>
    <row r="36" spans="1:12" x14ac:dyDescent="0.3">
      <c r="A36" s="144" t="s">
        <v>328</v>
      </c>
      <c r="B36" s="144" t="s">
        <v>146</v>
      </c>
      <c r="L36">
        <v>1.0049999999999999</v>
      </c>
    </row>
    <row r="37" spans="1:12" x14ac:dyDescent="0.3">
      <c r="A37" s="144" t="s">
        <v>329</v>
      </c>
      <c r="B37" s="144" t="s">
        <v>364</v>
      </c>
      <c r="L37">
        <v>1</v>
      </c>
    </row>
    <row r="38" spans="1:12" x14ac:dyDescent="0.3">
      <c r="A38" s="144" t="s">
        <v>330</v>
      </c>
      <c r="B38" s="144" t="s">
        <v>365</v>
      </c>
      <c r="L38">
        <v>0.99601593625498008</v>
      </c>
    </row>
    <row r="39" spans="1:12" x14ac:dyDescent="0.3">
      <c r="A39" s="144" t="s">
        <v>331</v>
      </c>
      <c r="B39" s="148" t="s">
        <v>122</v>
      </c>
      <c r="L39">
        <v>0.99106063308953263</v>
      </c>
    </row>
    <row r="40" spans="1:12" x14ac:dyDescent="0.3">
      <c r="A40" s="144" t="s">
        <v>332</v>
      </c>
      <c r="B40" s="148" t="s">
        <v>386</v>
      </c>
      <c r="L40">
        <v>0.98612998317366451</v>
      </c>
    </row>
    <row r="41" spans="1:12" x14ac:dyDescent="0.3">
      <c r="A41" s="144" t="s">
        <v>333</v>
      </c>
      <c r="B41" s="144" t="s">
        <v>396</v>
      </c>
      <c r="L41">
        <v>0.97443674226646693</v>
      </c>
    </row>
    <row r="42" spans="1:12" x14ac:dyDescent="0.3">
      <c r="A42" s="144" t="s">
        <v>334</v>
      </c>
      <c r="B42" s="144" t="s">
        <v>124</v>
      </c>
      <c r="L42">
        <v>0.95626765678750447</v>
      </c>
    </row>
    <row r="43" spans="1:12" x14ac:dyDescent="0.3">
      <c r="A43" s="144" t="s">
        <v>335</v>
      </c>
      <c r="B43" s="144" t="s">
        <v>147</v>
      </c>
      <c r="L43">
        <v>0.94399571252468373</v>
      </c>
    </row>
    <row r="44" spans="1:12" x14ac:dyDescent="0.3">
      <c r="A44" s="144" t="s">
        <v>336</v>
      </c>
      <c r="B44" s="144" t="s">
        <v>387</v>
      </c>
      <c r="L44">
        <v>0.93372474038049824</v>
      </c>
    </row>
    <row r="45" spans="1:12" x14ac:dyDescent="0.3">
      <c r="A45" s="144" t="s">
        <v>338</v>
      </c>
      <c r="B45" s="148" t="s">
        <v>397</v>
      </c>
      <c r="L45">
        <v>0.92265290551432633</v>
      </c>
    </row>
    <row r="46" spans="1:12" x14ac:dyDescent="0.3">
      <c r="A46" s="144" t="s">
        <v>337</v>
      </c>
      <c r="B46" s="148" t="s">
        <v>398</v>
      </c>
      <c r="L46">
        <v>0.88461448275582577</v>
      </c>
    </row>
    <row r="47" spans="1:12" x14ac:dyDescent="0.3">
      <c r="A47" s="144" t="s">
        <v>339</v>
      </c>
      <c r="B47" s="148" t="s">
        <v>393</v>
      </c>
      <c r="L47">
        <v>0.86303851976178125</v>
      </c>
    </row>
    <row r="48" spans="1:12" ht="78" x14ac:dyDescent="0.3">
      <c r="A48" s="144" t="s">
        <v>340</v>
      </c>
      <c r="B48" s="149" t="s">
        <v>439</v>
      </c>
      <c r="L48">
        <v>0.82984473054017427</v>
      </c>
    </row>
    <row r="49" spans="1:12" x14ac:dyDescent="0.3">
      <c r="A49" s="144" t="s">
        <v>438</v>
      </c>
      <c r="B49" s="148" t="s">
        <v>434</v>
      </c>
      <c r="L49">
        <v>0.81118741988286824</v>
      </c>
    </row>
    <row r="50" spans="1:12" x14ac:dyDescent="0.3">
      <c r="A50" s="144" t="s">
        <v>389</v>
      </c>
      <c r="B50" s="148" t="s">
        <v>392</v>
      </c>
      <c r="L50">
        <v>0.7945028598265117</v>
      </c>
    </row>
    <row r="51" spans="1:12" x14ac:dyDescent="0.3">
      <c r="A51" s="144" t="s">
        <v>390</v>
      </c>
      <c r="B51" s="148" t="s">
        <v>376</v>
      </c>
      <c r="L51">
        <v>1.02516432</v>
      </c>
    </row>
    <row r="52" spans="1:12" ht="143" x14ac:dyDescent="0.3">
      <c r="A52" s="144" t="s">
        <v>391</v>
      </c>
      <c r="B52" s="149" t="s">
        <v>437</v>
      </c>
      <c r="L52">
        <v>1.0090199999999998</v>
      </c>
    </row>
    <row r="53" spans="1:12" x14ac:dyDescent="0.3">
      <c r="A53" s="144" t="s">
        <v>341</v>
      </c>
      <c r="B53" s="144" t="s">
        <v>283</v>
      </c>
      <c r="L53">
        <v>1.004</v>
      </c>
    </row>
    <row r="54" spans="1:12" x14ac:dyDescent="0.3">
      <c r="A54" s="144" t="s">
        <v>342</v>
      </c>
      <c r="B54" s="144" t="s">
        <v>343</v>
      </c>
      <c r="L54">
        <v>1</v>
      </c>
    </row>
    <row r="55" spans="1:12" x14ac:dyDescent="0.3">
      <c r="A55" s="144" t="s">
        <v>344</v>
      </c>
      <c r="B55" s="144" t="s">
        <v>375</v>
      </c>
      <c r="L55">
        <v>0.99502487562189068</v>
      </c>
    </row>
    <row r="56" spans="1:12" x14ac:dyDescent="0.3">
      <c r="A56" s="144" t="s">
        <v>345</v>
      </c>
      <c r="B56" s="144" t="s">
        <v>371</v>
      </c>
      <c r="L56">
        <v>0.99007450310635903</v>
      </c>
    </row>
    <row r="57" spans="1:12" x14ac:dyDescent="0.3">
      <c r="A57" s="144" t="s">
        <v>346</v>
      </c>
      <c r="B57" s="148" t="s">
        <v>385</v>
      </c>
      <c r="L57">
        <v>0.97833448923553257</v>
      </c>
    </row>
    <row r="58" spans="1:12" x14ac:dyDescent="0.3">
      <c r="A58" s="144" t="s">
        <v>350</v>
      </c>
      <c r="B58" s="148" t="s">
        <v>399</v>
      </c>
      <c r="L58">
        <v>0.96009272741465423</v>
      </c>
    </row>
    <row r="59" spans="1:12" x14ac:dyDescent="0.3">
      <c r="A59" s="144" t="s">
        <v>351</v>
      </c>
      <c r="B59" s="148" t="s">
        <v>369</v>
      </c>
      <c r="L59">
        <v>0.94777169537478223</v>
      </c>
    </row>
    <row r="60" spans="1:12" x14ac:dyDescent="0.3">
      <c r="A60" s="144" t="s">
        <v>368</v>
      </c>
      <c r="B60" s="148" t="s">
        <v>370</v>
      </c>
      <c r="L60">
        <v>0.93745963934202003</v>
      </c>
    </row>
    <row r="61" spans="1:12" x14ac:dyDescent="0.3">
      <c r="A61" s="144" t="s">
        <v>352</v>
      </c>
      <c r="B61" s="148" t="s">
        <v>233</v>
      </c>
      <c r="L61">
        <v>0.92634351713638352</v>
      </c>
    </row>
    <row r="62" spans="1:12" x14ac:dyDescent="0.3">
      <c r="A62" s="144" t="s">
        <v>353</v>
      </c>
      <c r="B62" s="144" t="s">
        <v>234</v>
      </c>
      <c r="L62">
        <v>0.88815294068684913</v>
      </c>
    </row>
    <row r="63" spans="1:12" x14ac:dyDescent="0.3">
      <c r="A63" s="144" t="s">
        <v>347</v>
      </c>
      <c r="B63" s="144" t="s">
        <v>284</v>
      </c>
      <c r="L63">
        <v>0.86649067384082845</v>
      </c>
    </row>
    <row r="64" spans="1:12" x14ac:dyDescent="0.3">
      <c r="A64" s="144" t="s">
        <v>348</v>
      </c>
      <c r="B64" s="148" t="s">
        <v>125</v>
      </c>
      <c r="L64">
        <v>0.83316410946233499</v>
      </c>
    </row>
    <row r="65" spans="1:12" x14ac:dyDescent="0.3">
      <c r="A65" s="144" t="s">
        <v>349</v>
      </c>
      <c r="B65" s="144" t="s">
        <v>126</v>
      </c>
      <c r="L65">
        <v>0.81443216956239983</v>
      </c>
    </row>
    <row r="66" spans="1:12" x14ac:dyDescent="0.3">
      <c r="A66" s="144" t="s">
        <v>366</v>
      </c>
      <c r="B66" s="144" t="s">
        <v>127</v>
      </c>
      <c r="L66">
        <v>0.79768087126581777</v>
      </c>
    </row>
    <row r="67" spans="1:12" x14ac:dyDescent="0.3">
      <c r="A67" s="144" t="s">
        <v>367</v>
      </c>
      <c r="B67" s="144" t="s">
        <v>128</v>
      </c>
      <c r="L67">
        <v>1.0302901415999999</v>
      </c>
    </row>
    <row r="68" spans="1:12" x14ac:dyDescent="0.3">
      <c r="A68" s="144" t="s">
        <v>374</v>
      </c>
      <c r="B68" s="144" t="s">
        <v>400</v>
      </c>
      <c r="L68">
        <v>1.0140650999999996</v>
      </c>
    </row>
    <row r="69" spans="1:12" x14ac:dyDescent="0.3">
      <c r="A69" s="144" t="s">
        <v>372</v>
      </c>
      <c r="B69" s="144" t="s">
        <v>129</v>
      </c>
      <c r="L69">
        <v>1.0090199999999998</v>
      </c>
    </row>
    <row r="70" spans="1:12" x14ac:dyDescent="0.3">
      <c r="A70" s="144" t="s">
        <v>373</v>
      </c>
      <c r="B70" s="144" t="s">
        <v>401</v>
      </c>
      <c r="L70">
        <v>1.0049999999999999</v>
      </c>
    </row>
    <row r="71" spans="1:12" x14ac:dyDescent="0.3">
      <c r="A71" s="144" t="s">
        <v>354</v>
      </c>
      <c r="B71" s="148" t="s">
        <v>377</v>
      </c>
      <c r="L71">
        <v>1</v>
      </c>
    </row>
    <row r="72" spans="1:12" x14ac:dyDescent="0.3">
      <c r="A72" s="144" t="s">
        <v>355</v>
      </c>
      <c r="B72" s="144" t="s">
        <v>130</v>
      </c>
      <c r="L72">
        <v>0.99502487562189068</v>
      </c>
    </row>
    <row r="73" spans="1:12" x14ac:dyDescent="0.3">
      <c r="A73" s="144" t="s">
        <v>356</v>
      </c>
      <c r="B73" s="144" t="s">
        <v>133</v>
      </c>
      <c r="L73">
        <v>0.98322616168171018</v>
      </c>
    </row>
    <row r="74" spans="1:12" x14ac:dyDescent="0.3">
      <c r="A74" s="144" t="s">
        <v>357</v>
      </c>
      <c r="B74" s="144" t="s">
        <v>134</v>
      </c>
      <c r="L74">
        <v>0.96489319105172744</v>
      </c>
    </row>
    <row r="75" spans="1:12" x14ac:dyDescent="0.3">
      <c r="A75" s="144" t="s">
        <v>358</v>
      </c>
      <c r="B75" s="144" t="s">
        <v>135</v>
      </c>
      <c r="L75">
        <v>0.95251055385165584</v>
      </c>
    </row>
    <row r="76" spans="1:12" x14ac:dyDescent="0.3">
      <c r="A76" s="144" t="s">
        <v>359</v>
      </c>
      <c r="B76" s="144" t="s">
        <v>136</v>
      </c>
      <c r="L76">
        <v>0.94214693753872991</v>
      </c>
    </row>
    <row r="77" spans="1:12" x14ac:dyDescent="0.3">
      <c r="A77" s="144" t="s">
        <v>360</v>
      </c>
      <c r="B77" s="144" t="s">
        <v>137</v>
      </c>
      <c r="L77">
        <v>0.930975234722065</v>
      </c>
    </row>
    <row r="78" spans="1:12" x14ac:dyDescent="0.3">
      <c r="A78" s="144" t="s">
        <v>361</v>
      </c>
      <c r="B78" s="144" t="s">
        <v>562</v>
      </c>
      <c r="L78">
        <v>0.89259370539028293</v>
      </c>
    </row>
    <row r="79" spans="1:12" x14ac:dyDescent="0.3">
      <c r="A79" s="144"/>
      <c r="B79" s="144"/>
      <c r="L79">
        <v>0.87082312721003219</v>
      </c>
    </row>
    <row r="80" spans="1:12" x14ac:dyDescent="0.3">
      <c r="A80" s="144"/>
      <c r="B80" s="144"/>
      <c r="L80">
        <v>0.83732993000964639</v>
      </c>
    </row>
    <row r="81" spans="1:12" x14ac:dyDescent="0.3">
      <c r="A81" s="144"/>
      <c r="B81" s="144"/>
      <c r="L81">
        <v>0.81850433041021164</v>
      </c>
    </row>
    <row r="82" spans="1:12" x14ac:dyDescent="0.3">
      <c r="A82" s="144"/>
      <c r="B82" s="144"/>
      <c r="L82">
        <v>0.80166927562214674</v>
      </c>
    </row>
    <row r="83" spans="1:12" x14ac:dyDescent="0.3">
      <c r="A83" s="144"/>
      <c r="B83" s="144"/>
      <c r="L83">
        <v>1.0354415923079998</v>
      </c>
    </row>
    <row r="84" spans="1:12" x14ac:dyDescent="0.3">
      <c r="A84" s="144"/>
      <c r="B84" s="144"/>
      <c r="L84">
        <v>1.0191354254999996</v>
      </c>
    </row>
    <row r="85" spans="1:12" x14ac:dyDescent="0.3">
      <c r="A85" s="144"/>
      <c r="B85" s="144"/>
      <c r="L85">
        <v>1.0140650999999996</v>
      </c>
    </row>
    <row r="86" spans="1:12" x14ac:dyDescent="0.3">
      <c r="A86" s="144"/>
      <c r="B86" s="144"/>
      <c r="L86">
        <v>1.0100249999999997</v>
      </c>
    </row>
    <row r="87" spans="1:12" x14ac:dyDescent="0.3">
      <c r="A87" s="144"/>
      <c r="B87" s="144"/>
      <c r="L87">
        <v>1.0049999999999999</v>
      </c>
    </row>
    <row r="88" spans="1:12" x14ac:dyDescent="0.3">
      <c r="A88" s="144"/>
      <c r="B88" s="144"/>
      <c r="L88">
        <v>1</v>
      </c>
    </row>
    <row r="89" spans="1:12" x14ac:dyDescent="0.3">
      <c r="A89" s="144"/>
      <c r="B89" s="144"/>
      <c r="L89">
        <v>0.98814229249011853</v>
      </c>
    </row>
    <row r="90" spans="1:12" x14ac:dyDescent="0.3">
      <c r="A90" s="144"/>
      <c r="B90" s="144"/>
      <c r="L90">
        <v>0.96971765700698598</v>
      </c>
    </row>
    <row r="91" spans="1:12" x14ac:dyDescent="0.3">
      <c r="A91" s="144"/>
      <c r="B91" s="144"/>
      <c r="L91">
        <v>0.95727310662091425</v>
      </c>
    </row>
    <row r="92" spans="1:12" x14ac:dyDescent="0.3">
      <c r="A92" s="144"/>
      <c r="B92" s="144"/>
      <c r="L92">
        <v>0.9468576722264237</v>
      </c>
    </row>
    <row r="93" spans="1:12" x14ac:dyDescent="0.3">
      <c r="A93" s="144"/>
      <c r="B93" s="144"/>
      <c r="L93">
        <v>0.93563011089567549</v>
      </c>
    </row>
    <row r="94" spans="1:12" x14ac:dyDescent="0.3">
      <c r="A94" s="144"/>
      <c r="B94" s="144"/>
      <c r="L94">
        <v>0.89705667391723443</v>
      </c>
    </row>
    <row r="95" spans="1:12" x14ac:dyDescent="0.3">
      <c r="A95" s="144"/>
      <c r="B95" s="144"/>
      <c r="L95">
        <v>0.87517724284608245</v>
      </c>
    </row>
    <row r="96" spans="1:12" x14ac:dyDescent="0.3">
      <c r="A96" s="144"/>
      <c r="B96" s="144"/>
      <c r="L96">
        <v>0.84151657965969462</v>
      </c>
    </row>
    <row r="97" spans="1:12" x14ac:dyDescent="0.3">
      <c r="A97" s="144"/>
      <c r="B97" s="144"/>
      <c r="L97">
        <v>0.82259685206226263</v>
      </c>
    </row>
    <row r="98" spans="1:12" x14ac:dyDescent="0.3">
      <c r="A98" s="144"/>
      <c r="B98" s="144"/>
      <c r="L98">
        <v>0.80567762200025728</v>
      </c>
    </row>
    <row r="99" spans="1:12" x14ac:dyDescent="0.3">
      <c r="A99" s="144"/>
      <c r="B99" s="144"/>
      <c r="L99">
        <v>1.0478668914156959</v>
      </c>
    </row>
    <row r="100" spans="1:12" x14ac:dyDescent="0.3">
      <c r="A100" s="144"/>
      <c r="B100" s="144"/>
      <c r="L100">
        <v>1.0313650506059995</v>
      </c>
    </row>
    <row r="101" spans="1:12" x14ac:dyDescent="0.3">
      <c r="L101">
        <v>1.0262338811999996</v>
      </c>
    </row>
    <row r="102" spans="1:12" x14ac:dyDescent="0.3">
      <c r="L102">
        <v>1.0221452999999998</v>
      </c>
    </row>
    <row r="103" spans="1:12" x14ac:dyDescent="0.3">
      <c r="L103">
        <v>1.0170599999999999</v>
      </c>
    </row>
    <row r="104" spans="1:12" x14ac:dyDescent="0.3">
      <c r="L104">
        <v>1.012</v>
      </c>
    </row>
    <row r="105" spans="1:12" x14ac:dyDescent="0.3">
      <c r="L105">
        <v>1</v>
      </c>
    </row>
    <row r="106" spans="1:12" x14ac:dyDescent="0.3">
      <c r="L106">
        <v>0.9813542688910698</v>
      </c>
    </row>
    <row r="107" spans="1:12" x14ac:dyDescent="0.3">
      <c r="L107">
        <v>0.96876038390036523</v>
      </c>
    </row>
    <row r="108" spans="1:12" x14ac:dyDescent="0.3">
      <c r="L108">
        <v>0.95821996429314071</v>
      </c>
    </row>
    <row r="109" spans="1:12" x14ac:dyDescent="0.3">
      <c r="L109">
        <v>0.9468576722264237</v>
      </c>
    </row>
    <row r="110" spans="1:12" x14ac:dyDescent="0.3">
      <c r="L110">
        <v>0.90782135400424135</v>
      </c>
    </row>
    <row r="111" spans="1:12" x14ac:dyDescent="0.3">
      <c r="L111">
        <v>0.88567936976023554</v>
      </c>
    </row>
    <row r="112" spans="1:12" x14ac:dyDescent="0.3">
      <c r="L112">
        <v>0.85161477861561108</v>
      </c>
    </row>
    <row r="113" spans="12:12" x14ac:dyDescent="0.3">
      <c r="L113">
        <v>0.83246801428701001</v>
      </c>
    </row>
    <row r="114" spans="12:12" x14ac:dyDescent="0.3">
      <c r="L114">
        <v>0.81534575346426064</v>
      </c>
    </row>
    <row r="115" spans="12:12" x14ac:dyDescent="0.3">
      <c r="L115">
        <v>1.067776362352594</v>
      </c>
    </row>
    <row r="116" spans="12:12" x14ac:dyDescent="0.3">
      <c r="L116">
        <v>1.0509609865675134</v>
      </c>
    </row>
    <row r="117" spans="12:12" x14ac:dyDescent="0.3">
      <c r="L117">
        <v>1.0457323249427994</v>
      </c>
    </row>
    <row r="118" spans="12:12" x14ac:dyDescent="0.3">
      <c r="L118">
        <v>1.0415660606999997</v>
      </c>
    </row>
    <row r="119" spans="12:12" x14ac:dyDescent="0.3">
      <c r="L119">
        <v>1.0363841399999998</v>
      </c>
    </row>
    <row r="120" spans="12:12" x14ac:dyDescent="0.3">
      <c r="L120">
        <v>1.0312279999999998</v>
      </c>
    </row>
    <row r="121" spans="12:12" x14ac:dyDescent="0.3">
      <c r="L121">
        <v>1.0189999999999999</v>
      </c>
    </row>
    <row r="122" spans="12:12" x14ac:dyDescent="0.3">
      <c r="L122">
        <v>1</v>
      </c>
    </row>
    <row r="123" spans="12:12" x14ac:dyDescent="0.3">
      <c r="L123">
        <v>0.98716683119447202</v>
      </c>
    </row>
    <row r="124" spans="12:12" x14ac:dyDescent="0.3">
      <c r="L124">
        <v>0.97642614361471025</v>
      </c>
    </row>
    <row r="125" spans="12:12" x14ac:dyDescent="0.3">
      <c r="L125">
        <v>0.96484796799872563</v>
      </c>
    </row>
    <row r="126" spans="12:12" x14ac:dyDescent="0.3">
      <c r="L126">
        <v>0.9250699597303218</v>
      </c>
    </row>
    <row r="127" spans="12:12" x14ac:dyDescent="0.3">
      <c r="L127">
        <v>0.90250727778567996</v>
      </c>
    </row>
    <row r="128" spans="12:12" x14ac:dyDescent="0.3">
      <c r="L128">
        <v>0.86779545940930758</v>
      </c>
    </row>
    <row r="129" spans="12:12" x14ac:dyDescent="0.3">
      <c r="L129">
        <v>0.84828490655846289</v>
      </c>
    </row>
    <row r="130" spans="12:12" x14ac:dyDescent="0.3">
      <c r="L130">
        <v>0.83083732278008127</v>
      </c>
    </row>
    <row r="131" spans="12:12" x14ac:dyDescent="0.3">
      <c r="L131">
        <v>1.0816574550631777</v>
      </c>
    </row>
    <row r="132" spans="12:12" x14ac:dyDescent="0.3">
      <c r="L132">
        <v>1.0646234793928908</v>
      </c>
    </row>
    <row r="133" spans="12:12" x14ac:dyDescent="0.3">
      <c r="L133">
        <v>1.0593268451670557</v>
      </c>
    </row>
    <row r="134" spans="12:12" x14ac:dyDescent="0.3">
      <c r="L134">
        <v>1.0551064194890996</v>
      </c>
    </row>
    <row r="135" spans="12:12" x14ac:dyDescent="0.3">
      <c r="L135">
        <v>1.0498571338199998</v>
      </c>
    </row>
    <row r="136" spans="12:12" x14ac:dyDescent="0.3">
      <c r="L136">
        <v>1.0446339639999997</v>
      </c>
    </row>
    <row r="137" spans="12:12" x14ac:dyDescent="0.3">
      <c r="L137">
        <v>1.0322469999999997</v>
      </c>
    </row>
    <row r="138" spans="12:12" x14ac:dyDescent="0.3">
      <c r="L138">
        <v>1.0129999999999999</v>
      </c>
    </row>
    <row r="139" spans="12:12" x14ac:dyDescent="0.3">
      <c r="L139">
        <v>1</v>
      </c>
    </row>
    <row r="140" spans="12:12" x14ac:dyDescent="0.3">
      <c r="L140">
        <v>0.98911968348170143</v>
      </c>
    </row>
    <row r="141" spans="12:12" x14ac:dyDescent="0.3">
      <c r="L141">
        <v>0.97739099158270881</v>
      </c>
    </row>
    <row r="142" spans="12:12" x14ac:dyDescent="0.3">
      <c r="L142">
        <v>0.93709586920681587</v>
      </c>
    </row>
    <row r="143" spans="12:12" x14ac:dyDescent="0.3">
      <c r="L143">
        <v>0.91423987239689375</v>
      </c>
    </row>
    <row r="144" spans="12:12" x14ac:dyDescent="0.3">
      <c r="L144">
        <v>0.87907680038162861</v>
      </c>
    </row>
    <row r="145" spans="12:12" x14ac:dyDescent="0.3">
      <c r="L145">
        <v>0.85931261034372308</v>
      </c>
    </row>
    <row r="146" spans="12:12" x14ac:dyDescent="0.3">
      <c r="L146">
        <v>0.84163820797622246</v>
      </c>
    </row>
    <row r="147" spans="12:12" x14ac:dyDescent="0.3">
      <c r="L147">
        <v>1.0935556870688725</v>
      </c>
    </row>
    <row r="148" spans="12:12" x14ac:dyDescent="0.3">
      <c r="L148">
        <v>1.0763343376662124</v>
      </c>
    </row>
    <row r="149" spans="12:12" x14ac:dyDescent="0.3">
      <c r="L149">
        <v>1.0709794404638933</v>
      </c>
    </row>
    <row r="150" spans="12:12" x14ac:dyDescent="0.3">
      <c r="L150">
        <v>1.0667125901034795</v>
      </c>
    </row>
    <row r="151" spans="12:12" x14ac:dyDescent="0.3">
      <c r="L151">
        <v>1.0614055622920198</v>
      </c>
    </row>
    <row r="152" spans="12:12" x14ac:dyDescent="0.3">
      <c r="L152">
        <v>1.0561249376039996</v>
      </c>
    </row>
    <row r="153" spans="12:12" x14ac:dyDescent="0.3">
      <c r="L153">
        <v>1.0436017169999996</v>
      </c>
    </row>
    <row r="154" spans="12:12" x14ac:dyDescent="0.3">
      <c r="L154">
        <v>1.0241429999999998</v>
      </c>
    </row>
    <row r="155" spans="12:12" x14ac:dyDescent="0.3">
      <c r="L155">
        <v>1.0109999999999999</v>
      </c>
    </row>
    <row r="156" spans="12:12" x14ac:dyDescent="0.3">
      <c r="L156">
        <v>1</v>
      </c>
    </row>
    <row r="157" spans="12:12" x14ac:dyDescent="0.3">
      <c r="L157">
        <v>0.98814229249011853</v>
      </c>
    </row>
    <row r="158" spans="12:12" x14ac:dyDescent="0.3">
      <c r="L158">
        <v>0.94740392376809079</v>
      </c>
    </row>
    <row r="159" spans="12:12" x14ac:dyDescent="0.3">
      <c r="L159">
        <v>0.92429651099325949</v>
      </c>
    </row>
    <row r="160" spans="12:12" x14ac:dyDescent="0.3">
      <c r="L160">
        <v>0.88874664518582625</v>
      </c>
    </row>
    <row r="161" spans="12:12" x14ac:dyDescent="0.3">
      <c r="L161">
        <v>0.86876504905750374</v>
      </c>
    </row>
    <row r="162" spans="12:12" x14ac:dyDescent="0.3">
      <c r="L162">
        <v>0.85089622826396072</v>
      </c>
    </row>
    <row r="163" spans="12:12" x14ac:dyDescent="0.3">
      <c r="L163">
        <v>1.106678355313699</v>
      </c>
    </row>
    <row r="164" spans="12:12" x14ac:dyDescent="0.3">
      <c r="L164">
        <v>1.0892503497182071</v>
      </c>
    </row>
    <row r="165" spans="12:12" x14ac:dyDescent="0.3">
      <c r="L165">
        <v>1.08383119374946</v>
      </c>
    </row>
    <row r="166" spans="12:12" x14ac:dyDescent="0.3">
      <c r="L166">
        <v>1.0795131411847212</v>
      </c>
    </row>
    <row r="167" spans="12:12" x14ac:dyDescent="0.3">
      <c r="L167">
        <v>1.0741424290395241</v>
      </c>
    </row>
    <row r="168" spans="12:12" x14ac:dyDescent="0.3">
      <c r="L168">
        <v>1.0687984368552477</v>
      </c>
    </row>
    <row r="169" spans="12:12" x14ac:dyDescent="0.3">
      <c r="L169">
        <v>1.0561249376039996</v>
      </c>
    </row>
    <row r="170" spans="12:12" x14ac:dyDescent="0.3">
      <c r="L170">
        <v>1.0364327159999998</v>
      </c>
    </row>
    <row r="171" spans="12:12" x14ac:dyDescent="0.3">
      <c r="L171">
        <v>1.0231319999999999</v>
      </c>
    </row>
    <row r="172" spans="12:12" x14ac:dyDescent="0.3">
      <c r="L172">
        <v>1.012</v>
      </c>
    </row>
    <row r="173" spans="12:12" x14ac:dyDescent="0.3">
      <c r="L173">
        <v>1</v>
      </c>
    </row>
    <row r="174" spans="12:12" x14ac:dyDescent="0.3">
      <c r="L174">
        <v>0.95877277085330781</v>
      </c>
    </row>
    <row r="175" spans="12:12" x14ac:dyDescent="0.3">
      <c r="L175">
        <v>0.93538806912517847</v>
      </c>
    </row>
    <row r="176" spans="12:12" x14ac:dyDescent="0.3">
      <c r="L176">
        <v>0.89941160492805616</v>
      </c>
    </row>
    <row r="177" spans="12:12" x14ac:dyDescent="0.3">
      <c r="L177">
        <v>0.87919022964619375</v>
      </c>
    </row>
    <row r="178" spans="12:12" x14ac:dyDescent="0.3">
      <c r="L178">
        <v>0.86110698300312805</v>
      </c>
    </row>
    <row r="179" spans="12:12" x14ac:dyDescent="0.3">
      <c r="L179">
        <v>1.154265524592188</v>
      </c>
    </row>
    <row r="180" spans="12:12" x14ac:dyDescent="0.3">
      <c r="L180">
        <v>1.13608811475609</v>
      </c>
    </row>
    <row r="181" spans="12:12" x14ac:dyDescent="0.3">
      <c r="L181">
        <v>1.1304359350806867</v>
      </c>
    </row>
    <row r="182" spans="12:12" x14ac:dyDescent="0.3">
      <c r="L182">
        <v>1.125932206255664</v>
      </c>
    </row>
    <row r="183" spans="12:12" x14ac:dyDescent="0.3">
      <c r="L183">
        <v>1.1203305534882235</v>
      </c>
    </row>
    <row r="184" spans="12:12" x14ac:dyDescent="0.3">
      <c r="L184">
        <v>1.1147567696400233</v>
      </c>
    </row>
    <row r="185" spans="12:12" x14ac:dyDescent="0.3">
      <c r="L185">
        <v>1.1015383099209715</v>
      </c>
    </row>
    <row r="186" spans="12:12" x14ac:dyDescent="0.3">
      <c r="L186">
        <v>1.0809993227879997</v>
      </c>
    </row>
    <row r="187" spans="12:12" x14ac:dyDescent="0.3">
      <c r="L187">
        <v>1.0671266759999998</v>
      </c>
    </row>
    <row r="188" spans="12:12" x14ac:dyDescent="0.3">
      <c r="L188">
        <v>1.0555159999999999</v>
      </c>
    </row>
    <row r="189" spans="12:12" x14ac:dyDescent="0.3">
      <c r="L189">
        <v>1.0429999999999999</v>
      </c>
    </row>
    <row r="190" spans="12:12" x14ac:dyDescent="0.3">
      <c r="L190">
        <v>1</v>
      </c>
    </row>
    <row r="191" spans="12:12" x14ac:dyDescent="0.3">
      <c r="L191">
        <v>0.97560975609756106</v>
      </c>
    </row>
    <row r="192" spans="12:12" x14ac:dyDescent="0.3">
      <c r="L192">
        <v>0.93808630393996262</v>
      </c>
    </row>
    <row r="193" spans="12:12" x14ac:dyDescent="0.3">
      <c r="L193">
        <v>0.91699540952098024</v>
      </c>
    </row>
    <row r="194" spans="12:12" x14ac:dyDescent="0.3">
      <c r="L194">
        <v>0.8981345832722627</v>
      </c>
    </row>
    <row r="195" spans="12:12" x14ac:dyDescent="0.3">
      <c r="L195">
        <v>1.1831221627069926</v>
      </c>
    </row>
    <row r="196" spans="12:12" x14ac:dyDescent="0.3">
      <c r="L196">
        <v>1.1644903176249921</v>
      </c>
    </row>
    <row r="197" spans="12:12" x14ac:dyDescent="0.3">
      <c r="L197">
        <v>1.1586968334577039</v>
      </c>
    </row>
    <row r="198" spans="12:12" x14ac:dyDescent="0.3">
      <c r="L198">
        <v>1.1540805114120556</v>
      </c>
    </row>
    <row r="199" spans="12:12" x14ac:dyDescent="0.3">
      <c r="L199">
        <v>1.148338817325429</v>
      </c>
    </row>
    <row r="200" spans="12:12" x14ac:dyDescent="0.3">
      <c r="L200">
        <v>1.1426256888810238</v>
      </c>
    </row>
    <row r="201" spans="12:12" x14ac:dyDescent="0.3">
      <c r="L201">
        <v>1.1290767676689957</v>
      </c>
    </row>
    <row r="202" spans="12:12" x14ac:dyDescent="0.3">
      <c r="L202">
        <v>1.1080243058576995</v>
      </c>
    </row>
    <row r="203" spans="12:12" x14ac:dyDescent="0.3">
      <c r="L203">
        <v>1.0938048428999996</v>
      </c>
    </row>
    <row r="204" spans="12:12" x14ac:dyDescent="0.3">
      <c r="L204">
        <v>1.0819038999999997</v>
      </c>
    </row>
    <row r="205" spans="12:12" x14ac:dyDescent="0.3">
      <c r="L205">
        <v>1.0690749999999998</v>
      </c>
    </row>
    <row r="206" spans="12:12" x14ac:dyDescent="0.3">
      <c r="L206">
        <v>1.0249999999999999</v>
      </c>
    </row>
    <row r="207" spans="12:12" x14ac:dyDescent="0.3">
      <c r="L207">
        <v>1</v>
      </c>
    </row>
    <row r="208" spans="12:12" x14ac:dyDescent="0.3">
      <c r="L208">
        <v>0.96153846153846145</v>
      </c>
    </row>
    <row r="209" spans="12:12" x14ac:dyDescent="0.3">
      <c r="L209">
        <v>0.9399202947590044</v>
      </c>
    </row>
    <row r="210" spans="12:12" x14ac:dyDescent="0.3">
      <c r="L210">
        <v>0.92058794785406906</v>
      </c>
    </row>
    <row r="211" spans="12:12" x14ac:dyDescent="0.3">
      <c r="L211">
        <v>1.2304470492152724</v>
      </c>
    </row>
    <row r="212" spans="12:12" x14ac:dyDescent="0.3">
      <c r="L212">
        <v>1.2110699303299919</v>
      </c>
    </row>
    <row r="213" spans="12:12" x14ac:dyDescent="0.3">
      <c r="L213">
        <v>1.2050447067960122</v>
      </c>
    </row>
    <row r="214" spans="12:12" x14ac:dyDescent="0.3">
      <c r="L214">
        <v>1.2002437318685379</v>
      </c>
    </row>
    <row r="215" spans="12:12" x14ac:dyDescent="0.3">
      <c r="L215">
        <v>1.1942723700184461</v>
      </c>
    </row>
    <row r="216" spans="12:12" x14ac:dyDescent="0.3">
      <c r="L216">
        <v>1.1883307164362649</v>
      </c>
    </row>
    <row r="217" spans="12:12" x14ac:dyDescent="0.3">
      <c r="L217">
        <v>1.1742398383757555</v>
      </c>
    </row>
    <row r="218" spans="12:12" x14ac:dyDescent="0.3">
      <c r="L218">
        <v>1.1523452780920076</v>
      </c>
    </row>
    <row r="219" spans="12:12" x14ac:dyDescent="0.3">
      <c r="L219">
        <v>1.1375570366159995</v>
      </c>
    </row>
    <row r="220" spans="12:12" x14ac:dyDescent="0.3">
      <c r="L220">
        <v>1.1251800559999998</v>
      </c>
    </row>
    <row r="221" spans="12:12" x14ac:dyDescent="0.3">
      <c r="L221">
        <v>1.1118379999999999</v>
      </c>
    </row>
    <row r="222" spans="12:12" x14ac:dyDescent="0.3">
      <c r="L222">
        <v>1.0659999999999998</v>
      </c>
    </row>
    <row r="223" spans="12:12" x14ac:dyDescent="0.3">
      <c r="L223">
        <v>1.04</v>
      </c>
    </row>
    <row r="224" spans="12:12" x14ac:dyDescent="0.3">
      <c r="L224">
        <v>1</v>
      </c>
    </row>
    <row r="225" spans="12:12" x14ac:dyDescent="0.3">
      <c r="L225">
        <v>0.97751710654936474</v>
      </c>
    </row>
    <row r="226" spans="12:12" x14ac:dyDescent="0.3">
      <c r="L226">
        <v>0.95741146576823188</v>
      </c>
    </row>
    <row r="227" spans="12:12" x14ac:dyDescent="0.3">
      <c r="L227">
        <v>1.2587473313472235</v>
      </c>
    </row>
    <row r="228" spans="12:12" x14ac:dyDescent="0.3">
      <c r="L228">
        <v>1.2389245387275816</v>
      </c>
    </row>
    <row r="229" spans="12:12" x14ac:dyDescent="0.3">
      <c r="L229">
        <v>1.2327607350523204</v>
      </c>
    </row>
    <row r="230" spans="12:12" x14ac:dyDescent="0.3">
      <c r="L230">
        <v>1.2278493377015143</v>
      </c>
    </row>
    <row r="231" spans="12:12" x14ac:dyDescent="0.3">
      <c r="L231">
        <v>1.2217406345288702</v>
      </c>
    </row>
    <row r="232" spans="12:12" x14ac:dyDescent="0.3">
      <c r="L232">
        <v>1.2156623229142989</v>
      </c>
    </row>
    <row r="233" spans="12:12" x14ac:dyDescent="0.3">
      <c r="L233">
        <v>1.2012473546583977</v>
      </c>
    </row>
    <row r="234" spans="12:12" x14ac:dyDescent="0.3">
      <c r="L234">
        <v>1.1788492194881237</v>
      </c>
    </row>
    <row r="235" spans="12:12" x14ac:dyDescent="0.3">
      <c r="L235">
        <v>1.1637208484581674</v>
      </c>
    </row>
    <row r="236" spans="12:12" x14ac:dyDescent="0.3">
      <c r="L236">
        <v>1.1510591972879998</v>
      </c>
    </row>
    <row r="237" spans="12:12" x14ac:dyDescent="0.3">
      <c r="L237">
        <v>1.1374102739999998</v>
      </c>
    </row>
    <row r="238" spans="12:12" x14ac:dyDescent="0.3">
      <c r="L238">
        <v>1.0905179999999997</v>
      </c>
    </row>
    <row r="239" spans="12:12" x14ac:dyDescent="0.3">
      <c r="L239">
        <v>1.06392</v>
      </c>
    </row>
    <row r="240" spans="12:12" x14ac:dyDescent="0.3">
      <c r="L240">
        <v>1.0229999999999999</v>
      </c>
    </row>
    <row r="241" spans="12:12" x14ac:dyDescent="0.3">
      <c r="L241">
        <v>1</v>
      </c>
    </row>
    <row r="242" spans="12:12" x14ac:dyDescent="0.3">
      <c r="L242">
        <v>0.97943192948090119</v>
      </c>
    </row>
    <row r="243" spans="12:12" x14ac:dyDescent="0.3">
      <c r="L243">
        <v>1.2851810253055151</v>
      </c>
    </row>
    <row r="244" spans="12:12" x14ac:dyDescent="0.3">
      <c r="L244">
        <v>1.2649419540408606</v>
      </c>
    </row>
    <row r="245" spans="12:12" x14ac:dyDescent="0.3">
      <c r="L245">
        <v>1.258648710488419</v>
      </c>
    </row>
    <row r="246" spans="12:12" x14ac:dyDescent="0.3">
      <c r="L246">
        <v>1.2536341737932459</v>
      </c>
    </row>
    <row r="247" spans="12:12" x14ac:dyDescent="0.3">
      <c r="L247">
        <v>1.2473971878539762</v>
      </c>
    </row>
    <row r="248" spans="12:12" x14ac:dyDescent="0.3">
      <c r="L248">
        <v>1.2411912316954989</v>
      </c>
    </row>
    <row r="249" spans="12:12" x14ac:dyDescent="0.3">
      <c r="L249">
        <v>1.226473549106224</v>
      </c>
    </row>
    <row r="250" spans="12:12" x14ac:dyDescent="0.3">
      <c r="L250">
        <v>1.2036050530973743</v>
      </c>
    </row>
    <row r="251" spans="12:12" x14ac:dyDescent="0.3">
      <c r="L251">
        <v>1.1881589862757889</v>
      </c>
    </row>
    <row r="252" spans="12:12" x14ac:dyDescent="0.3">
      <c r="L252">
        <v>1.1752314404310475</v>
      </c>
    </row>
    <row r="253" spans="12:12" x14ac:dyDescent="0.3">
      <c r="L253">
        <v>1.1612958897539998</v>
      </c>
    </row>
    <row r="254" spans="12:12" x14ac:dyDescent="0.3">
      <c r="L254">
        <v>1.1134188779999996</v>
      </c>
    </row>
    <row r="255" spans="12:12" x14ac:dyDescent="0.3">
      <c r="L255">
        <v>1.0862623199999999</v>
      </c>
    </row>
    <row r="256" spans="12:12" x14ac:dyDescent="0.3">
      <c r="L256">
        <v>1.0444829999999998</v>
      </c>
    </row>
    <row r="257" spans="12:12" x14ac:dyDescent="0.3">
      <c r="L257">
        <v>1.0209999999999999</v>
      </c>
    </row>
    <row r="258" spans="12:12" x14ac:dyDescent="0.3">
      <c r="L258">
        <v>1</v>
      </c>
    </row>
  </sheetData>
  <customSheetViews>
    <customSheetView guid="{CC114306-4468-4F70-9DB6-D54D814D228F}" state="hidden">
      <selection activeCell="R9" sqref="R9"/>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CM4FP_1">
    <tabColor rgb="FF000000"/>
    <pageSetUpPr autoPageBreaks="0" fitToPage="1"/>
  </sheetPr>
  <dimension ref="A1:T105"/>
  <sheetViews>
    <sheetView tabSelected="1" topLeftCell="I7" zoomScale="70" zoomScaleNormal="70" workbookViewId="0">
      <selection activeCell="T22" sqref="T22"/>
    </sheetView>
  </sheetViews>
  <sheetFormatPr defaultColWidth="9.296875" defaultRowHeight="13.5" customHeight="1" outlineLevelRow="1" x14ac:dyDescent="0.3"/>
  <cols>
    <col min="1" max="3" width="2.3984375" style="12" hidden="1" customWidth="1"/>
    <col min="4" max="4" width="50.3984375" style="12" hidden="1" customWidth="1"/>
    <col min="5" max="6" width="5.3984375" style="12" hidden="1" customWidth="1"/>
    <col min="7" max="7" width="2.8984375" style="12" hidden="1" customWidth="1"/>
    <col min="8" max="8" width="18.59765625" style="12" hidden="1" customWidth="1"/>
    <col min="9" max="9" width="2.69921875" style="12" customWidth="1"/>
    <col min="10" max="10" width="2.8984375" style="12" customWidth="1"/>
    <col min="11" max="11" width="20.69921875" style="12" customWidth="1"/>
    <col min="12" max="12" width="74.59765625" style="12" customWidth="1"/>
    <col min="13" max="13" width="19" style="12" customWidth="1"/>
    <col min="14" max="14" width="19.59765625" style="12" customWidth="1"/>
    <col min="15" max="15" width="4.69921875" style="12" customWidth="1"/>
    <col min="16" max="16" width="3.69921875" style="12" customWidth="1"/>
    <col min="17" max="17" width="5.69921875" style="12" customWidth="1"/>
    <col min="18" max="18" width="53.296875" style="12" customWidth="1"/>
    <col min="19" max="16384" width="9.296875" style="12"/>
  </cols>
  <sheetData>
    <row r="1" spans="1:20" s="6" customFormat="1" ht="13.5" hidden="1" customHeight="1" x14ac:dyDescent="0.3">
      <c r="A1" s="5" t="s">
        <v>0</v>
      </c>
      <c r="B1" s="5" t="s">
        <v>1</v>
      </c>
      <c r="C1" s="5" t="s">
        <v>2</v>
      </c>
      <c r="D1" s="5" t="s">
        <v>3</v>
      </c>
      <c r="E1" s="5" t="s">
        <v>4</v>
      </c>
      <c r="F1" s="5" t="s">
        <v>5</v>
      </c>
      <c r="G1" s="5" t="s">
        <v>6</v>
      </c>
      <c r="H1" s="5" t="s">
        <v>12</v>
      </c>
      <c r="I1" s="5" t="s">
        <v>13</v>
      </c>
      <c r="J1" s="5" t="s">
        <v>14</v>
      </c>
      <c r="K1" s="5" t="s">
        <v>15</v>
      </c>
      <c r="L1" s="5" t="s">
        <v>16</v>
      </c>
      <c r="M1" s="5"/>
      <c r="N1" s="5"/>
      <c r="O1" s="5" t="s">
        <v>63</v>
      </c>
      <c r="P1" s="5" t="s">
        <v>64</v>
      </c>
      <c r="Q1" s="5" t="s">
        <v>65</v>
      </c>
    </row>
    <row r="2" spans="1:20" s="6" customFormat="1" ht="20" hidden="1" x14ac:dyDescent="0.3">
      <c r="A2" s="7"/>
      <c r="B2" s="7">
        <v>5</v>
      </c>
      <c r="C2" s="7">
        <v>19</v>
      </c>
      <c r="D2" s="7" t="s">
        <v>7</v>
      </c>
      <c r="E2" s="7"/>
      <c r="F2" s="7"/>
      <c r="G2" s="8"/>
      <c r="H2" s="14"/>
      <c r="I2" s="14"/>
      <c r="J2" s="14"/>
      <c r="K2" s="14"/>
      <c r="L2" s="14"/>
      <c r="M2" s="14"/>
      <c r="N2" s="14"/>
      <c r="O2" s="14"/>
      <c r="P2" s="14"/>
      <c r="Q2" s="8"/>
    </row>
    <row r="3" spans="1:20" s="6" customFormat="1" ht="11.5" hidden="1" x14ac:dyDescent="0.3">
      <c r="B3" s="6">
        <v>5</v>
      </c>
      <c r="C3" s="6">
        <v>19</v>
      </c>
      <c r="D3" s="6" t="s">
        <v>8</v>
      </c>
      <c r="E3" s="10" t="s">
        <v>115</v>
      </c>
      <c r="F3" s="10" t="s">
        <v>115</v>
      </c>
      <c r="G3" s="11" t="s">
        <v>116</v>
      </c>
      <c r="H3" s="11" t="s">
        <v>116</v>
      </c>
      <c r="I3" s="11" t="s">
        <v>116</v>
      </c>
      <c r="J3" s="11" t="s">
        <v>116</v>
      </c>
      <c r="K3" s="11" t="s">
        <v>116</v>
      </c>
      <c r="L3" s="11" t="s">
        <v>116</v>
      </c>
      <c r="M3" s="11"/>
      <c r="N3" s="11"/>
      <c r="O3" s="11" t="s">
        <v>116</v>
      </c>
      <c r="P3" s="11" t="s">
        <v>116</v>
      </c>
      <c r="Q3" s="11" t="s">
        <v>116</v>
      </c>
    </row>
    <row r="4" spans="1:20" s="6" customFormat="1" ht="11.5" hidden="1" x14ac:dyDescent="0.3">
      <c r="B4" s="6">
        <v>5</v>
      </c>
      <c r="C4" s="6">
        <v>19</v>
      </c>
      <c r="D4" s="6" t="s">
        <v>9</v>
      </c>
      <c r="E4" s="15">
        <v>1</v>
      </c>
      <c r="F4" s="15">
        <v>2</v>
      </c>
      <c r="G4" s="16">
        <v>-1</v>
      </c>
      <c r="H4" s="16">
        <v>0</v>
      </c>
      <c r="I4" s="16">
        <v>1</v>
      </c>
      <c r="J4" s="16">
        <v>2</v>
      </c>
      <c r="K4" s="16">
        <v>3</v>
      </c>
      <c r="L4" s="16">
        <v>4</v>
      </c>
      <c r="M4" s="16"/>
      <c r="N4" s="16"/>
      <c r="O4" s="16">
        <v>9</v>
      </c>
      <c r="P4" s="16">
        <v>10</v>
      </c>
      <c r="Q4" s="16">
        <v>11</v>
      </c>
    </row>
    <row r="5" spans="1:20" ht="13.5" hidden="1" customHeight="1" x14ac:dyDescent="0.3"/>
    <row r="6" spans="1:20" ht="13.5" hidden="1" customHeight="1" x14ac:dyDescent="0.3">
      <c r="A6" s="45" t="s">
        <v>258</v>
      </c>
      <c r="B6" s="12">
        <v>5</v>
      </c>
      <c r="C6" s="12">
        <v>19</v>
      </c>
      <c r="D6" s="3" t="s">
        <v>10</v>
      </c>
    </row>
    <row r="7" spans="1:20" ht="66.75" customHeight="1" x14ac:dyDescent="0.3">
      <c r="A7" s="3" t="s">
        <v>18</v>
      </c>
      <c r="B7" s="12">
        <v>5</v>
      </c>
      <c r="C7" s="12">
        <v>19</v>
      </c>
      <c r="D7" s="45" t="s">
        <v>94</v>
      </c>
      <c r="J7" s="71" t="str">
        <f>INDEX(g_lang_val,MATCH("so_1",g_lang_key,0))&amp; " (" &amp; INDEX(g_lang_val,MATCH("version",g_lang_key,0)) &amp;")"</f>
        <v>Statens business case-model (5.0.2)</v>
      </c>
    </row>
    <row r="8" spans="1:20" ht="23.25" customHeight="1" x14ac:dyDescent="0.3">
      <c r="J8" s="54" t="str">
        <f>INDEX(g_lang_val,MATCH("so_1_1",g_lang_key,0))</f>
        <v>Sådan skal du gøre</v>
      </c>
      <c r="P8" s="56"/>
      <c r="Q8" s="146" t="str">
        <f>INDEX(g_lang_val,MATCH("so_1_2",g_lang_key,0))</f>
        <v>(</v>
      </c>
      <c r="R8" s="147" t="str">
        <f>INDEX(g_lang_val,MATCH("so_1_3",g_lang_key,0))</f>
        <v>30 50 09 73</v>
      </c>
    </row>
    <row r="9" spans="1:20" ht="50.25" customHeight="1" x14ac:dyDescent="0.3">
      <c r="A9" s="3" t="s">
        <v>19</v>
      </c>
      <c r="B9" s="12">
        <v>5</v>
      </c>
      <c r="C9" s="12">
        <v>19</v>
      </c>
      <c r="D9" s="45" t="s">
        <v>259</v>
      </c>
      <c r="J9" s="235" t="str">
        <f>INDEX(g_lang_val,MATCH("so_1_1_1",g_lang_key,0))</f>
        <v>På forsiden indtaster du stamdata for projektet. De navne, startdatoer, anlæg og afskrivningsperioder, som du skriver på forsiden, overføres til skemaerne på de næste faner.</v>
      </c>
      <c r="K9" s="235"/>
      <c r="L9" s="235"/>
      <c r="M9" s="235"/>
      <c r="N9" s="235"/>
      <c r="O9" s="235"/>
      <c r="Q9" s="235" t="str">
        <f>INDEX(g_lang_val,MATCH("so_1_1_2",g_lang_key,0))</f>
        <v>Har du spørgsmål til brugen af modellen, kan du kontakte Kontor for it-styring i Økonomistyrelsen.</v>
      </c>
      <c r="R9" s="235"/>
      <c r="S9" s="55"/>
      <c r="T9" s="55"/>
    </row>
    <row r="10" spans="1:20" ht="3" customHeight="1" x14ac:dyDescent="0.3">
      <c r="Q10" s="235" t="str">
        <f>INDEX(g_lang_val,MATCH("so_2_1",g_lang_key,0))</f>
        <v>Husk at orientere dig i "Vejledning til Statens it-projektmodel", inden du går i gang med at bruge modellen. Du finder vejledningen på Økonomistyrelsens hjemmeside www.oes.dk.</v>
      </c>
      <c r="R10" s="235"/>
      <c r="S10" s="55"/>
    </row>
    <row r="11" spans="1:20" ht="3" customHeight="1" x14ac:dyDescent="0.3">
      <c r="Q11" s="235"/>
      <c r="R11" s="235"/>
      <c r="S11" s="55"/>
    </row>
    <row r="12" spans="1:20" ht="3" customHeight="1" x14ac:dyDescent="0.3">
      <c r="Q12" s="235"/>
      <c r="R12" s="235"/>
      <c r="S12" s="55"/>
    </row>
    <row r="13" spans="1:20" ht="3" customHeight="1" thickBot="1" x14ac:dyDescent="0.35">
      <c r="Q13" s="235"/>
      <c r="R13" s="235"/>
      <c r="S13" s="55"/>
    </row>
    <row r="14" spans="1:20" ht="42" customHeight="1" thickTop="1" x14ac:dyDescent="0.3">
      <c r="A14" s="3" t="s">
        <v>20</v>
      </c>
      <c r="B14" s="12">
        <v>5</v>
      </c>
      <c r="C14" s="12">
        <v>19</v>
      </c>
      <c r="D14" s="45" t="s">
        <v>260</v>
      </c>
      <c r="J14" s="72"/>
      <c r="K14" s="73" t="str">
        <f>INDEX(g_lang_val,MATCH("so_2",g_lang_key,0))</f>
        <v>Om projektet</v>
      </c>
      <c r="L14" s="74"/>
      <c r="M14" s="74"/>
      <c r="N14" s="74"/>
      <c r="O14" s="75"/>
      <c r="Q14" s="235"/>
      <c r="R14" s="235"/>
      <c r="S14" s="55"/>
    </row>
    <row r="15" spans="1:20" ht="0.25" customHeight="1" x14ac:dyDescent="0.3">
      <c r="J15" s="17"/>
      <c r="K15" s="18"/>
      <c r="L15" s="18"/>
      <c r="M15" s="18"/>
      <c r="N15" s="18"/>
      <c r="O15" s="19"/>
    </row>
    <row r="16" spans="1:20" ht="36.75" customHeight="1" x14ac:dyDescent="0.3">
      <c r="A16" s="3" t="s">
        <v>21</v>
      </c>
      <c r="B16" s="12">
        <v>5</v>
      </c>
      <c r="C16" s="12">
        <v>19</v>
      </c>
      <c r="D16" s="45" t="s">
        <v>261</v>
      </c>
      <c r="J16" s="17"/>
      <c r="K16" s="76" t="str">
        <f>INDEX(g_lang_val,MATCH("so_2_1_1",g_lang_key,0))</f>
        <v>Stamoplysninger</v>
      </c>
      <c r="L16" s="20"/>
      <c r="M16" s="20"/>
      <c r="N16" s="20"/>
      <c r="O16" s="19"/>
    </row>
    <row r="17" spans="1:15" ht="3" customHeight="1" x14ac:dyDescent="0.3">
      <c r="J17" s="17"/>
      <c r="K17" s="18"/>
      <c r="L17" s="18"/>
      <c r="M17" s="18"/>
      <c r="N17" s="18"/>
      <c r="O17" s="19"/>
    </row>
    <row r="18" spans="1:15" ht="24" customHeight="1" x14ac:dyDescent="0.3">
      <c r="A18" s="3" t="s">
        <v>22</v>
      </c>
      <c r="B18" s="12">
        <v>5</v>
      </c>
      <c r="C18" s="12">
        <v>19</v>
      </c>
      <c r="D18" s="45" t="s">
        <v>262</v>
      </c>
      <c r="J18" s="17"/>
      <c r="K18" s="33" t="str">
        <f>INDEX(g_lang_val,MATCH("so_2_1_1_1",g_lang_key,0))</f>
        <v>Projektnavn</v>
      </c>
      <c r="L18" s="233"/>
      <c r="M18" s="233"/>
      <c r="N18" s="233"/>
      <c r="O18" s="19"/>
    </row>
    <row r="19" spans="1:15" ht="3" customHeight="1" x14ac:dyDescent="0.3">
      <c r="J19" s="17"/>
      <c r="K19" s="33"/>
      <c r="L19" s="66"/>
      <c r="M19" s="66"/>
      <c r="N19" s="66"/>
      <c r="O19" s="19"/>
    </row>
    <row r="20" spans="1:15" ht="24" customHeight="1" x14ac:dyDescent="0.3">
      <c r="A20" s="3" t="s">
        <v>23</v>
      </c>
      <c r="B20" s="12">
        <v>5</v>
      </c>
      <c r="C20" s="12">
        <v>19</v>
      </c>
      <c r="D20" s="45" t="s">
        <v>263</v>
      </c>
      <c r="J20" s="17"/>
      <c r="K20" s="33" t="str">
        <f>INDEX(g_lang_val,MATCH("so_2_1_1_2",g_lang_key,0))</f>
        <v>Styregruppeformand</v>
      </c>
      <c r="L20" s="233"/>
      <c r="M20" s="233"/>
      <c r="N20" s="233"/>
      <c r="O20" s="19"/>
    </row>
    <row r="21" spans="1:15" ht="3" customHeight="1" x14ac:dyDescent="0.3">
      <c r="J21" s="17"/>
      <c r="K21" s="33"/>
      <c r="L21" s="66"/>
      <c r="M21" s="66"/>
      <c r="N21" s="66"/>
      <c r="O21" s="19"/>
    </row>
    <row r="22" spans="1:15" ht="24" customHeight="1" x14ac:dyDescent="0.3">
      <c r="A22" s="3" t="s">
        <v>24</v>
      </c>
      <c r="B22" s="12">
        <v>5</v>
      </c>
      <c r="C22" s="12">
        <v>19</v>
      </c>
      <c r="D22" s="45" t="s">
        <v>264</v>
      </c>
      <c r="H22" s="32"/>
      <c r="J22" s="17"/>
      <c r="K22" s="33" t="str">
        <f>INDEX(g_lang_val,MATCH("so_2_1_1_3",g_lang_key,0))</f>
        <v>Projektleder</v>
      </c>
      <c r="L22" s="233"/>
      <c r="M22" s="233"/>
      <c r="N22" s="233"/>
      <c r="O22" s="19"/>
    </row>
    <row r="23" spans="1:15" ht="3" customHeight="1" x14ac:dyDescent="0.3">
      <c r="J23" s="17"/>
      <c r="K23" s="18"/>
      <c r="L23" s="33"/>
      <c r="M23" s="33"/>
      <c r="N23" s="33"/>
      <c r="O23" s="19"/>
    </row>
    <row r="24" spans="1:15" ht="3" customHeight="1" x14ac:dyDescent="0.3">
      <c r="J24" s="17"/>
      <c r="K24" s="33"/>
      <c r="L24" s="67"/>
      <c r="M24" s="67"/>
      <c r="N24" s="67"/>
      <c r="O24" s="19"/>
    </row>
    <row r="25" spans="1:15" ht="3" customHeight="1" x14ac:dyDescent="0.3">
      <c r="A25" s="45" t="s">
        <v>239</v>
      </c>
      <c r="B25" s="12">
        <v>5</v>
      </c>
      <c r="C25" s="12">
        <v>19</v>
      </c>
      <c r="D25" s="45" t="s">
        <v>244</v>
      </c>
      <c r="J25" s="17"/>
      <c r="K25" s="65"/>
      <c r="L25" s="68"/>
      <c r="M25" s="68"/>
      <c r="N25" s="68"/>
      <c r="O25" s="19"/>
    </row>
    <row r="26" spans="1:15" ht="3" customHeight="1" x14ac:dyDescent="0.3">
      <c r="J26" s="17"/>
      <c r="K26" s="33"/>
      <c r="L26" s="67"/>
      <c r="M26" s="67"/>
      <c r="N26" s="67"/>
      <c r="O26" s="19"/>
    </row>
    <row r="27" spans="1:15" ht="36.75" customHeight="1" x14ac:dyDescent="0.3">
      <c r="A27" s="45" t="s">
        <v>236</v>
      </c>
      <c r="B27" s="12">
        <v>5</v>
      </c>
      <c r="C27" s="12">
        <v>19</v>
      </c>
      <c r="D27" s="45" t="s">
        <v>245</v>
      </c>
      <c r="J27" s="17"/>
      <c r="K27" s="76" t="str">
        <f>INDEX(g_lang_val,MATCH("so_2_1_2",g_lang_key,0))</f>
        <v>Analysefase</v>
      </c>
      <c r="L27" s="64"/>
      <c r="M27" s="33"/>
      <c r="N27" s="33"/>
      <c r="O27" s="19"/>
    </row>
    <row r="28" spans="1:15" ht="3" customHeight="1" x14ac:dyDescent="0.3">
      <c r="J28" s="17"/>
      <c r="K28" s="18"/>
      <c r="L28" s="33"/>
      <c r="M28" s="33"/>
      <c r="N28" s="33"/>
      <c r="O28" s="19"/>
    </row>
    <row r="29" spans="1:15" ht="24" customHeight="1" x14ac:dyDescent="0.3">
      <c r="A29" s="45" t="s">
        <v>237</v>
      </c>
      <c r="B29" s="12">
        <v>5</v>
      </c>
      <c r="C29" s="12">
        <v>19</v>
      </c>
      <c r="D29" s="45" t="s">
        <v>246</v>
      </c>
      <c r="J29" s="17"/>
      <c r="K29" s="33" t="str">
        <f>INDEX(g_lang_val,MATCH("so_2_1_2_1",g_lang_key,0))</f>
        <v>Startdato</v>
      </c>
      <c r="L29" s="232"/>
      <c r="M29" s="232"/>
      <c r="N29" s="232"/>
      <c r="O29" s="19"/>
    </row>
    <row r="30" spans="1:15" ht="3" customHeight="1" x14ac:dyDescent="0.3">
      <c r="J30" s="17"/>
      <c r="K30" s="33"/>
      <c r="L30" s="33"/>
      <c r="M30" s="33"/>
      <c r="N30" s="33"/>
      <c r="O30" s="19"/>
    </row>
    <row r="31" spans="1:15" ht="3" customHeight="1" x14ac:dyDescent="0.3">
      <c r="J31" s="17"/>
      <c r="K31" s="33"/>
      <c r="L31" s="67"/>
      <c r="M31" s="67"/>
      <c r="N31" s="67"/>
      <c r="O31" s="19"/>
    </row>
    <row r="32" spans="1:15" ht="3" customHeight="1" x14ac:dyDescent="0.3">
      <c r="A32" s="45" t="s">
        <v>239</v>
      </c>
      <c r="B32" s="12">
        <v>5</v>
      </c>
      <c r="C32" s="12">
        <v>19</v>
      </c>
      <c r="D32" s="45" t="s">
        <v>244</v>
      </c>
      <c r="J32" s="17"/>
      <c r="K32" s="65"/>
      <c r="L32" s="68"/>
      <c r="M32" s="68"/>
      <c r="N32" s="68"/>
      <c r="O32" s="19"/>
    </row>
    <row r="33" spans="1:15" ht="3" customHeight="1" x14ac:dyDescent="0.3">
      <c r="J33" s="17"/>
      <c r="K33" s="33"/>
      <c r="L33" s="67"/>
      <c r="M33" s="67"/>
      <c r="N33" s="67"/>
      <c r="O33" s="19"/>
    </row>
    <row r="34" spans="1:15" ht="36.75" customHeight="1" x14ac:dyDescent="0.3">
      <c r="A34" s="45" t="s">
        <v>236</v>
      </c>
      <c r="B34" s="12">
        <v>5</v>
      </c>
      <c r="C34" s="12">
        <v>19</v>
      </c>
      <c r="D34" s="45" t="s">
        <v>247</v>
      </c>
      <c r="J34" s="17"/>
      <c r="K34" s="76" t="str">
        <f>INDEX(g_lang_val,MATCH("so_2_1_3",g_lang_key,0))</f>
        <v>Gennemførelsesfase</v>
      </c>
      <c r="L34" s="64"/>
      <c r="M34" s="33"/>
      <c r="N34" s="33"/>
      <c r="O34" s="19"/>
    </row>
    <row r="35" spans="1:15" ht="3" customHeight="1" x14ac:dyDescent="0.3">
      <c r="J35" s="17"/>
      <c r="K35" s="18"/>
      <c r="L35" s="33"/>
      <c r="M35" s="33"/>
      <c r="N35" s="33"/>
      <c r="O35" s="19"/>
    </row>
    <row r="36" spans="1:15" ht="24" customHeight="1" x14ac:dyDescent="0.3">
      <c r="A36" s="45" t="s">
        <v>237</v>
      </c>
      <c r="B36" s="12">
        <v>5</v>
      </c>
      <c r="C36" s="12">
        <v>19</v>
      </c>
      <c r="D36" s="45" t="s">
        <v>248</v>
      </c>
      <c r="J36" s="17"/>
      <c r="K36" s="33" t="str">
        <f>INDEX(g_lang_val,MATCH("so_2_1_3_1",g_lang_key,0))</f>
        <v>Startdato</v>
      </c>
      <c r="L36" s="232"/>
      <c r="M36" s="232"/>
      <c r="N36" s="232"/>
      <c r="O36" s="19"/>
    </row>
    <row r="37" spans="1:15" ht="3" customHeight="1" x14ac:dyDescent="0.3">
      <c r="J37" s="17"/>
      <c r="K37" s="33"/>
      <c r="L37" s="33"/>
      <c r="M37" s="33"/>
      <c r="N37" s="33"/>
      <c r="O37" s="19"/>
    </row>
    <row r="38" spans="1:15" ht="24" customHeight="1" x14ac:dyDescent="0.3">
      <c r="A38" s="45" t="s">
        <v>240</v>
      </c>
      <c r="B38" s="12">
        <v>5</v>
      </c>
      <c r="C38" s="12">
        <v>19</v>
      </c>
      <c r="D38" s="45" t="s">
        <v>249</v>
      </c>
      <c r="J38" s="17"/>
      <c r="K38" s="33" t="str">
        <f>INDEX(g_lang_val,MATCH("so_2_1_3_2",g_lang_key,0))</f>
        <v>Slutdato</v>
      </c>
      <c r="L38" s="232"/>
      <c r="M38" s="232"/>
      <c r="N38" s="232"/>
      <c r="O38" s="19"/>
    </row>
    <row r="39" spans="1:15" ht="13.5" customHeight="1" x14ac:dyDescent="0.3">
      <c r="A39" s="45" t="s">
        <v>37</v>
      </c>
      <c r="B39" s="12">
        <v>5</v>
      </c>
      <c r="C39" s="12">
        <v>19</v>
      </c>
      <c r="D39" s="45" t="s">
        <v>265</v>
      </c>
      <c r="J39" s="17"/>
      <c r="K39" s="18"/>
      <c r="L39" s="18"/>
      <c r="M39" s="18"/>
      <c r="N39" s="18"/>
      <c r="O39" s="19"/>
    </row>
    <row r="40" spans="1:15" ht="3" customHeight="1" x14ac:dyDescent="0.3">
      <c r="J40" s="17"/>
      <c r="K40" s="18"/>
      <c r="L40" s="18"/>
      <c r="M40" s="18"/>
      <c r="N40" s="18"/>
      <c r="O40" s="19"/>
    </row>
    <row r="41" spans="1:15" ht="16" customHeight="1" thickBot="1" x14ac:dyDescent="0.35">
      <c r="A41" s="45" t="s">
        <v>38</v>
      </c>
      <c r="B41" s="12">
        <v>5</v>
      </c>
      <c r="C41" s="12">
        <v>19</v>
      </c>
      <c r="D41" s="45" t="s">
        <v>266</v>
      </c>
      <c r="J41" s="21"/>
      <c r="K41" s="21"/>
      <c r="L41" s="21"/>
      <c r="M41" s="21"/>
      <c r="N41" s="21"/>
      <c r="O41" s="21"/>
    </row>
    <row r="42" spans="1:15" ht="42" customHeight="1" thickTop="1" x14ac:dyDescent="0.3">
      <c r="A42" s="45" t="s">
        <v>25</v>
      </c>
      <c r="B42" s="12">
        <v>5</v>
      </c>
      <c r="C42" s="12">
        <v>19</v>
      </c>
      <c r="D42" s="45" t="s">
        <v>250</v>
      </c>
      <c r="J42" s="72"/>
      <c r="K42" s="73" t="str">
        <f>INDEX(g_lang_val,MATCH("so_3",g_lang_key,0))</f>
        <v>Anlæg</v>
      </c>
      <c r="L42" s="74"/>
      <c r="M42" s="74"/>
      <c r="N42" s="74"/>
      <c r="O42" s="75"/>
    </row>
    <row r="43" spans="1:15" ht="3" customHeight="1" x14ac:dyDescent="0.3">
      <c r="J43" s="17"/>
      <c r="K43" s="18"/>
      <c r="L43" s="18"/>
      <c r="M43" s="18"/>
      <c r="N43" s="18"/>
      <c r="O43" s="19"/>
    </row>
    <row r="44" spans="1:15" ht="65.150000000000006" customHeight="1" x14ac:dyDescent="0.3">
      <c r="A44" s="3" t="s">
        <v>26</v>
      </c>
      <c r="B44" s="12">
        <v>5</v>
      </c>
      <c r="C44" s="12">
        <v>19</v>
      </c>
      <c r="D44" s="45" t="s">
        <v>251</v>
      </c>
      <c r="J44" s="17"/>
      <c r="K44" s="236" t="str">
        <f>INDEX(g_lang_val,MATCH("so_3_1",g_lang_key,0))</f>
        <v>Angiv hvorvidt der i projektet bliver bygget et anlæg/aktiv. Du SKAL tage stilling til, hvorvidt projektet indeholder et anlæg, før du kan bruge business case-modellen.
It-systemer er ofte regnskabsført som immaterielle anlægsaktiver, og hvis der et anlæg i projektet, skal du angive dato for ibrugtagning og længden på afskrivningsperioden. Afskrivningsperioden er i business case-modellen også gevinstrealiseringsperioden for projektet.</v>
      </c>
      <c r="L44" s="237"/>
      <c r="M44" s="237"/>
      <c r="N44" s="237"/>
      <c r="O44" s="19"/>
    </row>
    <row r="45" spans="1:15" ht="3" customHeight="1" x14ac:dyDescent="0.3">
      <c r="J45" s="17"/>
      <c r="K45" s="18"/>
      <c r="L45" s="18"/>
      <c r="M45" s="18"/>
      <c r="N45" s="18"/>
      <c r="O45" s="19"/>
    </row>
    <row r="46" spans="1:15" ht="25" x14ac:dyDescent="0.3">
      <c r="A46" s="3" t="s">
        <v>27</v>
      </c>
      <c r="B46" s="12">
        <v>5</v>
      </c>
      <c r="C46" s="12">
        <v>19</v>
      </c>
      <c r="D46" s="45" t="s">
        <v>252</v>
      </c>
      <c r="J46" s="17"/>
      <c r="K46" s="60" t="str">
        <f>INDEX(g_lang_val,MATCH("so_3_1_1",g_lang_key,0))</f>
        <v>Nr.</v>
      </c>
      <c r="L46" s="59" t="str">
        <f>INDEX(g_lang_val,MATCH("so_3_1_2",g_lang_key,0))</f>
        <v>Anlægstitel</v>
      </c>
      <c r="M46" s="59" t="str">
        <f>INDEX(g_lang_val,MATCH("so_3_1_3",g_lang_key,0))</f>
        <v>Ibrugtagningsdato</v>
      </c>
      <c r="N46" s="59" t="str">
        <f>INDEX(g_lang_val,MATCH("so_3_1_4",g_lang_key,0))</f>
        <v>Afskrivningsperiode (3, 5 eller 8 år)</v>
      </c>
      <c r="O46" s="19"/>
    </row>
    <row r="47" spans="1:15" ht="3" customHeight="1" x14ac:dyDescent="0.3">
      <c r="J47" s="17"/>
      <c r="K47" s="57"/>
      <c r="L47" s="18"/>
      <c r="M47" s="18"/>
      <c r="N47" s="18"/>
      <c r="O47" s="19"/>
    </row>
    <row r="48" spans="1:15" ht="24" customHeight="1" x14ac:dyDescent="0.3">
      <c r="A48" s="3" t="s">
        <v>28</v>
      </c>
      <c r="B48" s="12">
        <v>5</v>
      </c>
      <c r="C48" s="12">
        <v>19</v>
      </c>
      <c r="D48" s="45" t="s">
        <v>253</v>
      </c>
      <c r="J48" s="17"/>
      <c r="K48" s="60">
        <v>1</v>
      </c>
      <c r="L48" s="161"/>
      <c r="M48" s="162"/>
      <c r="N48" s="163"/>
      <c r="O48" s="19"/>
    </row>
    <row r="49" spans="1:15" ht="3" customHeight="1" x14ac:dyDescent="0.3">
      <c r="J49" s="17"/>
      <c r="K49" s="57"/>
      <c r="L49" s="82"/>
      <c r="M49" s="83"/>
      <c r="N49" s="84"/>
      <c r="O49" s="19"/>
    </row>
    <row r="50" spans="1:15" ht="24" customHeight="1" x14ac:dyDescent="0.3">
      <c r="A50" s="3" t="s">
        <v>29</v>
      </c>
      <c r="B50" s="12">
        <v>5</v>
      </c>
      <c r="C50" s="12">
        <v>19</v>
      </c>
      <c r="D50" s="45" t="s">
        <v>254</v>
      </c>
      <c r="J50" s="17"/>
      <c r="K50" s="60">
        <v>2</v>
      </c>
      <c r="L50" s="161"/>
      <c r="M50" s="162"/>
      <c r="N50" s="163"/>
      <c r="O50" s="19"/>
    </row>
    <row r="51" spans="1:15" ht="3" customHeight="1" x14ac:dyDescent="0.3">
      <c r="J51" s="17"/>
      <c r="K51" s="57"/>
      <c r="L51" s="82"/>
      <c r="M51" s="83"/>
      <c r="N51" s="84"/>
      <c r="O51" s="19"/>
    </row>
    <row r="52" spans="1:15" ht="24" customHeight="1" x14ac:dyDescent="0.3">
      <c r="A52" s="3" t="s">
        <v>30</v>
      </c>
      <c r="B52" s="12">
        <v>5</v>
      </c>
      <c r="C52" s="12">
        <v>19</v>
      </c>
      <c r="D52" s="45" t="s">
        <v>255</v>
      </c>
      <c r="J52" s="17"/>
      <c r="K52" s="60">
        <v>3</v>
      </c>
      <c r="L52" s="161"/>
      <c r="M52" s="162"/>
      <c r="N52" s="163"/>
      <c r="O52" s="19"/>
    </row>
    <row r="53" spans="1:15" ht="3" customHeight="1" x14ac:dyDescent="0.3">
      <c r="J53" s="17"/>
      <c r="K53" s="57"/>
      <c r="L53" s="82"/>
      <c r="M53" s="83"/>
      <c r="N53" s="84"/>
      <c r="O53" s="19"/>
    </row>
    <row r="54" spans="1:15" ht="24" customHeight="1" x14ac:dyDescent="0.3">
      <c r="A54" s="45" t="s">
        <v>30</v>
      </c>
      <c r="B54" s="12">
        <v>5</v>
      </c>
      <c r="C54" s="12">
        <v>19</v>
      </c>
      <c r="D54" s="45" t="s">
        <v>256</v>
      </c>
      <c r="J54" s="17"/>
      <c r="K54" s="60">
        <v>4</v>
      </c>
      <c r="L54" s="161"/>
      <c r="M54" s="162"/>
      <c r="N54" s="163"/>
      <c r="O54" s="19"/>
    </row>
    <row r="55" spans="1:15" ht="3" customHeight="1" x14ac:dyDescent="0.3">
      <c r="J55" s="17"/>
      <c r="K55" s="57"/>
      <c r="L55" s="82"/>
      <c r="M55" s="83"/>
      <c r="N55" s="84"/>
      <c r="O55" s="19"/>
    </row>
    <row r="56" spans="1:15" ht="24" customHeight="1" x14ac:dyDescent="0.3">
      <c r="A56" s="45" t="s">
        <v>30</v>
      </c>
      <c r="B56" s="12">
        <v>5</v>
      </c>
      <c r="C56" s="12">
        <v>19</v>
      </c>
      <c r="D56" s="45" t="s">
        <v>257</v>
      </c>
      <c r="J56" s="17"/>
      <c r="K56" s="60">
        <v>5</v>
      </c>
      <c r="L56" s="161"/>
      <c r="M56" s="162"/>
      <c r="N56" s="163"/>
      <c r="O56" s="19"/>
    </row>
    <row r="57" spans="1:15" ht="3" customHeight="1" x14ac:dyDescent="0.3">
      <c r="J57" s="17"/>
      <c r="K57" s="18"/>
      <c r="L57" s="18"/>
      <c r="M57" s="18"/>
      <c r="N57" s="58"/>
      <c r="O57" s="19"/>
    </row>
    <row r="58" spans="1:15" ht="24" hidden="1" customHeight="1" outlineLevel="1" x14ac:dyDescent="0.3">
      <c r="A58" s="45" t="s">
        <v>28</v>
      </c>
      <c r="B58" s="12">
        <v>5</v>
      </c>
      <c r="C58" s="12">
        <v>19</v>
      </c>
      <c r="D58" s="45" t="s">
        <v>253</v>
      </c>
      <c r="J58" s="17"/>
      <c r="K58" s="60">
        <v>6</v>
      </c>
      <c r="L58" s="81"/>
      <c r="M58" s="162"/>
      <c r="N58" s="163"/>
      <c r="O58" s="19"/>
    </row>
    <row r="59" spans="1:15" ht="3" hidden="1" customHeight="1" outlineLevel="1" x14ac:dyDescent="0.3">
      <c r="J59" s="17"/>
      <c r="K59" s="57"/>
      <c r="L59" s="18"/>
      <c r="M59" s="18"/>
      <c r="N59" s="58"/>
      <c r="O59" s="19"/>
    </row>
    <row r="60" spans="1:15" ht="24" hidden="1" customHeight="1" outlineLevel="1" x14ac:dyDescent="0.3">
      <c r="A60" s="45" t="s">
        <v>29</v>
      </c>
      <c r="B60" s="12">
        <v>5</v>
      </c>
      <c r="C60" s="12">
        <v>19</v>
      </c>
      <c r="D60" s="45" t="s">
        <v>254</v>
      </c>
      <c r="J60" s="17"/>
      <c r="K60" s="60">
        <v>7</v>
      </c>
      <c r="L60" s="161"/>
      <c r="M60" s="162"/>
      <c r="N60" s="163"/>
      <c r="O60" s="19"/>
    </row>
    <row r="61" spans="1:15" ht="3" hidden="1" customHeight="1" outlineLevel="1" x14ac:dyDescent="0.3">
      <c r="J61" s="17"/>
      <c r="K61" s="57"/>
      <c r="L61" s="82"/>
      <c r="M61" s="83"/>
      <c r="N61" s="84"/>
      <c r="O61" s="19"/>
    </row>
    <row r="62" spans="1:15" ht="24" hidden="1" customHeight="1" outlineLevel="1" x14ac:dyDescent="0.3">
      <c r="A62" s="45" t="s">
        <v>30</v>
      </c>
      <c r="B62" s="12">
        <v>5</v>
      </c>
      <c r="C62" s="12">
        <v>19</v>
      </c>
      <c r="D62" s="45" t="s">
        <v>255</v>
      </c>
      <c r="J62" s="17"/>
      <c r="K62" s="60">
        <v>8</v>
      </c>
      <c r="L62" s="161"/>
      <c r="M62" s="162"/>
      <c r="N62" s="163"/>
      <c r="O62" s="19"/>
    </row>
    <row r="63" spans="1:15" ht="3" hidden="1" customHeight="1" outlineLevel="1" x14ac:dyDescent="0.3">
      <c r="J63" s="17"/>
      <c r="K63" s="57"/>
      <c r="L63" s="82"/>
      <c r="M63" s="83"/>
      <c r="N63" s="84"/>
      <c r="O63" s="19"/>
    </row>
    <row r="64" spans="1:15" ht="24" hidden="1" customHeight="1" outlineLevel="1" x14ac:dyDescent="0.3">
      <c r="A64" s="45" t="s">
        <v>30</v>
      </c>
      <c r="B64" s="12">
        <v>5</v>
      </c>
      <c r="C64" s="12">
        <v>19</v>
      </c>
      <c r="D64" s="45" t="s">
        <v>256</v>
      </c>
      <c r="J64" s="17"/>
      <c r="K64" s="60">
        <v>9</v>
      </c>
      <c r="L64" s="161"/>
      <c r="M64" s="162"/>
      <c r="N64" s="163"/>
      <c r="O64" s="19"/>
    </row>
    <row r="65" spans="1:15" ht="3" hidden="1" customHeight="1" outlineLevel="1" x14ac:dyDescent="0.3">
      <c r="J65" s="17"/>
      <c r="K65" s="57"/>
      <c r="L65" s="82"/>
      <c r="M65" s="83"/>
      <c r="N65" s="84"/>
      <c r="O65" s="19"/>
    </row>
    <row r="66" spans="1:15" ht="24" hidden="1" customHeight="1" outlineLevel="1" x14ac:dyDescent="0.3">
      <c r="A66" s="45" t="s">
        <v>30</v>
      </c>
      <c r="B66" s="12">
        <v>5</v>
      </c>
      <c r="C66" s="12">
        <v>19</v>
      </c>
      <c r="D66" s="45" t="s">
        <v>257</v>
      </c>
      <c r="J66" s="17"/>
      <c r="K66" s="60">
        <v>10</v>
      </c>
      <c r="L66" s="161"/>
      <c r="M66" s="162"/>
      <c r="N66" s="163"/>
      <c r="O66" s="19"/>
    </row>
    <row r="67" spans="1:15" ht="3" hidden="1" customHeight="1" outlineLevel="1" x14ac:dyDescent="0.3">
      <c r="J67" s="17"/>
      <c r="K67" s="18"/>
      <c r="L67" s="82"/>
      <c r="M67" s="83"/>
      <c r="N67" s="84"/>
      <c r="O67" s="19"/>
    </row>
    <row r="68" spans="1:15" ht="24" hidden="1" customHeight="1" outlineLevel="1" x14ac:dyDescent="0.3">
      <c r="A68" s="45" t="s">
        <v>28</v>
      </c>
      <c r="B68" s="12">
        <v>5</v>
      </c>
      <c r="C68" s="12">
        <v>19</v>
      </c>
      <c r="D68" s="45" t="s">
        <v>253</v>
      </c>
      <c r="J68" s="17"/>
      <c r="K68" s="60">
        <v>11</v>
      </c>
      <c r="L68" s="161"/>
      <c r="M68" s="162"/>
      <c r="N68" s="163"/>
      <c r="O68" s="19"/>
    </row>
    <row r="69" spans="1:15" ht="3" hidden="1" customHeight="1" outlineLevel="1" x14ac:dyDescent="0.3">
      <c r="J69" s="17"/>
      <c r="K69" s="57"/>
      <c r="L69" s="82"/>
      <c r="M69" s="83"/>
      <c r="N69" s="84"/>
      <c r="O69" s="19"/>
    </row>
    <row r="70" spans="1:15" ht="24" hidden="1" customHeight="1" outlineLevel="1" x14ac:dyDescent="0.3">
      <c r="A70" s="45" t="s">
        <v>29</v>
      </c>
      <c r="B70" s="12">
        <v>5</v>
      </c>
      <c r="C70" s="12">
        <v>19</v>
      </c>
      <c r="D70" s="45" t="s">
        <v>254</v>
      </c>
      <c r="J70" s="17"/>
      <c r="K70" s="60">
        <v>12</v>
      </c>
      <c r="L70" s="161"/>
      <c r="M70" s="162"/>
      <c r="N70" s="163"/>
      <c r="O70" s="19"/>
    </row>
    <row r="71" spans="1:15" ht="3" hidden="1" customHeight="1" outlineLevel="1" x14ac:dyDescent="0.3">
      <c r="J71" s="17"/>
      <c r="K71" s="57"/>
      <c r="L71" s="18"/>
      <c r="M71" s="18"/>
      <c r="N71" s="58"/>
      <c r="O71" s="19"/>
    </row>
    <row r="72" spans="1:15" ht="24" hidden="1" customHeight="1" outlineLevel="1" x14ac:dyDescent="0.3">
      <c r="A72" s="45" t="s">
        <v>30</v>
      </c>
      <c r="B72" s="12">
        <v>5</v>
      </c>
      <c r="C72" s="12">
        <v>19</v>
      </c>
      <c r="D72" s="45" t="s">
        <v>255</v>
      </c>
      <c r="J72" s="17"/>
      <c r="K72" s="60">
        <v>13</v>
      </c>
      <c r="L72" s="81"/>
      <c r="M72" s="162"/>
      <c r="N72" s="163"/>
      <c r="O72" s="19"/>
    </row>
    <row r="73" spans="1:15" ht="3" hidden="1" customHeight="1" outlineLevel="1" x14ac:dyDescent="0.3">
      <c r="J73" s="17"/>
      <c r="K73" s="57"/>
      <c r="L73" s="18"/>
      <c r="M73" s="18"/>
      <c r="N73" s="58"/>
      <c r="O73" s="19"/>
    </row>
    <row r="74" spans="1:15" ht="24" hidden="1" customHeight="1" outlineLevel="1" x14ac:dyDescent="0.3">
      <c r="A74" s="45" t="s">
        <v>30</v>
      </c>
      <c r="B74" s="12">
        <v>5</v>
      </c>
      <c r="C74" s="12">
        <v>19</v>
      </c>
      <c r="D74" s="45" t="s">
        <v>256</v>
      </c>
      <c r="J74" s="17"/>
      <c r="K74" s="60">
        <v>14</v>
      </c>
      <c r="L74" s="161"/>
      <c r="M74" s="162"/>
      <c r="N74" s="163"/>
      <c r="O74" s="19"/>
    </row>
    <row r="75" spans="1:15" ht="3" hidden="1" customHeight="1" outlineLevel="1" x14ac:dyDescent="0.3">
      <c r="J75" s="17"/>
      <c r="K75" s="57"/>
      <c r="L75" s="82"/>
      <c r="M75" s="83"/>
      <c r="N75" s="84"/>
      <c r="O75" s="19"/>
    </row>
    <row r="76" spans="1:15" ht="24" hidden="1" customHeight="1" outlineLevel="1" x14ac:dyDescent="0.3">
      <c r="A76" s="45" t="s">
        <v>30</v>
      </c>
      <c r="B76" s="12">
        <v>5</v>
      </c>
      <c r="C76" s="12">
        <v>19</v>
      </c>
      <c r="D76" s="45" t="s">
        <v>257</v>
      </c>
      <c r="J76" s="17"/>
      <c r="K76" s="60">
        <v>15</v>
      </c>
      <c r="L76" s="161"/>
      <c r="M76" s="162"/>
      <c r="N76" s="163"/>
      <c r="O76" s="19"/>
    </row>
    <row r="77" spans="1:15" ht="3" hidden="1" customHeight="1" outlineLevel="1" x14ac:dyDescent="0.3">
      <c r="J77" s="17"/>
      <c r="K77" s="18"/>
      <c r="L77" s="82"/>
      <c r="M77" s="83"/>
      <c r="N77" s="84"/>
      <c r="O77" s="19"/>
    </row>
    <row r="78" spans="1:15" ht="24" hidden="1" customHeight="1" outlineLevel="1" x14ac:dyDescent="0.3">
      <c r="A78" s="45" t="s">
        <v>28</v>
      </c>
      <c r="B78" s="12">
        <v>5</v>
      </c>
      <c r="C78" s="12">
        <v>19</v>
      </c>
      <c r="D78" s="45" t="s">
        <v>253</v>
      </c>
      <c r="J78" s="17"/>
      <c r="K78" s="60">
        <v>16</v>
      </c>
      <c r="L78" s="161"/>
      <c r="M78" s="162"/>
      <c r="N78" s="163"/>
      <c r="O78" s="19"/>
    </row>
    <row r="79" spans="1:15" ht="3" hidden="1" customHeight="1" outlineLevel="1" x14ac:dyDescent="0.3">
      <c r="J79" s="17"/>
      <c r="K79" s="57"/>
      <c r="L79" s="82"/>
      <c r="M79" s="83"/>
      <c r="N79" s="84"/>
      <c r="O79" s="19"/>
    </row>
    <row r="80" spans="1:15" ht="24" hidden="1" customHeight="1" outlineLevel="1" x14ac:dyDescent="0.3">
      <c r="A80" s="45" t="s">
        <v>29</v>
      </c>
      <c r="B80" s="12">
        <v>5</v>
      </c>
      <c r="C80" s="12">
        <v>19</v>
      </c>
      <c r="D80" s="45" t="s">
        <v>254</v>
      </c>
      <c r="J80" s="17"/>
      <c r="K80" s="60">
        <v>17</v>
      </c>
      <c r="L80" s="161"/>
      <c r="M80" s="162"/>
      <c r="N80" s="163"/>
      <c r="O80" s="19"/>
    </row>
    <row r="81" spans="1:15" ht="3" hidden="1" customHeight="1" outlineLevel="1" x14ac:dyDescent="0.3">
      <c r="J81" s="17"/>
      <c r="K81" s="57"/>
      <c r="L81" s="82"/>
      <c r="M81" s="83"/>
      <c r="N81" s="84"/>
      <c r="O81" s="19"/>
    </row>
    <row r="82" spans="1:15" ht="24" hidden="1" customHeight="1" outlineLevel="1" x14ac:dyDescent="0.3">
      <c r="A82" s="45" t="s">
        <v>30</v>
      </c>
      <c r="B82" s="12">
        <v>5</v>
      </c>
      <c r="C82" s="12">
        <v>19</v>
      </c>
      <c r="D82" s="45" t="s">
        <v>255</v>
      </c>
      <c r="J82" s="17"/>
      <c r="K82" s="60">
        <v>18</v>
      </c>
      <c r="L82" s="161"/>
      <c r="M82" s="162"/>
      <c r="N82" s="163"/>
      <c r="O82" s="19"/>
    </row>
    <row r="83" spans="1:15" ht="3" hidden="1" customHeight="1" outlineLevel="1" x14ac:dyDescent="0.3">
      <c r="J83" s="17"/>
      <c r="K83" s="57"/>
      <c r="L83" s="82"/>
      <c r="M83" s="83"/>
      <c r="N83" s="84"/>
      <c r="O83" s="19"/>
    </row>
    <row r="84" spans="1:15" ht="24" hidden="1" customHeight="1" outlineLevel="1" x14ac:dyDescent="0.3">
      <c r="A84" s="45" t="s">
        <v>30</v>
      </c>
      <c r="B84" s="12">
        <v>5</v>
      </c>
      <c r="C84" s="12">
        <v>19</v>
      </c>
      <c r="D84" s="45" t="s">
        <v>256</v>
      </c>
      <c r="J84" s="17"/>
      <c r="K84" s="60">
        <v>19</v>
      </c>
      <c r="L84" s="161"/>
      <c r="M84" s="162"/>
      <c r="N84" s="163"/>
      <c r="O84" s="19"/>
    </row>
    <row r="85" spans="1:15" ht="3" hidden="1" customHeight="1" outlineLevel="1" x14ac:dyDescent="0.3">
      <c r="J85" s="17"/>
      <c r="K85" s="57"/>
      <c r="L85" s="82"/>
      <c r="M85" s="83"/>
      <c r="N85" s="84"/>
      <c r="O85" s="19"/>
    </row>
    <row r="86" spans="1:15" ht="24" hidden="1" customHeight="1" outlineLevel="1" x14ac:dyDescent="0.3">
      <c r="A86" s="45" t="s">
        <v>30</v>
      </c>
      <c r="B86" s="12">
        <v>5</v>
      </c>
      <c r="C86" s="12">
        <v>19</v>
      </c>
      <c r="D86" s="45" t="s">
        <v>257</v>
      </c>
      <c r="J86" s="17"/>
      <c r="K86" s="60">
        <v>20</v>
      </c>
      <c r="L86" s="161"/>
      <c r="M86" s="162"/>
      <c r="N86" s="163"/>
      <c r="O86" s="19"/>
    </row>
    <row r="87" spans="1:15" ht="3" hidden="1" customHeight="1" outlineLevel="1" x14ac:dyDescent="0.3">
      <c r="J87" s="17"/>
      <c r="K87" s="33"/>
      <c r="L87" s="18"/>
      <c r="M87" s="18"/>
      <c r="N87" s="58"/>
      <c r="O87" s="19"/>
    </row>
    <row r="88" spans="1:15" ht="13.5" customHeight="1" collapsed="1" x14ac:dyDescent="0.3">
      <c r="A88" s="45" t="s">
        <v>37</v>
      </c>
      <c r="B88" s="12">
        <v>5</v>
      </c>
      <c r="C88" s="12">
        <v>19</v>
      </c>
      <c r="D88" s="45" t="s">
        <v>265</v>
      </c>
      <c r="J88" s="17"/>
      <c r="K88" s="18"/>
      <c r="L88" s="18"/>
      <c r="M88" s="18"/>
      <c r="N88" s="18"/>
      <c r="O88" s="19"/>
    </row>
    <row r="89" spans="1:15" ht="3" customHeight="1" x14ac:dyDescent="0.3">
      <c r="J89" s="17"/>
      <c r="K89" s="18"/>
      <c r="L89" s="18"/>
      <c r="M89" s="18"/>
      <c r="N89" s="18"/>
      <c r="O89" s="19"/>
    </row>
    <row r="90" spans="1:15" ht="16" customHeight="1" thickBot="1" x14ac:dyDescent="0.35">
      <c r="A90" s="45" t="s">
        <v>38</v>
      </c>
      <c r="B90" s="12">
        <v>5</v>
      </c>
      <c r="C90" s="12">
        <v>19</v>
      </c>
      <c r="D90" s="45" t="s">
        <v>266</v>
      </c>
      <c r="J90" s="21"/>
      <c r="K90" s="21"/>
      <c r="L90" s="21"/>
      <c r="M90" s="21"/>
      <c r="N90" s="21"/>
      <c r="O90" s="21"/>
    </row>
    <row r="91" spans="1:15" ht="42" customHeight="1" thickTop="1" x14ac:dyDescent="0.3">
      <c r="A91" s="34" t="s">
        <v>31</v>
      </c>
      <c r="B91" s="12">
        <v>5</v>
      </c>
      <c r="C91" s="12">
        <v>19</v>
      </c>
      <c r="D91" s="45" t="s">
        <v>267</v>
      </c>
      <c r="J91" s="72"/>
      <c r="K91" s="73" t="str">
        <f>INDEX(g_lang_val,MATCH("so_4",g_lang_key,0))</f>
        <v>Regnskabstekniske oplysninger</v>
      </c>
      <c r="L91" s="74"/>
      <c r="M91" s="74"/>
      <c r="N91" s="74"/>
      <c r="O91" s="75"/>
    </row>
    <row r="92" spans="1:15" ht="11.25" hidden="1" customHeight="1" x14ac:dyDescent="0.3">
      <c r="J92" s="17"/>
      <c r="K92" s="18"/>
      <c r="L92" s="18"/>
      <c r="M92" s="18"/>
      <c r="N92" s="18"/>
      <c r="O92" s="19"/>
    </row>
    <row r="93" spans="1:15" ht="36.75" customHeight="1" x14ac:dyDescent="0.3">
      <c r="A93" s="3" t="s">
        <v>32</v>
      </c>
      <c r="B93" s="12">
        <v>5</v>
      </c>
      <c r="C93" s="12">
        <v>19</v>
      </c>
      <c r="D93" s="45" t="s">
        <v>268</v>
      </c>
      <c r="J93" s="17"/>
      <c r="K93" s="76" t="str">
        <f>INDEX(g_lang_val,MATCH("so_4_1",g_lang_key,0))</f>
        <v>pl-år</v>
      </c>
      <c r="L93" s="20"/>
      <c r="M93" s="20"/>
      <c r="N93" s="20"/>
      <c r="O93" s="19"/>
    </row>
    <row r="94" spans="1:15" ht="3" customHeight="1" x14ac:dyDescent="0.3">
      <c r="J94" s="17"/>
      <c r="K94" s="18"/>
      <c r="L94" s="18"/>
      <c r="M94" s="18"/>
      <c r="N94" s="18"/>
      <c r="O94" s="19"/>
    </row>
    <row r="95" spans="1:15" ht="24" customHeight="1" x14ac:dyDescent="0.3">
      <c r="A95" s="3" t="s">
        <v>33</v>
      </c>
      <c r="B95" s="12">
        <v>5</v>
      </c>
      <c r="C95" s="12">
        <v>19</v>
      </c>
      <c r="D95" s="45" t="s">
        <v>269</v>
      </c>
      <c r="J95" s="17"/>
      <c r="K95" s="69" t="str">
        <f>INDEX(g_lang_val,MATCH("so_4_1_1",g_lang_key,0))</f>
        <v>Indtastningsår</v>
      </c>
      <c r="L95" s="234">
        <v>2025</v>
      </c>
      <c r="M95" s="234"/>
      <c r="N95" s="234"/>
      <c r="O95" s="19"/>
    </row>
    <row r="96" spans="1:15" ht="3" customHeight="1" x14ac:dyDescent="0.3">
      <c r="J96" s="17"/>
      <c r="K96" s="18"/>
      <c r="L96" s="18"/>
      <c r="M96" s="18"/>
      <c r="N96" s="18"/>
      <c r="O96" s="19"/>
    </row>
    <row r="97" spans="1:15" ht="35.15" customHeight="1" x14ac:dyDescent="0.3">
      <c r="A97" s="3" t="s">
        <v>34</v>
      </c>
      <c r="B97" s="12">
        <v>5</v>
      </c>
      <c r="C97" s="12">
        <v>19</v>
      </c>
      <c r="D97" s="45" t="s">
        <v>270</v>
      </c>
      <c r="J97" s="17"/>
      <c r="K97" s="231" t="str">
        <f>INDEX(g_lang_val,MATCH("so_4_1_1_1",g_lang_key,0))</f>
        <v>Angiver som basisår det år, som data stammer fra, og hvor priser mv. blev beregnet.
Indtastningsåret stemmer ikke nødvendigvis med indeværende år.</v>
      </c>
      <c r="L97" s="231"/>
      <c r="M97" s="231"/>
      <c r="N97" s="231"/>
      <c r="O97" s="19"/>
    </row>
    <row r="98" spans="1:15" ht="3" customHeight="1" x14ac:dyDescent="0.3">
      <c r="J98" s="17"/>
      <c r="K98" s="18"/>
      <c r="L98" s="18"/>
      <c r="M98" s="18"/>
      <c r="N98" s="18"/>
      <c r="O98" s="19"/>
    </row>
    <row r="99" spans="1:15" ht="24" customHeight="1" x14ac:dyDescent="0.3">
      <c r="A99" s="3" t="s">
        <v>35</v>
      </c>
      <c r="B99" s="12">
        <v>5</v>
      </c>
      <c r="C99" s="12">
        <v>19</v>
      </c>
      <c r="D99" s="45" t="s">
        <v>271</v>
      </c>
      <c r="J99" s="17"/>
      <c r="K99" s="69" t="str">
        <f>INDEX(g_lang_val,MATCH("so_4_1_2",g_lang_key,0))</f>
        <v>Rapporteringsår</v>
      </c>
      <c r="L99" s="234">
        <v>2025</v>
      </c>
      <c r="M99" s="234"/>
      <c r="N99" s="234"/>
      <c r="O99" s="19"/>
    </row>
    <row r="100" spans="1:15" ht="3" customHeight="1" x14ac:dyDescent="0.3">
      <c r="J100" s="17"/>
      <c r="K100" s="18"/>
      <c r="L100" s="18"/>
      <c r="M100" s="18"/>
      <c r="N100" s="18"/>
      <c r="O100" s="19"/>
    </row>
    <row r="101" spans="1:15" ht="35.15" customHeight="1" x14ac:dyDescent="0.3">
      <c r="A101" s="3" t="s">
        <v>36</v>
      </c>
      <c r="B101" s="12">
        <v>5</v>
      </c>
      <c r="C101" s="12">
        <v>19</v>
      </c>
      <c r="D101" s="45" t="s">
        <v>272</v>
      </c>
      <c r="J101" s="17"/>
      <c r="K101" s="231" t="str">
        <f>INDEX(g_lang_val,MATCH("so_4_1_2_1",g_lang_key,0))</f>
        <v>Angiver det år, som data skal fremregnes til (eller undtagelsesvist tilbageregnes til).
Rapporteringsåret vil som regel være indeværende år.</v>
      </c>
      <c r="L101" s="231"/>
      <c r="M101" s="231"/>
      <c r="N101" s="231"/>
      <c r="O101" s="19"/>
    </row>
    <row r="102" spans="1:15" ht="3" customHeight="1" x14ac:dyDescent="0.3">
      <c r="J102" s="17"/>
      <c r="K102" s="18"/>
      <c r="L102" s="18"/>
      <c r="M102" s="18"/>
      <c r="N102" s="18"/>
      <c r="O102" s="19"/>
    </row>
    <row r="103" spans="1:15" ht="13.5" customHeight="1" x14ac:dyDescent="0.3">
      <c r="A103" s="3" t="s">
        <v>37</v>
      </c>
      <c r="B103" s="12">
        <v>5</v>
      </c>
      <c r="C103" s="12">
        <v>19</v>
      </c>
      <c r="D103" s="45" t="s">
        <v>265</v>
      </c>
      <c r="J103" s="17"/>
      <c r="K103" s="18"/>
      <c r="L103" s="18"/>
      <c r="M103" s="18"/>
      <c r="N103" s="18"/>
      <c r="O103" s="19"/>
    </row>
    <row r="104" spans="1:15" ht="3" customHeight="1" x14ac:dyDescent="0.3">
      <c r="J104" s="17"/>
      <c r="K104" s="18"/>
      <c r="L104" s="18"/>
      <c r="M104" s="18"/>
      <c r="N104" s="18"/>
      <c r="O104" s="19"/>
    </row>
    <row r="105" spans="1:15" ht="16" customHeight="1" x14ac:dyDescent="0.3">
      <c r="A105" s="45" t="s">
        <v>38</v>
      </c>
      <c r="B105" s="12">
        <v>5</v>
      </c>
      <c r="C105" s="12">
        <v>19</v>
      </c>
      <c r="D105" s="45" t="s">
        <v>266</v>
      </c>
      <c r="J105" s="21"/>
      <c r="K105" s="21"/>
      <c r="L105" s="21"/>
      <c r="M105" s="21"/>
      <c r="N105" s="21"/>
      <c r="O105" s="21"/>
    </row>
  </sheetData>
  <sheetProtection autoFilter="0"/>
  <dataConsolidate/>
  <customSheetViews>
    <customSheetView guid="{CC114306-4468-4F70-9DB6-D54D814D228F}" fitToPage="1" printArea="1" hiddenRows="1" hiddenColumns="1" topLeftCell="I7">
      <selection activeCell="I7" sqref="I7"/>
      <pageMargins left="0.7" right="0.7" top="0.75" bottom="0.75" header="0.3" footer="0.3"/>
      <pageSetup paperSize="9" fitToHeight="0" orientation="portrait" r:id="rId1"/>
    </customSheetView>
  </customSheetViews>
  <mergeCells count="14">
    <mergeCell ref="Q9:R9"/>
    <mergeCell ref="Q10:R14"/>
    <mergeCell ref="K44:N44"/>
    <mergeCell ref="K97:N97"/>
    <mergeCell ref="J9:O9"/>
    <mergeCell ref="K101:N101"/>
    <mergeCell ref="L29:N29"/>
    <mergeCell ref="L36:N36"/>
    <mergeCell ref="L38:N38"/>
    <mergeCell ref="L18:N18"/>
    <mergeCell ref="L20:N20"/>
    <mergeCell ref="L22:N22"/>
    <mergeCell ref="L95:N95"/>
    <mergeCell ref="L99:N99"/>
  </mergeCells>
  <dataValidations count="2">
    <dataValidation type="list" allowBlank="1" showInputMessage="1" showErrorMessage="1" sqref="L99:N99 L95:N95" xr:uid="{00000000-0002-0000-0200-000000000000}">
      <formula1>g_pl_years</formula1>
    </dataValidation>
    <dataValidation type="date" operator="greaterThan" allowBlank="1" showInputMessage="1" showErrorMessage="1" errorTitle="Formateringsfejl" error="Datoer skal skrives i format &quot;dd-mm-åååå&quot;" sqref="L29:N29 L36:N36 L38:N38" xr:uid="{00000000-0002-0000-0200-000001000000}">
      <formula1>1</formula1>
    </dataValidation>
  </dataValidations>
  <pageMargins left="0.7" right="0.7" top="0.75" bottom="0.75" header="0.3" footer="0.3"/>
  <pageSetup paperSize="9"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66B43"/>
    <pageSetUpPr autoPageBreaks="0" fitToPage="1"/>
  </sheetPr>
  <dimension ref="A1:BY158"/>
  <sheetViews>
    <sheetView topLeftCell="AN13" zoomScaleNormal="100" workbookViewId="0">
      <selection activeCell="AT155" sqref="AT155"/>
    </sheetView>
  </sheetViews>
  <sheetFormatPr defaultColWidth="9.296875" defaultRowHeight="11.5" outlineLevelRow="1" x14ac:dyDescent="0.3"/>
  <cols>
    <col min="1" max="1" width="51" style="12" hidden="1" customWidth="1"/>
    <col min="2" max="2" width="2.8984375" style="12" hidden="1" customWidth="1"/>
    <col min="3" max="8" width="5.8984375" style="12" hidden="1" customWidth="1"/>
    <col min="9" max="9" width="7.8984375" style="12" hidden="1" customWidth="1"/>
    <col min="10" max="33" width="5.8984375" style="12" hidden="1" customWidth="1"/>
    <col min="34" max="35" width="2.8984375" style="12" hidden="1" customWidth="1"/>
    <col min="36" max="36" width="8.09765625" style="12" hidden="1" customWidth="1"/>
    <col min="37" max="37" width="7" style="12" hidden="1" customWidth="1"/>
    <col min="38" max="38" width="14.3984375" style="12" hidden="1" customWidth="1"/>
    <col min="39" max="39" width="2.69921875" style="12" hidden="1" customWidth="1"/>
    <col min="40" max="40" width="1" style="12" customWidth="1"/>
    <col min="41" max="41" width="6.09765625" style="12" customWidth="1"/>
    <col min="42" max="42" width="61.09765625" style="12" customWidth="1"/>
    <col min="43" max="43" width="25.69921875" style="12" customWidth="1"/>
    <col min="44" max="44" width="15.69921875" style="12" customWidth="1"/>
    <col min="45" max="45" width="15.59765625" style="12" customWidth="1"/>
    <col min="46" max="46" width="35.69921875" style="12" customWidth="1"/>
    <col min="47" max="77" width="11.296875" style="12" customWidth="1"/>
    <col min="78" max="16384" width="9.296875" style="12"/>
  </cols>
  <sheetData>
    <row r="1" spans="1:77" s="6" customFormat="1" ht="28.5" hidden="1" customHeight="1" x14ac:dyDescent="0.3">
      <c r="A1" s="5" t="s">
        <v>3</v>
      </c>
      <c r="B1" s="5" t="s">
        <v>4</v>
      </c>
      <c r="C1" s="5" t="s">
        <v>5</v>
      </c>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t="s">
        <v>6</v>
      </c>
      <c r="AI1" s="5" t="s">
        <v>12</v>
      </c>
      <c r="AJ1" s="5" t="s">
        <v>13</v>
      </c>
      <c r="AK1" s="5" t="s">
        <v>81</v>
      </c>
      <c r="AL1" s="5" t="s">
        <v>82</v>
      </c>
      <c r="AM1" s="5" t="s">
        <v>83</v>
      </c>
      <c r="AN1" s="5" t="s">
        <v>84</v>
      </c>
      <c r="AO1" s="5" t="s">
        <v>85</v>
      </c>
      <c r="AP1" s="5" t="s">
        <v>86</v>
      </c>
      <c r="AQ1" s="5" t="s">
        <v>92</v>
      </c>
      <c r="AR1" s="5"/>
      <c r="AS1" s="5"/>
      <c r="AT1" s="5" t="s">
        <v>98</v>
      </c>
      <c r="AU1" s="5" t="s">
        <v>103</v>
      </c>
      <c r="AV1" s="5" t="s">
        <v>104</v>
      </c>
      <c r="AW1" s="5" t="s">
        <v>105</v>
      </c>
      <c r="AX1" s="5" t="s">
        <v>106</v>
      </c>
      <c r="AY1" s="5" t="s">
        <v>107</v>
      </c>
      <c r="AZ1" s="5" t="s">
        <v>108</v>
      </c>
      <c r="BA1" s="5" t="s">
        <v>109</v>
      </c>
      <c r="BB1" s="5" t="s">
        <v>110</v>
      </c>
      <c r="BC1" s="5" t="s">
        <v>402</v>
      </c>
      <c r="BD1" s="5" t="s">
        <v>403</v>
      </c>
      <c r="BE1" s="5" t="s">
        <v>404</v>
      </c>
      <c r="BF1" s="5" t="s">
        <v>405</v>
      </c>
      <c r="BG1" s="5" t="s">
        <v>406</v>
      </c>
      <c r="BH1" s="5" t="s">
        <v>407</v>
      </c>
      <c r="BI1" s="5" t="s">
        <v>408</v>
      </c>
      <c r="BJ1" s="5" t="s">
        <v>409</v>
      </c>
      <c r="BK1" s="5" t="s">
        <v>410</v>
      </c>
      <c r="BL1" s="5" t="s">
        <v>411</v>
      </c>
      <c r="BM1" s="5" t="s">
        <v>412</v>
      </c>
      <c r="BN1" s="5" t="s">
        <v>413</v>
      </c>
      <c r="BO1" s="5" t="s">
        <v>414</v>
      </c>
      <c r="BP1" s="5" t="s">
        <v>421</v>
      </c>
      <c r="BQ1" s="5" t="s">
        <v>422</v>
      </c>
      <c r="BR1" s="5" t="s">
        <v>423</v>
      </c>
      <c r="BS1" s="5" t="s">
        <v>424</v>
      </c>
      <c r="BT1" s="5" t="s">
        <v>425</v>
      </c>
      <c r="BU1" s="5" t="s">
        <v>426</v>
      </c>
      <c r="BV1" s="5" t="s">
        <v>427</v>
      </c>
      <c r="BW1" s="5" t="s">
        <v>428</v>
      </c>
      <c r="BX1" s="5" t="s">
        <v>429</v>
      </c>
      <c r="BY1" s="5" t="s">
        <v>559</v>
      </c>
    </row>
    <row r="2" spans="1:77" s="6" customFormat="1" ht="30" hidden="1" customHeight="1" x14ac:dyDescent="0.3">
      <c r="A2" s="6" t="s">
        <v>7</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row>
    <row r="3" spans="1:77" s="6" customFormat="1" ht="12" hidden="1" customHeight="1" x14ac:dyDescent="0.3">
      <c r="A3" s="6" t="s">
        <v>8</v>
      </c>
      <c r="B3" s="9" t="s">
        <v>111</v>
      </c>
      <c r="C3" s="9" t="s">
        <v>17</v>
      </c>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t="s">
        <v>112</v>
      </c>
      <c r="AI3" s="9" t="s">
        <v>113</v>
      </c>
      <c r="AJ3" s="9" t="s">
        <v>114</v>
      </c>
      <c r="AK3" s="11" t="s">
        <v>116</v>
      </c>
      <c r="AL3" s="11" t="s">
        <v>116</v>
      </c>
      <c r="AM3" s="11" t="s">
        <v>116</v>
      </c>
      <c r="AN3" s="11" t="s">
        <v>116</v>
      </c>
      <c r="AO3" s="11" t="s">
        <v>116</v>
      </c>
      <c r="AP3" s="11" t="s">
        <v>116</v>
      </c>
      <c r="AQ3" s="11" t="s">
        <v>116</v>
      </c>
      <c r="AR3" s="11"/>
      <c r="AS3" s="11"/>
      <c r="AT3" s="11" t="s">
        <v>116</v>
      </c>
      <c r="AU3" s="12">
        <v>1</v>
      </c>
      <c r="AV3" s="12">
        <v>2</v>
      </c>
      <c r="AW3" s="12">
        <v>3</v>
      </c>
      <c r="AX3" s="12">
        <v>4</v>
      </c>
      <c r="AY3" s="12">
        <v>5</v>
      </c>
      <c r="AZ3" s="12">
        <v>6</v>
      </c>
      <c r="BA3" s="12">
        <v>7</v>
      </c>
      <c r="BB3" s="12">
        <v>8</v>
      </c>
      <c r="BC3" s="12">
        <v>9</v>
      </c>
      <c r="BD3" s="12">
        <v>10</v>
      </c>
      <c r="BE3" s="12">
        <v>11</v>
      </c>
      <c r="BF3" s="12">
        <v>12</v>
      </c>
      <c r="BG3" s="12">
        <v>13</v>
      </c>
      <c r="BH3" s="12">
        <v>14</v>
      </c>
      <c r="BI3" s="12">
        <v>15</v>
      </c>
      <c r="BJ3" s="12">
        <v>16</v>
      </c>
      <c r="BK3" s="12">
        <v>17</v>
      </c>
      <c r="BL3" s="12">
        <v>18</v>
      </c>
      <c r="BM3" s="12">
        <v>19</v>
      </c>
      <c r="BN3" s="12">
        <v>20</v>
      </c>
      <c r="BO3" s="12">
        <v>21</v>
      </c>
      <c r="BP3" s="12">
        <v>22</v>
      </c>
      <c r="BQ3" s="12">
        <v>23</v>
      </c>
      <c r="BR3" s="12">
        <v>24</v>
      </c>
      <c r="BS3" s="12">
        <v>25</v>
      </c>
      <c r="BT3" s="12">
        <v>26</v>
      </c>
      <c r="BU3" s="12">
        <v>27</v>
      </c>
      <c r="BV3" s="12">
        <v>28</v>
      </c>
      <c r="BW3" s="12">
        <v>29</v>
      </c>
      <c r="BX3" s="12">
        <v>30</v>
      </c>
      <c r="BY3" s="12">
        <v>31</v>
      </c>
    </row>
    <row r="4" spans="1:77" s="6" customFormat="1" ht="12" hidden="1" customHeight="1" x14ac:dyDescent="0.3">
      <c r="A4" s="6" t="s">
        <v>9</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11">
        <v>-4</v>
      </c>
      <c r="AL4" s="11">
        <v>-3</v>
      </c>
      <c r="AM4" s="11">
        <v>-2</v>
      </c>
      <c r="AN4" s="11">
        <v>-1</v>
      </c>
      <c r="AO4" s="11">
        <v>0</v>
      </c>
      <c r="AP4" s="11">
        <v>1</v>
      </c>
      <c r="AQ4" s="11">
        <v>7</v>
      </c>
      <c r="AR4" s="11"/>
      <c r="AS4" s="11"/>
      <c r="AT4" s="11">
        <v>10</v>
      </c>
      <c r="AU4" s="22" t="s">
        <v>120</v>
      </c>
      <c r="AV4" s="22" t="s">
        <v>120</v>
      </c>
      <c r="AW4" s="22" t="s">
        <v>120</v>
      </c>
      <c r="AX4" s="22" t="s">
        <v>120</v>
      </c>
      <c r="AY4" s="22" t="s">
        <v>120</v>
      </c>
      <c r="AZ4" s="22" t="s">
        <v>120</v>
      </c>
      <c r="BA4" s="22" t="s">
        <v>120</v>
      </c>
      <c r="BB4" s="22" t="s">
        <v>120</v>
      </c>
      <c r="BC4" s="22" t="s">
        <v>120</v>
      </c>
      <c r="BD4" s="22" t="s">
        <v>120</v>
      </c>
      <c r="BE4" s="22" t="s">
        <v>120</v>
      </c>
      <c r="BF4" s="22" t="s">
        <v>120</v>
      </c>
      <c r="BG4" s="22" t="s">
        <v>120</v>
      </c>
      <c r="BH4" s="22" t="s">
        <v>120</v>
      </c>
      <c r="BI4" s="22" t="s">
        <v>120</v>
      </c>
      <c r="BJ4" s="22" t="s">
        <v>120</v>
      </c>
      <c r="BK4" s="22" t="s">
        <v>120</v>
      </c>
      <c r="BL4" s="22" t="s">
        <v>120</v>
      </c>
      <c r="BM4" s="22" t="s">
        <v>120</v>
      </c>
      <c r="BN4" s="22" t="s">
        <v>120</v>
      </c>
      <c r="BO4" s="22" t="s">
        <v>120</v>
      </c>
      <c r="BP4" s="22" t="s">
        <v>120</v>
      </c>
      <c r="BQ4" s="22" t="s">
        <v>120</v>
      </c>
      <c r="BR4" s="22" t="s">
        <v>120</v>
      </c>
      <c r="BS4" s="22" t="s">
        <v>120</v>
      </c>
      <c r="BT4" s="22" t="s">
        <v>120</v>
      </c>
      <c r="BU4" s="22" t="s">
        <v>120</v>
      </c>
      <c r="BV4" s="22" t="s">
        <v>120</v>
      </c>
      <c r="BW4" s="22" t="s">
        <v>120</v>
      </c>
      <c r="BX4" s="22" t="s">
        <v>120</v>
      </c>
      <c r="BY4" s="22" t="s">
        <v>120</v>
      </c>
    </row>
    <row r="5" spans="1:77" hidden="1" x14ac:dyDescent="0.3"/>
    <row r="6" spans="1:77" hidden="1" x14ac:dyDescent="0.3"/>
    <row r="7" spans="1:77" hidden="1" x14ac:dyDescent="0.3"/>
    <row r="8" spans="1:77" hidden="1" x14ac:dyDescent="0.3">
      <c r="AU8" s="12">
        <v>249</v>
      </c>
      <c r="AV8" s="12">
        <v>250</v>
      </c>
      <c r="AW8" s="12">
        <v>251</v>
      </c>
      <c r="AX8" s="12">
        <v>252</v>
      </c>
      <c r="AY8" s="12">
        <v>253</v>
      </c>
      <c r="AZ8" s="12">
        <v>254</v>
      </c>
      <c r="BA8" s="12">
        <v>255</v>
      </c>
      <c r="BB8" s="12">
        <v>256</v>
      </c>
      <c r="BC8" s="12">
        <v>257</v>
      </c>
      <c r="BD8" s="12">
        <v>258</v>
      </c>
      <c r="BE8" s="12">
        <v>259</v>
      </c>
      <c r="BF8" s="12">
        <v>260</v>
      </c>
      <c r="BG8" s="12">
        <v>261</v>
      </c>
      <c r="BH8" s="12">
        <v>262</v>
      </c>
      <c r="BI8" s="12">
        <v>263</v>
      </c>
      <c r="BJ8" s="12">
        <v>264</v>
      </c>
      <c r="BK8" s="12">
        <v>265</v>
      </c>
      <c r="BL8" s="12">
        <v>266</v>
      </c>
      <c r="BM8" s="12">
        <v>267</v>
      </c>
      <c r="BN8" s="12">
        <v>268</v>
      </c>
      <c r="BO8" s="12">
        <v>269</v>
      </c>
      <c r="BP8" s="12">
        <v>270</v>
      </c>
      <c r="BQ8" s="12">
        <v>271</v>
      </c>
      <c r="BR8" s="12">
        <v>272</v>
      </c>
      <c r="BS8" s="12">
        <v>273</v>
      </c>
      <c r="BT8" s="12">
        <v>274</v>
      </c>
      <c r="BU8" s="12">
        <v>275</v>
      </c>
      <c r="BV8" s="12">
        <v>276</v>
      </c>
      <c r="BW8" s="12">
        <v>277</v>
      </c>
      <c r="BX8" s="12">
        <v>278</v>
      </c>
      <c r="BY8" s="12">
        <v>279</v>
      </c>
    </row>
    <row r="9" spans="1:77" hidden="1" x14ac:dyDescent="0.3"/>
    <row r="10" spans="1:77" hidden="1" x14ac:dyDescent="0.3"/>
    <row r="11" spans="1:77" hidden="1" x14ac:dyDescent="0.3"/>
    <row r="12" spans="1:77" ht="13" hidden="1" x14ac:dyDescent="0.3">
      <c r="A12" s="38" t="s">
        <v>11</v>
      </c>
    </row>
    <row r="13" spans="1:77" ht="28.5" customHeight="1" x14ac:dyDescent="0.3">
      <c r="A13" s="45" t="s">
        <v>168</v>
      </c>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row>
    <row r="14" spans="1:77" ht="5.15" customHeight="1" x14ac:dyDescent="0.3">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row>
    <row r="15" spans="1:77" ht="5.15" customHeight="1" x14ac:dyDescent="0.3">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row>
    <row r="16" spans="1:77" ht="17.25" customHeight="1" x14ac:dyDescent="0.3">
      <c r="A16" s="45" t="s">
        <v>169</v>
      </c>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row>
    <row r="17" spans="1:77" ht="4.5" customHeight="1" x14ac:dyDescent="0.3">
      <c r="A17" s="45" t="s">
        <v>171</v>
      </c>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row>
    <row r="18" spans="1:77" ht="21" customHeight="1" x14ac:dyDescent="0.3">
      <c r="A18" s="45" t="s">
        <v>172</v>
      </c>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row>
    <row r="19" spans="1:77" ht="9.75" customHeight="1" x14ac:dyDescent="0.3"/>
    <row r="20" spans="1:77" ht="27.75" customHeight="1" x14ac:dyDescent="0.6">
      <c r="A20" s="45" t="s">
        <v>173</v>
      </c>
      <c r="AN20" s="26"/>
    </row>
    <row r="21" spans="1:77" ht="29.15" customHeight="1" x14ac:dyDescent="0.3">
      <c r="A21" s="45" t="s">
        <v>174</v>
      </c>
      <c r="AN21" s="198" t="str">
        <f>INDEX(g_lang_val,MATCH("le_2_1",g_lang_key,0))</f>
        <v>Projektudgifter i tusinde kroner (t. kr.)</v>
      </c>
      <c r="AO21" s="197"/>
      <c r="AP21" s="197"/>
    </row>
    <row r="22" spans="1:77" ht="4.5" customHeight="1" x14ac:dyDescent="0.3">
      <c r="A22" s="45" t="s">
        <v>175</v>
      </c>
      <c r="AN22" s="28"/>
      <c r="AO22" s="24"/>
      <c r="AP22" s="24"/>
      <c r="AQ22" s="24"/>
      <c r="AR22" s="24"/>
      <c r="AS22" s="24"/>
      <c r="AT22" s="24"/>
      <c r="AU22" s="35">
        <f t="shared" ref="AU22:BY22" ca="1" si="0">IF(INDEX(g_sc_1_capex,2)+COLUMN()-47&lt;=INDEX(g_sc_1_capex,3),INDEX(g_sc_1_capex,2)+COLUMN()-47,"")</f>
        <v>2025</v>
      </c>
      <c r="AV22" s="35">
        <f t="shared" ca="1" si="0"/>
        <v>2026</v>
      </c>
      <c r="AW22" s="35">
        <f t="shared" ca="1" si="0"/>
        <v>2027</v>
      </c>
      <c r="AX22" s="35">
        <f t="shared" ca="1" si="0"/>
        <v>2028</v>
      </c>
      <c r="AY22" s="35" t="str">
        <f t="shared" ca="1" si="0"/>
        <v/>
      </c>
      <c r="AZ22" s="35" t="str">
        <f t="shared" ca="1" si="0"/>
        <v/>
      </c>
      <c r="BA22" s="35" t="str">
        <f t="shared" ca="1" si="0"/>
        <v/>
      </c>
      <c r="BB22" s="35" t="str">
        <f t="shared" ca="1" si="0"/>
        <v/>
      </c>
      <c r="BC22" s="35" t="str">
        <f t="shared" ca="1" si="0"/>
        <v/>
      </c>
      <c r="BD22" s="35" t="str">
        <f t="shared" ca="1" si="0"/>
        <v/>
      </c>
      <c r="BE22" s="35" t="str">
        <f t="shared" ca="1" si="0"/>
        <v/>
      </c>
      <c r="BF22" s="35" t="str">
        <f t="shared" ca="1" si="0"/>
        <v/>
      </c>
      <c r="BG22" s="35" t="str">
        <f t="shared" ca="1" si="0"/>
        <v/>
      </c>
      <c r="BH22" s="35" t="str">
        <f t="shared" ca="1" si="0"/>
        <v/>
      </c>
      <c r="BI22" s="35" t="str">
        <f t="shared" ca="1" si="0"/>
        <v/>
      </c>
      <c r="BJ22" s="35" t="str">
        <f t="shared" ca="1" si="0"/>
        <v/>
      </c>
      <c r="BK22" s="35" t="str">
        <f t="shared" ca="1" si="0"/>
        <v/>
      </c>
      <c r="BL22" s="35" t="str">
        <f t="shared" ca="1" si="0"/>
        <v/>
      </c>
      <c r="BM22" s="35" t="str">
        <f t="shared" ca="1" si="0"/>
        <v/>
      </c>
      <c r="BN22" s="35" t="str">
        <f t="shared" ca="1" si="0"/>
        <v/>
      </c>
      <c r="BO22" s="35" t="str">
        <f t="shared" ca="1" si="0"/>
        <v/>
      </c>
      <c r="BP22" s="35" t="str">
        <f t="shared" ca="1" si="0"/>
        <v/>
      </c>
      <c r="BQ22" s="35" t="str">
        <f t="shared" ca="1" si="0"/>
        <v/>
      </c>
      <c r="BR22" s="35" t="str">
        <f t="shared" ca="1" si="0"/>
        <v/>
      </c>
      <c r="BS22" s="35" t="str">
        <f t="shared" ca="1" si="0"/>
        <v/>
      </c>
      <c r="BT22" s="35" t="str">
        <f t="shared" ca="1" si="0"/>
        <v/>
      </c>
      <c r="BU22" s="35" t="str">
        <f t="shared" ca="1" si="0"/>
        <v/>
      </c>
      <c r="BV22" s="35" t="str">
        <f t="shared" ca="1" si="0"/>
        <v/>
      </c>
      <c r="BW22" s="35" t="str">
        <f t="shared" ca="1" si="0"/>
        <v/>
      </c>
      <c r="BX22" s="35" t="str">
        <f t="shared" ca="1" si="0"/>
        <v/>
      </c>
      <c r="BY22" s="35" t="str">
        <f t="shared" ca="1" si="0"/>
        <v/>
      </c>
    </row>
    <row r="23" spans="1:77" ht="17.25" customHeight="1" x14ac:dyDescent="0.3">
      <c r="A23" s="45" t="s">
        <v>169</v>
      </c>
      <c r="AN23" s="28"/>
      <c r="AO23" s="238" t="str">
        <f>INDEX(g_lang_val,MATCH("le_1",g_lang_key,0))</f>
        <v>Vigtigt:</v>
      </c>
      <c r="AP23" s="239"/>
      <c r="AQ23" s="239"/>
      <c r="AR23" s="239"/>
      <c r="AS23" s="239"/>
      <c r="AT23" s="239"/>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c r="BW23" s="77"/>
      <c r="BX23" s="77"/>
      <c r="BY23" s="77"/>
    </row>
    <row r="24" spans="1:77" ht="90" customHeight="1" x14ac:dyDescent="0.3">
      <c r="A24" s="45" t="s">
        <v>170</v>
      </c>
      <c r="AN24" s="28"/>
      <c r="AO24" s="36"/>
      <c r="AP24" s="240" t="str">
        <f>INDEX(g_lang_val,MATCH("le_1_1",g_lang_key,0))</f>
        <v>1) Udgifter er i tusinde kroner.
2) Du kan kun indtaste data i de hvide felter.
3) Du kan bruge klip/kopier+indsæt-funktionen for værdier i de hvide felter.
4) Du kan bruge klip/kopier+indsæt-funktionen for leverancer/releases, men ikke for anlæg, da det kan ødelægge de bagvedliggende formler.</v>
      </c>
      <c r="AQ24" s="240"/>
      <c r="AR24" s="240"/>
      <c r="AS24" s="240"/>
      <c r="AT24" s="240"/>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row>
    <row r="25" spans="1:77" s="51" customFormat="1" ht="51.75" customHeight="1" x14ac:dyDescent="0.3">
      <c r="A25" s="50" t="s">
        <v>176</v>
      </c>
      <c r="AN25" s="52"/>
      <c r="AO25" s="243" t="str">
        <f>INDEX(g_lang_val,MATCH("le_2_1_1",g_lang_key,0))</f>
        <v>Leverancer</v>
      </c>
      <c r="AP25" s="244"/>
      <c r="AQ25" s="86" t="str">
        <f>INDEX(g_lang_val,MATCH("so_3",g_lang_key,0))</f>
        <v>Anlæg</v>
      </c>
      <c r="AR25" s="61" t="str">
        <f>INDEX(g_lang_val,MATCH("le_2_1_3",g_lang_key,0))</f>
        <v>Procentdel aktiveret (pct.)</v>
      </c>
      <c r="AS25" s="213" t="str">
        <f>INDEX(g_lang_val,MATCH("le_2_1_4",g_lang_key,0))</f>
        <v>Procentdel eksterne (pct.)</v>
      </c>
      <c r="AT25" s="86" t="str">
        <f>INDEX(g_lang_val,MATCH("le_2_1_5",g_lang_key,0))</f>
        <v>Grundlag for estimat</v>
      </c>
      <c r="AU25" s="53">
        <f ca="1">AU22</f>
        <v>2025</v>
      </c>
      <c r="AV25" s="53">
        <f t="shared" ref="AV25:BY25" ca="1" si="1">AV22</f>
        <v>2026</v>
      </c>
      <c r="AW25" s="53">
        <f t="shared" ca="1" si="1"/>
        <v>2027</v>
      </c>
      <c r="AX25" s="53">
        <f t="shared" ca="1" si="1"/>
        <v>2028</v>
      </c>
      <c r="AY25" s="53" t="str">
        <f t="shared" ca="1" si="1"/>
        <v/>
      </c>
      <c r="AZ25" s="53" t="str">
        <f t="shared" ca="1" si="1"/>
        <v/>
      </c>
      <c r="BA25" s="53" t="str">
        <f t="shared" ca="1" si="1"/>
        <v/>
      </c>
      <c r="BB25" s="53" t="str">
        <f t="shared" ca="1" si="1"/>
        <v/>
      </c>
      <c r="BC25" s="53" t="str">
        <f t="shared" ca="1" si="1"/>
        <v/>
      </c>
      <c r="BD25" s="53" t="str">
        <f t="shared" ca="1" si="1"/>
        <v/>
      </c>
      <c r="BE25" s="53" t="str">
        <f t="shared" ca="1" si="1"/>
        <v/>
      </c>
      <c r="BF25" s="53" t="str">
        <f t="shared" ca="1" si="1"/>
        <v/>
      </c>
      <c r="BG25" s="53" t="str">
        <f t="shared" ca="1" si="1"/>
        <v/>
      </c>
      <c r="BH25" s="53" t="str">
        <f t="shared" ca="1" si="1"/>
        <v/>
      </c>
      <c r="BI25" s="53" t="str">
        <f t="shared" ca="1" si="1"/>
        <v/>
      </c>
      <c r="BJ25" s="53" t="str">
        <f t="shared" ca="1" si="1"/>
        <v/>
      </c>
      <c r="BK25" s="53" t="str">
        <f t="shared" ca="1" si="1"/>
        <v/>
      </c>
      <c r="BL25" s="53" t="str">
        <f t="shared" ca="1" si="1"/>
        <v/>
      </c>
      <c r="BM25" s="53" t="str">
        <f t="shared" ca="1" si="1"/>
        <v/>
      </c>
      <c r="BN25" s="53" t="str">
        <f t="shared" ca="1" si="1"/>
        <v/>
      </c>
      <c r="BO25" s="53" t="str">
        <f t="shared" ca="1" si="1"/>
        <v/>
      </c>
      <c r="BP25" s="53" t="str">
        <f t="shared" ca="1" si="1"/>
        <v/>
      </c>
      <c r="BQ25" s="53" t="str">
        <f t="shared" ca="1" si="1"/>
        <v/>
      </c>
      <c r="BR25" s="53" t="str">
        <f t="shared" ca="1" si="1"/>
        <v/>
      </c>
      <c r="BS25" s="53" t="str">
        <f t="shared" ca="1" si="1"/>
        <v/>
      </c>
      <c r="BT25" s="53" t="str">
        <f t="shared" ca="1" si="1"/>
        <v/>
      </c>
      <c r="BU25" s="53" t="str">
        <f t="shared" ca="1" si="1"/>
        <v/>
      </c>
      <c r="BV25" s="53" t="str">
        <f t="shared" ca="1" si="1"/>
        <v/>
      </c>
      <c r="BW25" s="53" t="str">
        <f t="shared" ca="1" si="1"/>
        <v/>
      </c>
      <c r="BX25" s="53" t="str">
        <f t="shared" ca="1" si="1"/>
        <v/>
      </c>
      <c r="BY25" s="53" t="str">
        <f t="shared" ca="1" si="1"/>
        <v/>
      </c>
    </row>
    <row r="26" spans="1:77" ht="4.5" customHeight="1" x14ac:dyDescent="0.3">
      <c r="A26" s="45" t="s">
        <v>177</v>
      </c>
      <c r="AN26" s="28"/>
      <c r="AO26" s="27"/>
      <c r="AP26" s="27"/>
      <c r="AQ26" s="27"/>
      <c r="AR26" s="27"/>
      <c r="AS26" s="27"/>
      <c r="AT26" s="2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row>
    <row r="27" spans="1:77" ht="18.75" customHeight="1" x14ac:dyDescent="0.3">
      <c r="A27" s="45" t="s">
        <v>178</v>
      </c>
      <c r="AK27" s="12" t="str">
        <f>INDEX(g_lang_val,MATCH("le_2_1_3",g_lang_key,0))</f>
        <v>Procentdel aktiveret (pct.)</v>
      </c>
      <c r="AL27" s="12" t="str">
        <f>INDEX(g_lang_val,MATCH("le_2_1_4",g_lang_key,0))</f>
        <v>Procentdel eksterne (pct.)</v>
      </c>
      <c r="AN27" s="28"/>
      <c r="AO27" s="151" t="str">
        <f>INDEX(g_lang_val,MATCH("so_2_1_2",g_lang_key,0))</f>
        <v>Analysefase</v>
      </c>
      <c r="AP27" s="62"/>
      <c r="AQ27" s="62"/>
      <c r="AR27" s="62"/>
      <c r="AS27" s="62"/>
      <c r="AT27" s="62"/>
      <c r="AU27" s="167">
        <f t="shared" ref="AU27:BY27" ca="1" si="2">IF(AU$22="","",SUMIF($A:$A,$A27&amp;"_*",AU:AU))</f>
        <v>0</v>
      </c>
      <c r="AV27" s="167">
        <f t="shared" ca="1" si="2"/>
        <v>0</v>
      </c>
      <c r="AW27" s="167">
        <f t="shared" ca="1" si="2"/>
        <v>0</v>
      </c>
      <c r="AX27" s="167">
        <f t="shared" ca="1" si="2"/>
        <v>0</v>
      </c>
      <c r="AY27" s="167" t="str">
        <f t="shared" ca="1" si="2"/>
        <v/>
      </c>
      <c r="AZ27" s="167" t="str">
        <f t="shared" ca="1" si="2"/>
        <v/>
      </c>
      <c r="BA27" s="167" t="str">
        <f t="shared" ca="1" si="2"/>
        <v/>
      </c>
      <c r="BB27" s="167" t="str">
        <f t="shared" ca="1" si="2"/>
        <v/>
      </c>
      <c r="BC27" s="167" t="str">
        <f t="shared" ca="1" si="2"/>
        <v/>
      </c>
      <c r="BD27" s="167" t="str">
        <f t="shared" ca="1" si="2"/>
        <v/>
      </c>
      <c r="BE27" s="167" t="str">
        <f t="shared" ca="1" si="2"/>
        <v/>
      </c>
      <c r="BF27" s="167" t="str">
        <f t="shared" ca="1" si="2"/>
        <v/>
      </c>
      <c r="BG27" s="167" t="str">
        <f t="shared" ca="1" si="2"/>
        <v/>
      </c>
      <c r="BH27" s="167" t="str">
        <f t="shared" ca="1" si="2"/>
        <v/>
      </c>
      <c r="BI27" s="167" t="str">
        <f t="shared" ca="1" si="2"/>
        <v/>
      </c>
      <c r="BJ27" s="167" t="str">
        <f t="shared" ca="1" si="2"/>
        <v/>
      </c>
      <c r="BK27" s="167" t="str">
        <f t="shared" ca="1" si="2"/>
        <v/>
      </c>
      <c r="BL27" s="167" t="str">
        <f t="shared" ca="1" si="2"/>
        <v/>
      </c>
      <c r="BM27" s="167" t="str">
        <f t="shared" ca="1" si="2"/>
        <v/>
      </c>
      <c r="BN27" s="167" t="str">
        <f t="shared" ca="1" si="2"/>
        <v/>
      </c>
      <c r="BO27" s="167" t="str">
        <f t="shared" ca="1" si="2"/>
        <v/>
      </c>
      <c r="BP27" s="167" t="str">
        <f t="shared" ca="1" si="2"/>
        <v/>
      </c>
      <c r="BQ27" s="167" t="str">
        <f t="shared" ca="1" si="2"/>
        <v/>
      </c>
      <c r="BR27" s="167" t="str">
        <f t="shared" ca="1" si="2"/>
        <v/>
      </c>
      <c r="BS27" s="167" t="str">
        <f t="shared" ca="1" si="2"/>
        <v/>
      </c>
      <c r="BT27" s="167" t="str">
        <f t="shared" ca="1" si="2"/>
        <v/>
      </c>
      <c r="BU27" s="167" t="str">
        <f t="shared" ca="1" si="2"/>
        <v/>
      </c>
      <c r="BV27" s="167" t="str">
        <f t="shared" ca="1" si="2"/>
        <v/>
      </c>
      <c r="BW27" s="167" t="str">
        <f t="shared" ca="1" si="2"/>
        <v/>
      </c>
      <c r="BX27" s="167" t="str">
        <f t="shared" ca="1" si="2"/>
        <v/>
      </c>
      <c r="BY27" s="167" t="str">
        <f t="shared" ca="1" si="2"/>
        <v/>
      </c>
    </row>
    <row r="28" spans="1:77" ht="15.75" customHeight="1" x14ac:dyDescent="0.3">
      <c r="A28" s="45" t="s">
        <v>179</v>
      </c>
      <c r="C28" s="12">
        <f t="shared" ref="C28:C37" si="3">IF(AQ28&lt;&gt;"",MATCH(AQ28,g_assets_sc_1,0),"")</f>
        <v>1</v>
      </c>
      <c r="D28" s="12" t="str">
        <f t="shared" ref="D28:M34" si="4">IF(AU28="","-",AU28*$AR28*AU$96)</f>
        <v>-</v>
      </c>
      <c r="E28" s="12" t="str">
        <f t="shared" si="4"/>
        <v>-</v>
      </c>
      <c r="F28" s="12" t="str">
        <f t="shared" si="4"/>
        <v>-</v>
      </c>
      <c r="G28" s="12" t="str">
        <f t="shared" si="4"/>
        <v>-</v>
      </c>
      <c r="H28" s="12" t="str">
        <f t="shared" si="4"/>
        <v>-</v>
      </c>
      <c r="I28" s="12" t="str">
        <f t="shared" si="4"/>
        <v>-</v>
      </c>
      <c r="J28" s="12" t="str">
        <f t="shared" si="4"/>
        <v>-</v>
      </c>
      <c r="K28" s="12" t="str">
        <f t="shared" si="4"/>
        <v>-</v>
      </c>
      <c r="L28" s="12" t="str">
        <f t="shared" si="4"/>
        <v>-</v>
      </c>
      <c r="M28" s="12" t="str">
        <f t="shared" si="4"/>
        <v>-</v>
      </c>
      <c r="N28" s="12" t="str">
        <f t="shared" ref="N28:W34" si="5">IF(BE28="","-",BE28*$AR28*BE$96)</f>
        <v>-</v>
      </c>
      <c r="O28" s="12" t="str">
        <f t="shared" si="5"/>
        <v>-</v>
      </c>
      <c r="P28" s="12" t="str">
        <f t="shared" si="5"/>
        <v>-</v>
      </c>
      <c r="Q28" s="12" t="str">
        <f t="shared" si="5"/>
        <v>-</v>
      </c>
      <c r="R28" s="12" t="str">
        <f t="shared" si="5"/>
        <v>-</v>
      </c>
      <c r="S28" s="12" t="str">
        <f t="shared" si="5"/>
        <v>-</v>
      </c>
      <c r="T28" s="12" t="str">
        <f t="shared" si="5"/>
        <v>-</v>
      </c>
      <c r="U28" s="12" t="str">
        <f t="shared" si="5"/>
        <v>-</v>
      </c>
      <c r="V28" s="12" t="str">
        <f t="shared" si="5"/>
        <v>-</v>
      </c>
      <c r="W28" s="12" t="str">
        <f t="shared" si="5"/>
        <v>-</v>
      </c>
      <c r="X28" s="12" t="str">
        <f t="shared" ref="X28:AG34" si="6">IF(BO28="","-",BO28*$AR28*BO$96)</f>
        <v>-</v>
      </c>
      <c r="Y28" s="12" t="str">
        <f t="shared" si="6"/>
        <v>-</v>
      </c>
      <c r="Z28" s="12" t="str">
        <f t="shared" si="6"/>
        <v>-</v>
      </c>
      <c r="AA28" s="12" t="str">
        <f t="shared" si="6"/>
        <v>-</v>
      </c>
      <c r="AB28" s="12" t="str">
        <f t="shared" si="6"/>
        <v>-</v>
      </c>
      <c r="AC28" s="12" t="str">
        <f t="shared" si="6"/>
        <v>-</v>
      </c>
      <c r="AD28" s="12" t="str">
        <f t="shared" si="6"/>
        <v>-</v>
      </c>
      <c r="AE28" s="12" t="str">
        <f t="shared" si="6"/>
        <v>-</v>
      </c>
      <c r="AF28" s="12" t="str">
        <f t="shared" si="6"/>
        <v>-</v>
      </c>
      <c r="AG28" s="12" t="str">
        <f t="shared" si="6"/>
        <v>-</v>
      </c>
      <c r="AJ28" s="160">
        <f t="shared" ref="AJ28:AJ37" ca="1" si="7">SUMPRODUCT(AU28:BN28,AU$96:BN$96)</f>
        <v>0</v>
      </c>
      <c r="AK28" s="12">
        <f ca="1">AJ28*AR28</f>
        <v>0</v>
      </c>
      <c r="AL28" s="12">
        <f ca="1">AJ28*AS28</f>
        <v>0</v>
      </c>
      <c r="AN28" s="28"/>
      <c r="AO28" s="48" t="s">
        <v>149</v>
      </c>
      <c r="AP28" s="179">
        <v>1</v>
      </c>
      <c r="AQ28" s="181" t="s">
        <v>60</v>
      </c>
      <c r="AR28" s="166">
        <v>0</v>
      </c>
      <c r="AS28" s="166">
        <v>0</v>
      </c>
      <c r="AT28" s="178" t="s">
        <v>388</v>
      </c>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row>
    <row r="29" spans="1:77" ht="15.75" customHeight="1" x14ac:dyDescent="0.3">
      <c r="A29" s="45" t="s">
        <v>180</v>
      </c>
      <c r="C29" s="12">
        <f t="shared" si="3"/>
        <v>1</v>
      </c>
      <c r="D29" s="12" t="str">
        <f t="shared" si="4"/>
        <v>-</v>
      </c>
      <c r="E29" s="12" t="str">
        <f t="shared" si="4"/>
        <v>-</v>
      </c>
      <c r="F29" s="12" t="str">
        <f t="shared" si="4"/>
        <v>-</v>
      </c>
      <c r="G29" s="12" t="str">
        <f t="shared" si="4"/>
        <v>-</v>
      </c>
      <c r="H29" s="12" t="str">
        <f t="shared" si="4"/>
        <v>-</v>
      </c>
      <c r="I29" s="12" t="str">
        <f t="shared" si="4"/>
        <v>-</v>
      </c>
      <c r="J29" s="12" t="str">
        <f t="shared" si="4"/>
        <v>-</v>
      </c>
      <c r="K29" s="12" t="str">
        <f t="shared" si="4"/>
        <v>-</v>
      </c>
      <c r="L29" s="12" t="str">
        <f t="shared" si="4"/>
        <v>-</v>
      </c>
      <c r="M29" s="12" t="str">
        <f t="shared" si="4"/>
        <v>-</v>
      </c>
      <c r="N29" s="12" t="str">
        <f t="shared" si="5"/>
        <v>-</v>
      </c>
      <c r="O29" s="12" t="str">
        <f t="shared" si="5"/>
        <v>-</v>
      </c>
      <c r="P29" s="12" t="str">
        <f t="shared" si="5"/>
        <v>-</v>
      </c>
      <c r="Q29" s="12" t="str">
        <f t="shared" si="5"/>
        <v>-</v>
      </c>
      <c r="R29" s="12" t="str">
        <f t="shared" si="5"/>
        <v>-</v>
      </c>
      <c r="S29" s="12" t="str">
        <f t="shared" si="5"/>
        <v>-</v>
      </c>
      <c r="T29" s="12" t="str">
        <f t="shared" si="5"/>
        <v>-</v>
      </c>
      <c r="U29" s="12" t="str">
        <f t="shared" si="5"/>
        <v>-</v>
      </c>
      <c r="V29" s="12" t="str">
        <f t="shared" si="5"/>
        <v>-</v>
      </c>
      <c r="W29" s="12" t="str">
        <f t="shared" si="5"/>
        <v>-</v>
      </c>
      <c r="X29" s="12" t="str">
        <f t="shared" si="6"/>
        <v>-</v>
      </c>
      <c r="Y29" s="12" t="str">
        <f t="shared" si="6"/>
        <v>-</v>
      </c>
      <c r="Z29" s="12" t="str">
        <f t="shared" si="6"/>
        <v>-</v>
      </c>
      <c r="AA29" s="12" t="str">
        <f t="shared" si="6"/>
        <v>-</v>
      </c>
      <c r="AB29" s="12" t="str">
        <f t="shared" si="6"/>
        <v>-</v>
      </c>
      <c r="AC29" s="12" t="str">
        <f t="shared" si="6"/>
        <v>-</v>
      </c>
      <c r="AD29" s="12" t="str">
        <f t="shared" si="6"/>
        <v>-</v>
      </c>
      <c r="AE29" s="12" t="str">
        <f t="shared" si="6"/>
        <v>-</v>
      </c>
      <c r="AF29" s="12" t="str">
        <f t="shared" si="6"/>
        <v>-</v>
      </c>
      <c r="AG29" s="12" t="str">
        <f t="shared" si="6"/>
        <v>-</v>
      </c>
      <c r="AJ29" s="160">
        <f t="shared" ca="1" si="7"/>
        <v>0</v>
      </c>
      <c r="AK29" s="12">
        <f t="shared" ref="AK29:AK33" ca="1" si="8">AJ29*AR29</f>
        <v>0</v>
      </c>
      <c r="AL29" s="12">
        <f t="shared" ref="AL29:AL33" ca="1" si="9">AJ29*AS29</f>
        <v>0</v>
      </c>
      <c r="AN29" s="28"/>
      <c r="AO29" s="78" t="s">
        <v>150</v>
      </c>
      <c r="AP29" s="179">
        <v>2</v>
      </c>
      <c r="AQ29" s="181" t="s">
        <v>60</v>
      </c>
      <c r="AR29" s="166">
        <v>0</v>
      </c>
      <c r="AS29" s="166">
        <v>0</v>
      </c>
      <c r="AT29" s="178" t="s">
        <v>388</v>
      </c>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row>
    <row r="30" spans="1:77" ht="15.75" customHeight="1" x14ac:dyDescent="0.3">
      <c r="A30" s="45" t="s">
        <v>181</v>
      </c>
      <c r="C30" s="12">
        <f t="shared" si="3"/>
        <v>1</v>
      </c>
      <c r="D30" s="12" t="str">
        <f t="shared" si="4"/>
        <v>-</v>
      </c>
      <c r="E30" s="12" t="str">
        <f t="shared" si="4"/>
        <v>-</v>
      </c>
      <c r="F30" s="12" t="str">
        <f t="shared" si="4"/>
        <v>-</v>
      </c>
      <c r="G30" s="12" t="str">
        <f t="shared" si="4"/>
        <v>-</v>
      </c>
      <c r="H30" s="12" t="str">
        <f t="shared" si="4"/>
        <v>-</v>
      </c>
      <c r="I30" s="12" t="str">
        <f t="shared" si="4"/>
        <v>-</v>
      </c>
      <c r="J30" s="12" t="str">
        <f t="shared" si="4"/>
        <v>-</v>
      </c>
      <c r="K30" s="12" t="str">
        <f t="shared" si="4"/>
        <v>-</v>
      </c>
      <c r="L30" s="12" t="str">
        <f t="shared" si="4"/>
        <v>-</v>
      </c>
      <c r="M30" s="12" t="str">
        <f t="shared" si="4"/>
        <v>-</v>
      </c>
      <c r="N30" s="12" t="str">
        <f t="shared" si="5"/>
        <v>-</v>
      </c>
      <c r="O30" s="12" t="str">
        <f t="shared" si="5"/>
        <v>-</v>
      </c>
      <c r="P30" s="12" t="str">
        <f t="shared" si="5"/>
        <v>-</v>
      </c>
      <c r="Q30" s="12" t="str">
        <f t="shared" si="5"/>
        <v>-</v>
      </c>
      <c r="R30" s="12" t="str">
        <f t="shared" si="5"/>
        <v>-</v>
      </c>
      <c r="S30" s="12" t="str">
        <f t="shared" si="5"/>
        <v>-</v>
      </c>
      <c r="T30" s="12" t="str">
        <f t="shared" si="5"/>
        <v>-</v>
      </c>
      <c r="U30" s="12" t="str">
        <f t="shared" si="5"/>
        <v>-</v>
      </c>
      <c r="V30" s="12" t="str">
        <f t="shared" si="5"/>
        <v>-</v>
      </c>
      <c r="W30" s="12" t="str">
        <f t="shared" si="5"/>
        <v>-</v>
      </c>
      <c r="X30" s="12" t="str">
        <f t="shared" si="6"/>
        <v>-</v>
      </c>
      <c r="Y30" s="12" t="str">
        <f t="shared" si="6"/>
        <v>-</v>
      </c>
      <c r="Z30" s="12" t="str">
        <f t="shared" si="6"/>
        <v>-</v>
      </c>
      <c r="AA30" s="12" t="str">
        <f t="shared" si="6"/>
        <v>-</v>
      </c>
      <c r="AB30" s="12" t="str">
        <f t="shared" si="6"/>
        <v>-</v>
      </c>
      <c r="AC30" s="12" t="str">
        <f t="shared" si="6"/>
        <v>-</v>
      </c>
      <c r="AD30" s="12" t="str">
        <f t="shared" si="6"/>
        <v>-</v>
      </c>
      <c r="AE30" s="12" t="str">
        <f t="shared" si="6"/>
        <v>-</v>
      </c>
      <c r="AF30" s="12" t="str">
        <f t="shared" si="6"/>
        <v>-</v>
      </c>
      <c r="AG30" s="12" t="str">
        <f t="shared" si="6"/>
        <v>-</v>
      </c>
      <c r="AJ30" s="160">
        <f t="shared" ca="1" si="7"/>
        <v>0</v>
      </c>
      <c r="AK30" s="12">
        <f t="shared" ca="1" si="8"/>
        <v>0</v>
      </c>
      <c r="AL30" s="12">
        <f t="shared" ca="1" si="9"/>
        <v>0</v>
      </c>
      <c r="AN30" s="28"/>
      <c r="AO30" s="78" t="s">
        <v>151</v>
      </c>
      <c r="AP30" s="179">
        <v>3</v>
      </c>
      <c r="AQ30" s="181" t="s">
        <v>60</v>
      </c>
      <c r="AR30" s="166">
        <v>0</v>
      </c>
      <c r="AS30" s="166">
        <v>0</v>
      </c>
      <c r="AT30" s="178" t="s">
        <v>388</v>
      </c>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row>
    <row r="31" spans="1:77" ht="15.75" customHeight="1" x14ac:dyDescent="0.3">
      <c r="A31" s="45" t="s">
        <v>182</v>
      </c>
      <c r="C31" s="12">
        <f t="shared" si="3"/>
        <v>1</v>
      </c>
      <c r="D31" s="12" t="str">
        <f t="shared" si="4"/>
        <v>-</v>
      </c>
      <c r="E31" s="12" t="str">
        <f t="shared" si="4"/>
        <v>-</v>
      </c>
      <c r="F31" s="12" t="str">
        <f t="shared" si="4"/>
        <v>-</v>
      </c>
      <c r="G31" s="12" t="str">
        <f t="shared" si="4"/>
        <v>-</v>
      </c>
      <c r="H31" s="12" t="str">
        <f t="shared" si="4"/>
        <v>-</v>
      </c>
      <c r="I31" s="12" t="str">
        <f t="shared" si="4"/>
        <v>-</v>
      </c>
      <c r="J31" s="12" t="str">
        <f t="shared" si="4"/>
        <v>-</v>
      </c>
      <c r="K31" s="12" t="str">
        <f t="shared" si="4"/>
        <v>-</v>
      </c>
      <c r="L31" s="12" t="str">
        <f t="shared" si="4"/>
        <v>-</v>
      </c>
      <c r="M31" s="12" t="str">
        <f t="shared" si="4"/>
        <v>-</v>
      </c>
      <c r="N31" s="12" t="str">
        <f t="shared" si="5"/>
        <v>-</v>
      </c>
      <c r="O31" s="12" t="str">
        <f t="shared" si="5"/>
        <v>-</v>
      </c>
      <c r="P31" s="12" t="str">
        <f t="shared" si="5"/>
        <v>-</v>
      </c>
      <c r="Q31" s="12" t="str">
        <f t="shared" si="5"/>
        <v>-</v>
      </c>
      <c r="R31" s="12" t="str">
        <f t="shared" si="5"/>
        <v>-</v>
      </c>
      <c r="S31" s="12" t="str">
        <f t="shared" si="5"/>
        <v>-</v>
      </c>
      <c r="T31" s="12" t="str">
        <f t="shared" si="5"/>
        <v>-</v>
      </c>
      <c r="U31" s="12" t="str">
        <f t="shared" si="5"/>
        <v>-</v>
      </c>
      <c r="V31" s="12" t="str">
        <f t="shared" si="5"/>
        <v>-</v>
      </c>
      <c r="W31" s="12" t="str">
        <f t="shared" si="5"/>
        <v>-</v>
      </c>
      <c r="X31" s="12" t="str">
        <f t="shared" si="6"/>
        <v>-</v>
      </c>
      <c r="Y31" s="12" t="str">
        <f t="shared" si="6"/>
        <v>-</v>
      </c>
      <c r="Z31" s="12" t="str">
        <f t="shared" si="6"/>
        <v>-</v>
      </c>
      <c r="AA31" s="12" t="str">
        <f t="shared" si="6"/>
        <v>-</v>
      </c>
      <c r="AB31" s="12" t="str">
        <f t="shared" si="6"/>
        <v>-</v>
      </c>
      <c r="AC31" s="12" t="str">
        <f t="shared" si="6"/>
        <v>-</v>
      </c>
      <c r="AD31" s="12" t="str">
        <f t="shared" si="6"/>
        <v>-</v>
      </c>
      <c r="AE31" s="12" t="str">
        <f t="shared" si="6"/>
        <v>-</v>
      </c>
      <c r="AF31" s="12" t="str">
        <f t="shared" si="6"/>
        <v>-</v>
      </c>
      <c r="AG31" s="12" t="str">
        <f t="shared" si="6"/>
        <v>-</v>
      </c>
      <c r="AJ31" s="160">
        <f t="shared" ca="1" si="7"/>
        <v>0</v>
      </c>
      <c r="AK31" s="12">
        <f t="shared" ca="1" si="8"/>
        <v>0</v>
      </c>
      <c r="AL31" s="12">
        <f t="shared" ca="1" si="9"/>
        <v>0</v>
      </c>
      <c r="AN31" s="28"/>
      <c r="AO31" s="78" t="s">
        <v>152</v>
      </c>
      <c r="AP31" s="179">
        <v>4</v>
      </c>
      <c r="AQ31" s="181" t="s">
        <v>60</v>
      </c>
      <c r="AR31" s="166">
        <v>0</v>
      </c>
      <c r="AS31" s="166">
        <v>0</v>
      </c>
      <c r="AT31" s="178" t="s">
        <v>388</v>
      </c>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row>
    <row r="32" spans="1:77" ht="15.75" customHeight="1" x14ac:dyDescent="0.3">
      <c r="A32" s="45" t="s">
        <v>235</v>
      </c>
      <c r="C32" s="12">
        <f t="shared" si="3"/>
        <v>1</v>
      </c>
      <c r="D32" s="12" t="str">
        <f t="shared" si="4"/>
        <v>-</v>
      </c>
      <c r="E32" s="12" t="str">
        <f t="shared" si="4"/>
        <v>-</v>
      </c>
      <c r="F32" s="12" t="str">
        <f t="shared" si="4"/>
        <v>-</v>
      </c>
      <c r="G32" s="12" t="str">
        <f t="shared" si="4"/>
        <v>-</v>
      </c>
      <c r="H32" s="12" t="str">
        <f t="shared" si="4"/>
        <v>-</v>
      </c>
      <c r="I32" s="12" t="str">
        <f t="shared" si="4"/>
        <v>-</v>
      </c>
      <c r="J32" s="12" t="str">
        <f t="shared" si="4"/>
        <v>-</v>
      </c>
      <c r="K32" s="12" t="str">
        <f t="shared" si="4"/>
        <v>-</v>
      </c>
      <c r="L32" s="12" t="str">
        <f t="shared" si="4"/>
        <v>-</v>
      </c>
      <c r="M32" s="12" t="str">
        <f t="shared" si="4"/>
        <v>-</v>
      </c>
      <c r="N32" s="12" t="str">
        <f t="shared" si="5"/>
        <v>-</v>
      </c>
      <c r="O32" s="12" t="str">
        <f t="shared" si="5"/>
        <v>-</v>
      </c>
      <c r="P32" s="12" t="str">
        <f t="shared" si="5"/>
        <v>-</v>
      </c>
      <c r="Q32" s="12" t="str">
        <f t="shared" si="5"/>
        <v>-</v>
      </c>
      <c r="R32" s="12" t="str">
        <f t="shared" si="5"/>
        <v>-</v>
      </c>
      <c r="S32" s="12" t="str">
        <f t="shared" si="5"/>
        <v>-</v>
      </c>
      <c r="T32" s="12" t="str">
        <f t="shared" si="5"/>
        <v>-</v>
      </c>
      <c r="U32" s="12" t="str">
        <f t="shared" si="5"/>
        <v>-</v>
      </c>
      <c r="V32" s="12" t="str">
        <f t="shared" si="5"/>
        <v>-</v>
      </c>
      <c r="W32" s="12" t="str">
        <f t="shared" si="5"/>
        <v>-</v>
      </c>
      <c r="X32" s="12" t="str">
        <f t="shared" si="6"/>
        <v>-</v>
      </c>
      <c r="Y32" s="12" t="str">
        <f t="shared" si="6"/>
        <v>-</v>
      </c>
      <c r="Z32" s="12" t="str">
        <f t="shared" si="6"/>
        <v>-</v>
      </c>
      <c r="AA32" s="12" t="str">
        <f t="shared" si="6"/>
        <v>-</v>
      </c>
      <c r="AB32" s="12" t="str">
        <f t="shared" si="6"/>
        <v>-</v>
      </c>
      <c r="AC32" s="12" t="str">
        <f t="shared" si="6"/>
        <v>-</v>
      </c>
      <c r="AD32" s="12" t="str">
        <f t="shared" si="6"/>
        <v>-</v>
      </c>
      <c r="AE32" s="12" t="str">
        <f t="shared" si="6"/>
        <v>-</v>
      </c>
      <c r="AF32" s="12" t="str">
        <f t="shared" si="6"/>
        <v>-</v>
      </c>
      <c r="AG32" s="12" t="str">
        <f t="shared" si="6"/>
        <v>-</v>
      </c>
      <c r="AJ32" s="160">
        <f t="shared" ca="1" si="7"/>
        <v>0</v>
      </c>
      <c r="AK32" s="12">
        <f t="shared" ca="1" si="8"/>
        <v>0</v>
      </c>
      <c r="AL32" s="12">
        <f t="shared" ca="1" si="9"/>
        <v>0</v>
      </c>
      <c r="AN32" s="28"/>
      <c r="AO32" s="78" t="s">
        <v>153</v>
      </c>
      <c r="AP32" s="179">
        <v>5</v>
      </c>
      <c r="AQ32" s="181" t="s">
        <v>60</v>
      </c>
      <c r="AR32" s="166">
        <v>0</v>
      </c>
      <c r="AS32" s="166">
        <v>0</v>
      </c>
      <c r="AT32" s="178" t="s">
        <v>388</v>
      </c>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157"/>
      <c r="BW32" s="157"/>
      <c r="BX32" s="157"/>
      <c r="BY32" s="157"/>
    </row>
    <row r="33" spans="1:77" ht="15.75" customHeight="1" x14ac:dyDescent="0.3">
      <c r="A33" s="45" t="s">
        <v>448</v>
      </c>
      <c r="C33" s="12">
        <f t="shared" si="3"/>
        <v>1</v>
      </c>
      <c r="D33" s="12" t="str">
        <f t="shared" si="4"/>
        <v>-</v>
      </c>
      <c r="E33" s="12" t="str">
        <f t="shared" si="4"/>
        <v>-</v>
      </c>
      <c r="F33" s="12" t="str">
        <f t="shared" si="4"/>
        <v>-</v>
      </c>
      <c r="G33" s="12" t="str">
        <f t="shared" si="4"/>
        <v>-</v>
      </c>
      <c r="H33" s="12" t="str">
        <f t="shared" si="4"/>
        <v>-</v>
      </c>
      <c r="I33" s="12" t="str">
        <f t="shared" si="4"/>
        <v>-</v>
      </c>
      <c r="J33" s="12" t="str">
        <f t="shared" si="4"/>
        <v>-</v>
      </c>
      <c r="K33" s="12" t="str">
        <f t="shared" si="4"/>
        <v>-</v>
      </c>
      <c r="L33" s="12" t="str">
        <f t="shared" si="4"/>
        <v>-</v>
      </c>
      <c r="M33" s="12" t="str">
        <f t="shared" si="4"/>
        <v>-</v>
      </c>
      <c r="N33" s="12" t="str">
        <f t="shared" si="5"/>
        <v>-</v>
      </c>
      <c r="O33" s="12" t="str">
        <f t="shared" si="5"/>
        <v>-</v>
      </c>
      <c r="P33" s="12" t="str">
        <f t="shared" si="5"/>
        <v>-</v>
      </c>
      <c r="Q33" s="12" t="str">
        <f t="shared" si="5"/>
        <v>-</v>
      </c>
      <c r="R33" s="12" t="str">
        <f t="shared" si="5"/>
        <v>-</v>
      </c>
      <c r="S33" s="12" t="str">
        <f t="shared" si="5"/>
        <v>-</v>
      </c>
      <c r="T33" s="12" t="str">
        <f t="shared" si="5"/>
        <v>-</v>
      </c>
      <c r="U33" s="12" t="str">
        <f t="shared" si="5"/>
        <v>-</v>
      </c>
      <c r="V33" s="12" t="str">
        <f t="shared" si="5"/>
        <v>-</v>
      </c>
      <c r="W33" s="12" t="str">
        <f t="shared" si="5"/>
        <v>-</v>
      </c>
      <c r="X33" s="12" t="str">
        <f t="shared" si="6"/>
        <v>-</v>
      </c>
      <c r="Y33" s="12" t="str">
        <f t="shared" si="6"/>
        <v>-</v>
      </c>
      <c r="Z33" s="12" t="str">
        <f t="shared" si="6"/>
        <v>-</v>
      </c>
      <c r="AA33" s="12" t="str">
        <f t="shared" si="6"/>
        <v>-</v>
      </c>
      <c r="AB33" s="12" t="str">
        <f t="shared" si="6"/>
        <v>-</v>
      </c>
      <c r="AC33" s="12" t="str">
        <f t="shared" si="6"/>
        <v>-</v>
      </c>
      <c r="AD33" s="12" t="str">
        <f t="shared" si="6"/>
        <v>-</v>
      </c>
      <c r="AE33" s="12" t="str">
        <f t="shared" si="6"/>
        <v>-</v>
      </c>
      <c r="AF33" s="12" t="str">
        <f t="shared" si="6"/>
        <v>-</v>
      </c>
      <c r="AG33" s="12" t="str">
        <f t="shared" si="6"/>
        <v>-</v>
      </c>
      <c r="AJ33" s="160">
        <f t="shared" ca="1" si="7"/>
        <v>0</v>
      </c>
      <c r="AK33" s="12">
        <f t="shared" ca="1" si="8"/>
        <v>0</v>
      </c>
      <c r="AL33" s="12">
        <f t="shared" ca="1" si="9"/>
        <v>0</v>
      </c>
      <c r="AN33" s="28"/>
      <c r="AO33" s="78" t="s">
        <v>154</v>
      </c>
      <c r="AP33" s="179">
        <v>6</v>
      </c>
      <c r="AQ33" s="181" t="s">
        <v>60</v>
      </c>
      <c r="AR33" s="166">
        <v>0</v>
      </c>
      <c r="AS33" s="166">
        <v>0</v>
      </c>
      <c r="AT33" s="178" t="s">
        <v>388</v>
      </c>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157"/>
      <c r="BW33" s="157"/>
      <c r="BX33" s="157"/>
      <c r="BY33" s="157"/>
    </row>
    <row r="34" spans="1:77" ht="15.75" customHeight="1" x14ac:dyDescent="0.3">
      <c r="A34" s="45" t="s">
        <v>449</v>
      </c>
      <c r="C34" s="12">
        <f t="shared" si="3"/>
        <v>1</v>
      </c>
      <c r="D34" s="12" t="str">
        <f t="shared" si="4"/>
        <v>-</v>
      </c>
      <c r="E34" s="12" t="str">
        <f t="shared" si="4"/>
        <v>-</v>
      </c>
      <c r="F34" s="12" t="str">
        <f t="shared" si="4"/>
        <v>-</v>
      </c>
      <c r="G34" s="12" t="str">
        <f t="shared" si="4"/>
        <v>-</v>
      </c>
      <c r="H34" s="12" t="str">
        <f t="shared" si="4"/>
        <v>-</v>
      </c>
      <c r="I34" s="12" t="str">
        <f t="shared" si="4"/>
        <v>-</v>
      </c>
      <c r="J34" s="12" t="str">
        <f t="shared" si="4"/>
        <v>-</v>
      </c>
      <c r="K34" s="12" t="str">
        <f t="shared" si="4"/>
        <v>-</v>
      </c>
      <c r="L34" s="12" t="str">
        <f t="shared" si="4"/>
        <v>-</v>
      </c>
      <c r="M34" s="12" t="str">
        <f t="shared" si="4"/>
        <v>-</v>
      </c>
      <c r="N34" s="12" t="str">
        <f t="shared" si="5"/>
        <v>-</v>
      </c>
      <c r="O34" s="12" t="str">
        <f t="shared" si="5"/>
        <v>-</v>
      </c>
      <c r="P34" s="12" t="str">
        <f t="shared" si="5"/>
        <v>-</v>
      </c>
      <c r="Q34" s="12" t="str">
        <f t="shared" si="5"/>
        <v>-</v>
      </c>
      <c r="R34" s="12" t="str">
        <f t="shared" si="5"/>
        <v>-</v>
      </c>
      <c r="S34" s="12" t="str">
        <f t="shared" si="5"/>
        <v>-</v>
      </c>
      <c r="T34" s="12" t="str">
        <f t="shared" si="5"/>
        <v>-</v>
      </c>
      <c r="U34" s="12" t="str">
        <f t="shared" si="5"/>
        <v>-</v>
      </c>
      <c r="V34" s="12" t="str">
        <f t="shared" si="5"/>
        <v>-</v>
      </c>
      <c r="W34" s="12" t="str">
        <f t="shared" si="5"/>
        <v>-</v>
      </c>
      <c r="X34" s="12" t="str">
        <f t="shared" si="6"/>
        <v>-</v>
      </c>
      <c r="Y34" s="12" t="str">
        <f t="shared" si="6"/>
        <v>-</v>
      </c>
      <c r="Z34" s="12" t="str">
        <f t="shared" si="6"/>
        <v>-</v>
      </c>
      <c r="AA34" s="12" t="str">
        <f t="shared" si="6"/>
        <v>-</v>
      </c>
      <c r="AB34" s="12" t="str">
        <f t="shared" si="6"/>
        <v>-</v>
      </c>
      <c r="AC34" s="12" t="str">
        <f t="shared" si="6"/>
        <v>-</v>
      </c>
      <c r="AD34" s="12" t="str">
        <f t="shared" si="6"/>
        <v>-</v>
      </c>
      <c r="AE34" s="12" t="str">
        <f t="shared" si="6"/>
        <v>-</v>
      </c>
      <c r="AF34" s="12" t="str">
        <f t="shared" si="6"/>
        <v>-</v>
      </c>
      <c r="AG34" s="12" t="str">
        <f t="shared" si="6"/>
        <v>-</v>
      </c>
      <c r="AJ34" s="160">
        <f t="shared" ca="1" si="7"/>
        <v>0</v>
      </c>
      <c r="AK34" s="12">
        <f t="shared" ref="AK34:AK37" ca="1" si="10">AJ34*AR34</f>
        <v>0</v>
      </c>
      <c r="AL34" s="12">
        <f ca="1">AJ34*AS34</f>
        <v>0</v>
      </c>
      <c r="AN34" s="28"/>
      <c r="AO34" s="78" t="s">
        <v>155</v>
      </c>
      <c r="AP34" s="179">
        <v>7</v>
      </c>
      <c r="AQ34" s="181" t="s">
        <v>60</v>
      </c>
      <c r="AR34" s="166">
        <v>0</v>
      </c>
      <c r="AS34" s="166">
        <v>0</v>
      </c>
      <c r="AT34" s="178" t="s">
        <v>388</v>
      </c>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row>
    <row r="35" spans="1:77" ht="15.75" customHeight="1" x14ac:dyDescent="0.3">
      <c r="A35" s="45" t="s">
        <v>450</v>
      </c>
      <c r="C35" s="12">
        <f t="shared" si="3"/>
        <v>1</v>
      </c>
      <c r="D35" s="12" t="str">
        <f t="shared" ref="D35:M37" si="11">IF(AU35="","-",AU35*$AR35*AU$96)</f>
        <v>-</v>
      </c>
      <c r="E35" s="12" t="str">
        <f t="shared" si="11"/>
        <v>-</v>
      </c>
      <c r="F35" s="12" t="str">
        <f t="shared" si="11"/>
        <v>-</v>
      </c>
      <c r="G35" s="12" t="str">
        <f t="shared" si="11"/>
        <v>-</v>
      </c>
      <c r="H35" s="12" t="str">
        <f t="shared" si="11"/>
        <v>-</v>
      </c>
      <c r="I35" s="12" t="str">
        <f t="shared" si="11"/>
        <v>-</v>
      </c>
      <c r="J35" s="12" t="str">
        <f t="shared" si="11"/>
        <v>-</v>
      </c>
      <c r="K35" s="12" t="str">
        <f t="shared" si="11"/>
        <v>-</v>
      </c>
      <c r="L35" s="12" t="str">
        <f t="shared" si="11"/>
        <v>-</v>
      </c>
      <c r="M35" s="12" t="str">
        <f t="shared" si="11"/>
        <v>-</v>
      </c>
      <c r="N35" s="12" t="str">
        <f t="shared" ref="N35:W37" si="12">IF(BE35="","-",BE35*$AR35*BE$96)</f>
        <v>-</v>
      </c>
      <c r="O35" s="12" t="str">
        <f t="shared" si="12"/>
        <v>-</v>
      </c>
      <c r="P35" s="12" t="str">
        <f t="shared" si="12"/>
        <v>-</v>
      </c>
      <c r="Q35" s="12" t="str">
        <f t="shared" si="12"/>
        <v>-</v>
      </c>
      <c r="R35" s="12" t="str">
        <f t="shared" si="12"/>
        <v>-</v>
      </c>
      <c r="S35" s="12" t="str">
        <f t="shared" si="12"/>
        <v>-</v>
      </c>
      <c r="T35" s="12" t="str">
        <f t="shared" si="12"/>
        <v>-</v>
      </c>
      <c r="U35" s="12" t="str">
        <f t="shared" si="12"/>
        <v>-</v>
      </c>
      <c r="V35" s="12" t="str">
        <f t="shared" si="12"/>
        <v>-</v>
      </c>
      <c r="W35" s="12" t="str">
        <f t="shared" si="12"/>
        <v>-</v>
      </c>
      <c r="X35" s="12" t="str">
        <f t="shared" ref="X35:AF37" si="13">IF(BO35="","-",BO35*$AR35*BO$96)</f>
        <v>-</v>
      </c>
      <c r="Y35" s="12" t="str">
        <f t="shared" si="13"/>
        <v>-</v>
      </c>
      <c r="Z35" s="12" t="str">
        <f t="shared" si="13"/>
        <v>-</v>
      </c>
      <c r="AA35" s="12" t="str">
        <f t="shared" si="13"/>
        <v>-</v>
      </c>
      <c r="AB35" s="12" t="str">
        <f t="shared" si="13"/>
        <v>-</v>
      </c>
      <c r="AC35" s="12" t="str">
        <f t="shared" si="13"/>
        <v>-</v>
      </c>
      <c r="AD35" s="12" t="str">
        <f t="shared" si="13"/>
        <v>-</v>
      </c>
      <c r="AE35" s="12" t="str">
        <f t="shared" si="13"/>
        <v>-</v>
      </c>
      <c r="AF35" s="12" t="str">
        <f t="shared" si="13"/>
        <v>-</v>
      </c>
      <c r="AG35" s="12" t="str">
        <f>IF(BD35="","-",BD35*$AR35*BD$96)</f>
        <v>-</v>
      </c>
      <c r="AJ35" s="160">
        <f t="shared" ca="1" si="7"/>
        <v>0</v>
      </c>
      <c r="AK35" s="12">
        <f t="shared" ca="1" si="10"/>
        <v>0</v>
      </c>
      <c r="AL35" s="12">
        <f ca="1">AJ35*AS35</f>
        <v>0</v>
      </c>
      <c r="AN35" s="28"/>
      <c r="AO35" s="78" t="s">
        <v>156</v>
      </c>
      <c r="AP35" s="179">
        <v>8</v>
      </c>
      <c r="AQ35" s="181" t="s">
        <v>60</v>
      </c>
      <c r="AR35" s="166">
        <v>0</v>
      </c>
      <c r="AS35" s="166">
        <v>0</v>
      </c>
      <c r="AT35" s="178" t="s">
        <v>388</v>
      </c>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row>
    <row r="36" spans="1:77" ht="15.75" customHeight="1" x14ac:dyDescent="0.3">
      <c r="A36" s="45" t="s">
        <v>451</v>
      </c>
      <c r="C36" s="12">
        <f t="shared" si="3"/>
        <v>1</v>
      </c>
      <c r="D36" s="12" t="str">
        <f t="shared" si="11"/>
        <v>-</v>
      </c>
      <c r="E36" s="12" t="str">
        <f t="shared" si="11"/>
        <v>-</v>
      </c>
      <c r="F36" s="12" t="str">
        <f t="shared" si="11"/>
        <v>-</v>
      </c>
      <c r="G36" s="12" t="str">
        <f t="shared" si="11"/>
        <v>-</v>
      </c>
      <c r="H36" s="12" t="str">
        <f t="shared" si="11"/>
        <v>-</v>
      </c>
      <c r="I36" s="12" t="str">
        <f t="shared" si="11"/>
        <v>-</v>
      </c>
      <c r="J36" s="12" t="str">
        <f t="shared" si="11"/>
        <v>-</v>
      </c>
      <c r="K36" s="12" t="str">
        <f t="shared" si="11"/>
        <v>-</v>
      </c>
      <c r="L36" s="12" t="str">
        <f t="shared" si="11"/>
        <v>-</v>
      </c>
      <c r="M36" s="12" t="str">
        <f t="shared" si="11"/>
        <v>-</v>
      </c>
      <c r="N36" s="12" t="str">
        <f t="shared" si="12"/>
        <v>-</v>
      </c>
      <c r="O36" s="12" t="str">
        <f t="shared" si="12"/>
        <v>-</v>
      </c>
      <c r="P36" s="12" t="str">
        <f t="shared" si="12"/>
        <v>-</v>
      </c>
      <c r="Q36" s="12" t="str">
        <f t="shared" si="12"/>
        <v>-</v>
      </c>
      <c r="R36" s="12" t="str">
        <f t="shared" si="12"/>
        <v>-</v>
      </c>
      <c r="S36" s="12" t="str">
        <f t="shared" si="12"/>
        <v>-</v>
      </c>
      <c r="T36" s="12" t="str">
        <f t="shared" si="12"/>
        <v>-</v>
      </c>
      <c r="U36" s="12" t="str">
        <f t="shared" si="12"/>
        <v>-</v>
      </c>
      <c r="V36" s="12" t="str">
        <f t="shared" si="12"/>
        <v>-</v>
      </c>
      <c r="W36" s="12" t="str">
        <f t="shared" si="12"/>
        <v>-</v>
      </c>
      <c r="X36" s="12" t="str">
        <f t="shared" si="13"/>
        <v>-</v>
      </c>
      <c r="Y36" s="12" t="str">
        <f t="shared" si="13"/>
        <v>-</v>
      </c>
      <c r="Z36" s="12" t="str">
        <f t="shared" si="13"/>
        <v>-</v>
      </c>
      <c r="AA36" s="12" t="str">
        <f t="shared" si="13"/>
        <v>-</v>
      </c>
      <c r="AB36" s="12" t="str">
        <f t="shared" si="13"/>
        <v>-</v>
      </c>
      <c r="AC36" s="12" t="str">
        <f t="shared" si="13"/>
        <v>-</v>
      </c>
      <c r="AD36" s="12" t="str">
        <f t="shared" si="13"/>
        <v>-</v>
      </c>
      <c r="AE36" s="12" t="str">
        <f t="shared" si="13"/>
        <v>-</v>
      </c>
      <c r="AF36" s="12" t="str">
        <f t="shared" si="13"/>
        <v>-</v>
      </c>
      <c r="AG36" s="12" t="str">
        <f>IF(BD36="","-",BD36*$AR36*BD$96)</f>
        <v>-</v>
      </c>
      <c r="AJ36" s="160">
        <f t="shared" ca="1" si="7"/>
        <v>0</v>
      </c>
      <c r="AK36" s="12">
        <f t="shared" ca="1" si="10"/>
        <v>0</v>
      </c>
      <c r="AL36" s="12">
        <f ca="1">AJ36*AS36</f>
        <v>0</v>
      </c>
      <c r="AN36" s="28"/>
      <c r="AO36" s="78" t="s">
        <v>157</v>
      </c>
      <c r="AP36" s="179">
        <v>9</v>
      </c>
      <c r="AQ36" s="181" t="s">
        <v>60</v>
      </c>
      <c r="AR36" s="166">
        <v>0</v>
      </c>
      <c r="AS36" s="166">
        <v>0</v>
      </c>
      <c r="AT36" s="178" t="s">
        <v>388</v>
      </c>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57"/>
      <c r="BX36" s="157"/>
      <c r="BY36" s="157"/>
    </row>
    <row r="37" spans="1:77" ht="15.75" customHeight="1" x14ac:dyDescent="0.3">
      <c r="A37" s="45" t="s">
        <v>452</v>
      </c>
      <c r="C37" s="12">
        <f t="shared" si="3"/>
        <v>1</v>
      </c>
      <c r="D37" s="12" t="str">
        <f t="shared" si="11"/>
        <v>-</v>
      </c>
      <c r="E37" s="12" t="str">
        <f t="shared" si="11"/>
        <v>-</v>
      </c>
      <c r="F37" s="12" t="str">
        <f t="shared" si="11"/>
        <v>-</v>
      </c>
      <c r="G37" s="12" t="str">
        <f t="shared" si="11"/>
        <v>-</v>
      </c>
      <c r="H37" s="12" t="str">
        <f t="shared" si="11"/>
        <v>-</v>
      </c>
      <c r="I37" s="12" t="str">
        <f t="shared" si="11"/>
        <v>-</v>
      </c>
      <c r="J37" s="12" t="str">
        <f t="shared" si="11"/>
        <v>-</v>
      </c>
      <c r="K37" s="12" t="str">
        <f t="shared" si="11"/>
        <v>-</v>
      </c>
      <c r="L37" s="12" t="str">
        <f t="shared" si="11"/>
        <v>-</v>
      </c>
      <c r="M37" s="12" t="str">
        <f t="shared" si="11"/>
        <v>-</v>
      </c>
      <c r="N37" s="12" t="str">
        <f t="shared" si="12"/>
        <v>-</v>
      </c>
      <c r="O37" s="12" t="str">
        <f t="shared" si="12"/>
        <v>-</v>
      </c>
      <c r="P37" s="12" t="str">
        <f t="shared" si="12"/>
        <v>-</v>
      </c>
      <c r="Q37" s="12" t="str">
        <f t="shared" si="12"/>
        <v>-</v>
      </c>
      <c r="R37" s="12" t="str">
        <f t="shared" si="12"/>
        <v>-</v>
      </c>
      <c r="S37" s="12" t="str">
        <f t="shared" si="12"/>
        <v>-</v>
      </c>
      <c r="T37" s="12" t="str">
        <f t="shared" si="12"/>
        <v>-</v>
      </c>
      <c r="U37" s="12" t="str">
        <f t="shared" si="12"/>
        <v>-</v>
      </c>
      <c r="V37" s="12" t="str">
        <f t="shared" si="12"/>
        <v>-</v>
      </c>
      <c r="W37" s="12" t="str">
        <f t="shared" si="12"/>
        <v>-</v>
      </c>
      <c r="X37" s="12" t="str">
        <f t="shared" si="13"/>
        <v>-</v>
      </c>
      <c r="Y37" s="12" t="str">
        <f t="shared" si="13"/>
        <v>-</v>
      </c>
      <c r="Z37" s="12" t="str">
        <f t="shared" si="13"/>
        <v>-</v>
      </c>
      <c r="AA37" s="12" t="str">
        <f t="shared" si="13"/>
        <v>-</v>
      </c>
      <c r="AB37" s="12" t="str">
        <f t="shared" si="13"/>
        <v>-</v>
      </c>
      <c r="AC37" s="12" t="str">
        <f t="shared" si="13"/>
        <v>-</v>
      </c>
      <c r="AD37" s="12" t="str">
        <f t="shared" si="13"/>
        <v>-</v>
      </c>
      <c r="AE37" s="12" t="str">
        <f t="shared" si="13"/>
        <v>-</v>
      </c>
      <c r="AF37" s="12" t="str">
        <f t="shared" si="13"/>
        <v>-</v>
      </c>
      <c r="AG37" s="12" t="str">
        <f>IF(BD37="","-",BD37*$AR37*BD$96)</f>
        <v>-</v>
      </c>
      <c r="AJ37" s="160">
        <f t="shared" ca="1" si="7"/>
        <v>0</v>
      </c>
      <c r="AK37" s="12">
        <f t="shared" ca="1" si="10"/>
        <v>0</v>
      </c>
      <c r="AL37" s="12">
        <f ca="1">AJ37*AS37</f>
        <v>0</v>
      </c>
      <c r="AN37" s="28"/>
      <c r="AO37" s="78" t="s">
        <v>158</v>
      </c>
      <c r="AP37" s="180">
        <v>10</v>
      </c>
      <c r="AQ37" s="181" t="s">
        <v>60</v>
      </c>
      <c r="AR37" s="166">
        <v>0</v>
      </c>
      <c r="AS37" s="166">
        <v>0</v>
      </c>
      <c r="AT37" s="178" t="s">
        <v>388</v>
      </c>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57"/>
      <c r="BX37" s="157"/>
      <c r="BY37" s="157"/>
    </row>
    <row r="38" spans="1:77" ht="18.75" customHeight="1" x14ac:dyDescent="0.3">
      <c r="A38" s="45" t="s">
        <v>184</v>
      </c>
      <c r="AN38" s="28"/>
      <c r="AO38" s="151" t="str">
        <f>INDEX(g_lang_val,MATCH("so_2_1_3",g_lang_key,0))</f>
        <v>Gennemførelsesfase</v>
      </c>
      <c r="AP38" s="62"/>
      <c r="AQ38" s="62"/>
      <c r="AR38" s="85"/>
      <c r="AS38" s="85"/>
      <c r="AT38" s="79"/>
      <c r="AU38" s="167">
        <f t="shared" ref="AU38:BY38" ca="1" si="14">IF(AU$22="","",SUMIF($A:$A,$A38&amp;"_*",AU:AU))</f>
        <v>0</v>
      </c>
      <c r="AV38" s="167">
        <f t="shared" ca="1" si="14"/>
        <v>0</v>
      </c>
      <c r="AW38" s="167">
        <f t="shared" ca="1" si="14"/>
        <v>0</v>
      </c>
      <c r="AX38" s="167">
        <f t="shared" ca="1" si="14"/>
        <v>0</v>
      </c>
      <c r="AY38" s="167" t="str">
        <f t="shared" ca="1" si="14"/>
        <v/>
      </c>
      <c r="AZ38" s="167" t="str">
        <f t="shared" ca="1" si="14"/>
        <v/>
      </c>
      <c r="BA38" s="167" t="str">
        <f t="shared" ca="1" si="14"/>
        <v/>
      </c>
      <c r="BB38" s="167" t="str">
        <f t="shared" ca="1" si="14"/>
        <v/>
      </c>
      <c r="BC38" s="167" t="str">
        <f t="shared" ca="1" si="14"/>
        <v/>
      </c>
      <c r="BD38" s="167" t="str">
        <f t="shared" ca="1" si="14"/>
        <v/>
      </c>
      <c r="BE38" s="167" t="str">
        <f t="shared" ca="1" si="14"/>
        <v/>
      </c>
      <c r="BF38" s="167" t="str">
        <f t="shared" ca="1" si="14"/>
        <v/>
      </c>
      <c r="BG38" s="167" t="str">
        <f t="shared" ca="1" si="14"/>
        <v/>
      </c>
      <c r="BH38" s="167" t="str">
        <f t="shared" ca="1" si="14"/>
        <v/>
      </c>
      <c r="BI38" s="167" t="str">
        <f t="shared" ca="1" si="14"/>
        <v/>
      </c>
      <c r="BJ38" s="167" t="str">
        <f t="shared" ca="1" si="14"/>
        <v/>
      </c>
      <c r="BK38" s="167" t="str">
        <f t="shared" ca="1" si="14"/>
        <v/>
      </c>
      <c r="BL38" s="167" t="str">
        <f t="shared" ca="1" si="14"/>
        <v/>
      </c>
      <c r="BM38" s="167" t="str">
        <f t="shared" ca="1" si="14"/>
        <v/>
      </c>
      <c r="BN38" s="167" t="str">
        <f t="shared" ca="1" si="14"/>
        <v/>
      </c>
      <c r="BO38" s="167" t="str">
        <f t="shared" ca="1" si="14"/>
        <v/>
      </c>
      <c r="BP38" s="167" t="str">
        <f t="shared" ca="1" si="14"/>
        <v/>
      </c>
      <c r="BQ38" s="167" t="str">
        <f t="shared" ca="1" si="14"/>
        <v/>
      </c>
      <c r="BR38" s="167" t="str">
        <f t="shared" ca="1" si="14"/>
        <v/>
      </c>
      <c r="BS38" s="167" t="str">
        <f t="shared" ca="1" si="14"/>
        <v/>
      </c>
      <c r="BT38" s="167" t="str">
        <f t="shared" ca="1" si="14"/>
        <v/>
      </c>
      <c r="BU38" s="167" t="str">
        <f t="shared" ca="1" si="14"/>
        <v/>
      </c>
      <c r="BV38" s="167" t="str">
        <f t="shared" ca="1" si="14"/>
        <v/>
      </c>
      <c r="BW38" s="167" t="str">
        <f t="shared" ca="1" si="14"/>
        <v/>
      </c>
      <c r="BX38" s="167" t="str">
        <f t="shared" ca="1" si="14"/>
        <v/>
      </c>
      <c r="BY38" s="167" t="str">
        <f t="shared" ca="1" si="14"/>
        <v/>
      </c>
    </row>
    <row r="39" spans="1:77" ht="15.75" customHeight="1" x14ac:dyDescent="0.3">
      <c r="A39" s="45" t="s">
        <v>185</v>
      </c>
      <c r="C39" s="12">
        <f t="shared" ref="C39" si="15">IF(AQ39&lt;&gt;"",MATCH(AQ39,g_assets_sc_1,0),"")</f>
        <v>1</v>
      </c>
      <c r="D39" s="12" t="str">
        <f t="shared" ref="D39:AF39" si="16">IF(AU39="","-",AU39*$AR39*AU$96)</f>
        <v>-</v>
      </c>
      <c r="E39" s="12" t="str">
        <f t="shared" si="16"/>
        <v>-</v>
      </c>
      <c r="F39" s="12" t="str">
        <f t="shared" si="16"/>
        <v>-</v>
      </c>
      <c r="G39" s="12" t="str">
        <f t="shared" si="16"/>
        <v>-</v>
      </c>
      <c r="H39" s="12" t="str">
        <f t="shared" si="16"/>
        <v>-</v>
      </c>
      <c r="I39" s="12" t="str">
        <f t="shared" si="16"/>
        <v>-</v>
      </c>
      <c r="J39" s="12" t="str">
        <f t="shared" si="16"/>
        <v>-</v>
      </c>
      <c r="K39" s="12" t="str">
        <f t="shared" si="16"/>
        <v>-</v>
      </c>
      <c r="L39" s="12" t="str">
        <f t="shared" si="16"/>
        <v>-</v>
      </c>
      <c r="M39" s="12" t="str">
        <f t="shared" si="16"/>
        <v>-</v>
      </c>
      <c r="N39" s="12" t="str">
        <f t="shared" si="16"/>
        <v>-</v>
      </c>
      <c r="O39" s="12" t="str">
        <f t="shared" si="16"/>
        <v>-</v>
      </c>
      <c r="P39" s="12" t="str">
        <f t="shared" si="16"/>
        <v>-</v>
      </c>
      <c r="Q39" s="12" t="str">
        <f t="shared" si="16"/>
        <v>-</v>
      </c>
      <c r="R39" s="12" t="str">
        <f t="shared" si="16"/>
        <v>-</v>
      </c>
      <c r="S39" s="12" t="str">
        <f t="shared" si="16"/>
        <v>-</v>
      </c>
      <c r="T39" s="12" t="str">
        <f t="shared" si="16"/>
        <v>-</v>
      </c>
      <c r="U39" s="12" t="str">
        <f t="shared" si="16"/>
        <v>-</v>
      </c>
      <c r="V39" s="12" t="str">
        <f t="shared" si="16"/>
        <v>-</v>
      </c>
      <c r="W39" s="12" t="str">
        <f t="shared" si="16"/>
        <v>-</v>
      </c>
      <c r="X39" s="12" t="str">
        <f t="shared" si="16"/>
        <v>-</v>
      </c>
      <c r="Y39" s="12" t="str">
        <f t="shared" si="16"/>
        <v>-</v>
      </c>
      <c r="Z39" s="12" t="str">
        <f t="shared" si="16"/>
        <v>-</v>
      </c>
      <c r="AA39" s="12" t="str">
        <f t="shared" si="16"/>
        <v>-</v>
      </c>
      <c r="AB39" s="12" t="str">
        <f t="shared" si="16"/>
        <v>-</v>
      </c>
      <c r="AC39" s="12" t="str">
        <f t="shared" si="16"/>
        <v>-</v>
      </c>
      <c r="AD39" s="12" t="str">
        <f t="shared" si="16"/>
        <v>-</v>
      </c>
      <c r="AE39" s="12" t="str">
        <f t="shared" si="16"/>
        <v>-</v>
      </c>
      <c r="AF39" s="12" t="str">
        <f t="shared" si="16"/>
        <v>-</v>
      </c>
      <c r="AG39" s="12" t="str">
        <f>IF(BD39="","-",BD39*$AR39*BD$96)</f>
        <v>-</v>
      </c>
      <c r="AJ39" s="160">
        <f ca="1">SUMPRODUCT(AU39:BN39,AU$96:BN$96)</f>
        <v>0</v>
      </c>
      <c r="AK39" s="12">
        <f t="shared" ref="AK39" ca="1" si="17">AJ39*AR39</f>
        <v>0</v>
      </c>
      <c r="AL39" s="12">
        <f t="shared" ref="AL39" ca="1" si="18">AJ39*AS39</f>
        <v>0</v>
      </c>
      <c r="AN39" s="28"/>
      <c r="AO39" s="48" t="s">
        <v>159</v>
      </c>
      <c r="AP39" s="179"/>
      <c r="AQ39" s="181" t="s">
        <v>60</v>
      </c>
      <c r="AR39" s="166">
        <v>0</v>
      </c>
      <c r="AS39" s="166">
        <v>0</v>
      </c>
      <c r="AT39" s="178" t="s">
        <v>388</v>
      </c>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BS39" s="157"/>
      <c r="BT39" s="157"/>
      <c r="BU39" s="157"/>
      <c r="BV39" s="157"/>
      <c r="BW39" s="157"/>
      <c r="BX39" s="157"/>
      <c r="BY39" s="157"/>
    </row>
    <row r="40" spans="1:77" ht="15.75" customHeight="1" x14ac:dyDescent="0.3">
      <c r="A40" s="45" t="s">
        <v>186</v>
      </c>
      <c r="C40" s="12">
        <f t="shared" ref="C40:C88" si="19">IF(AQ40&lt;&gt;"",MATCH(AQ40,g_assets_sc_1,0),"")</f>
        <v>1</v>
      </c>
      <c r="D40" s="12" t="str">
        <f t="shared" ref="D40:D88" si="20">IF(AU40="","-",AU40*$AR40*AU$96)</f>
        <v>-</v>
      </c>
      <c r="E40" s="12" t="str">
        <f t="shared" ref="E40:E88" si="21">IF(AV40="","-",AV40*$AR40*AV$96)</f>
        <v>-</v>
      </c>
      <c r="F40" s="12" t="str">
        <f t="shared" ref="F40:F88" si="22">IF(AW40="","-",AW40*$AR40*AW$96)</f>
        <v>-</v>
      </c>
      <c r="G40" s="12" t="str">
        <f t="shared" ref="G40:G88" si="23">IF(AX40="","-",AX40*$AR40*AX$96)</f>
        <v>-</v>
      </c>
      <c r="H40" s="12" t="str">
        <f t="shared" ref="H40:H88" si="24">IF(AY40="","-",AY40*$AR40*AY$96)</f>
        <v>-</v>
      </c>
      <c r="I40" s="12" t="str">
        <f t="shared" ref="I40:I88" si="25">IF(AZ40="","-",AZ40*$AR40*AZ$96)</f>
        <v>-</v>
      </c>
      <c r="J40" s="12" t="str">
        <f t="shared" ref="J40:J88" si="26">IF(BA40="","-",BA40*$AR40*BA$96)</f>
        <v>-</v>
      </c>
      <c r="K40" s="12" t="str">
        <f t="shared" ref="K40:K88" si="27">IF(BB40="","-",BB40*$AR40*BB$96)</f>
        <v>-</v>
      </c>
      <c r="L40" s="12" t="str">
        <f t="shared" ref="L40:L88" si="28">IF(BC40="","-",BC40*$AR40*BC$96)</f>
        <v>-</v>
      </c>
      <c r="M40" s="12" t="str">
        <f t="shared" ref="M40:M88" si="29">IF(BD40="","-",BD40*$AR40*BD$96)</f>
        <v>-</v>
      </c>
      <c r="N40" s="12" t="str">
        <f t="shared" ref="N40:N88" si="30">IF(BE40="","-",BE40*$AR40*BE$96)</f>
        <v>-</v>
      </c>
      <c r="O40" s="12" t="str">
        <f t="shared" ref="O40:O88" si="31">IF(BF40="","-",BF40*$AR40*BF$96)</f>
        <v>-</v>
      </c>
      <c r="P40" s="12" t="str">
        <f t="shared" ref="P40:P88" si="32">IF(BG40="","-",BG40*$AR40*BG$96)</f>
        <v>-</v>
      </c>
      <c r="Q40" s="12" t="str">
        <f t="shared" ref="Q40:Q88" si="33">IF(BH40="","-",BH40*$AR40*BH$96)</f>
        <v>-</v>
      </c>
      <c r="R40" s="12" t="str">
        <f t="shared" ref="R40:R88" si="34">IF(BI40="","-",BI40*$AR40*BI$96)</f>
        <v>-</v>
      </c>
      <c r="S40" s="12" t="str">
        <f t="shared" ref="S40:S88" si="35">IF(BJ40="","-",BJ40*$AR40*BJ$96)</f>
        <v>-</v>
      </c>
      <c r="T40" s="12" t="str">
        <f t="shared" ref="T40:T88" si="36">IF(BK40="","-",BK40*$AR40*BK$96)</f>
        <v>-</v>
      </c>
      <c r="U40" s="12" t="str">
        <f t="shared" ref="U40:U88" si="37">IF(BL40="","-",BL40*$AR40*BL$96)</f>
        <v>-</v>
      </c>
      <c r="V40" s="12" t="str">
        <f t="shared" ref="V40:V88" si="38">IF(BM40="","-",BM40*$AR40*BM$96)</f>
        <v>-</v>
      </c>
      <c r="W40" s="12" t="str">
        <f t="shared" ref="W40:W88" si="39">IF(BN40="","-",BN40*$AR40*BN$96)</f>
        <v>-</v>
      </c>
      <c r="X40" s="12" t="str">
        <f t="shared" ref="X40:X88" si="40">IF(BO40="","-",BO40*$AR40*BO$96)</f>
        <v>-</v>
      </c>
      <c r="Y40" s="12" t="str">
        <f t="shared" ref="Y40:Y88" si="41">IF(BP40="","-",BP40*$AR40*BP$96)</f>
        <v>-</v>
      </c>
      <c r="Z40" s="12" t="str">
        <f t="shared" ref="Z40:Z88" si="42">IF(BQ40="","-",BQ40*$AR40*BQ$96)</f>
        <v>-</v>
      </c>
      <c r="AA40" s="12" t="str">
        <f t="shared" ref="AA40:AA88" si="43">IF(BR40="","-",BR40*$AR40*BR$96)</f>
        <v>-</v>
      </c>
      <c r="AB40" s="12" t="str">
        <f t="shared" ref="AB40:AB88" si="44">IF(BS40="","-",BS40*$AR40*BS$96)</f>
        <v>-</v>
      </c>
      <c r="AC40" s="12" t="str">
        <f t="shared" ref="AC40:AC88" si="45">IF(BT40="","-",BT40*$AR40*BT$96)</f>
        <v>-</v>
      </c>
      <c r="AD40" s="12" t="str">
        <f t="shared" ref="AD40:AD88" si="46">IF(BU40="","-",BU40*$AR40*BU$96)</f>
        <v>-</v>
      </c>
      <c r="AE40" s="12" t="str">
        <f t="shared" ref="AE40:AE88" si="47">IF(BV40="","-",BV40*$AR40*BV$96)</f>
        <v>-</v>
      </c>
      <c r="AF40" s="12" t="str">
        <f t="shared" ref="AF40:AF88" si="48">IF(BW40="","-",BW40*$AR40*BW$96)</f>
        <v>-</v>
      </c>
      <c r="AG40" s="12" t="str">
        <f t="shared" ref="AG40:AG88" si="49">IF(BD40="","-",BD40*$AR40*BD$96)</f>
        <v>-</v>
      </c>
      <c r="AJ40" s="160">
        <f t="shared" ref="AJ40:AJ88" ca="1" si="50">SUMPRODUCT(AU40:BN40,AU$96:BN$96)</f>
        <v>0</v>
      </c>
      <c r="AK40" s="12">
        <f t="shared" ref="AK40:AK88" ca="1" si="51">AJ40*AR40</f>
        <v>0</v>
      </c>
      <c r="AL40" s="12">
        <f t="shared" ref="AL40:AL88" ca="1" si="52">AJ40*AS40</f>
        <v>0</v>
      </c>
      <c r="AN40" s="28"/>
      <c r="AO40" s="78" t="s">
        <v>160</v>
      </c>
      <c r="AP40" s="179"/>
      <c r="AQ40" s="181" t="s">
        <v>60</v>
      </c>
      <c r="AR40" s="166">
        <v>0</v>
      </c>
      <c r="AS40" s="166">
        <v>0</v>
      </c>
      <c r="AT40" s="178" t="s">
        <v>388</v>
      </c>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7"/>
      <c r="BQ40" s="157"/>
      <c r="BR40" s="157"/>
      <c r="BS40" s="157"/>
      <c r="BT40" s="157"/>
      <c r="BU40" s="157"/>
      <c r="BV40" s="157"/>
      <c r="BW40" s="157"/>
      <c r="BX40" s="157"/>
      <c r="BY40" s="157"/>
    </row>
    <row r="41" spans="1:77" ht="15.75" customHeight="1" x14ac:dyDescent="0.3">
      <c r="A41" s="45" t="s">
        <v>187</v>
      </c>
      <c r="C41" s="12">
        <f t="shared" si="19"/>
        <v>1</v>
      </c>
      <c r="D41" s="12" t="str">
        <f t="shared" si="20"/>
        <v>-</v>
      </c>
      <c r="E41" s="12" t="str">
        <f t="shared" si="21"/>
        <v>-</v>
      </c>
      <c r="F41" s="12" t="str">
        <f t="shared" si="22"/>
        <v>-</v>
      </c>
      <c r="G41" s="12" t="str">
        <f t="shared" si="23"/>
        <v>-</v>
      </c>
      <c r="H41" s="12" t="str">
        <f t="shared" si="24"/>
        <v>-</v>
      </c>
      <c r="I41" s="12" t="str">
        <f t="shared" si="25"/>
        <v>-</v>
      </c>
      <c r="J41" s="12" t="str">
        <f t="shared" si="26"/>
        <v>-</v>
      </c>
      <c r="K41" s="12" t="str">
        <f t="shared" si="27"/>
        <v>-</v>
      </c>
      <c r="L41" s="12" t="str">
        <f t="shared" si="28"/>
        <v>-</v>
      </c>
      <c r="M41" s="12" t="str">
        <f t="shared" si="29"/>
        <v>-</v>
      </c>
      <c r="N41" s="12" t="str">
        <f t="shared" si="30"/>
        <v>-</v>
      </c>
      <c r="O41" s="12" t="str">
        <f t="shared" si="31"/>
        <v>-</v>
      </c>
      <c r="P41" s="12" t="str">
        <f t="shared" si="32"/>
        <v>-</v>
      </c>
      <c r="Q41" s="12" t="str">
        <f t="shared" si="33"/>
        <v>-</v>
      </c>
      <c r="R41" s="12" t="str">
        <f t="shared" si="34"/>
        <v>-</v>
      </c>
      <c r="S41" s="12" t="str">
        <f t="shared" si="35"/>
        <v>-</v>
      </c>
      <c r="T41" s="12" t="str">
        <f t="shared" si="36"/>
        <v>-</v>
      </c>
      <c r="U41" s="12" t="str">
        <f t="shared" si="37"/>
        <v>-</v>
      </c>
      <c r="V41" s="12" t="str">
        <f t="shared" si="38"/>
        <v>-</v>
      </c>
      <c r="W41" s="12" t="str">
        <f t="shared" si="39"/>
        <v>-</v>
      </c>
      <c r="X41" s="12" t="str">
        <f t="shared" si="40"/>
        <v>-</v>
      </c>
      <c r="Y41" s="12" t="str">
        <f t="shared" si="41"/>
        <v>-</v>
      </c>
      <c r="Z41" s="12" t="str">
        <f t="shared" si="42"/>
        <v>-</v>
      </c>
      <c r="AA41" s="12" t="str">
        <f t="shared" si="43"/>
        <v>-</v>
      </c>
      <c r="AB41" s="12" t="str">
        <f t="shared" si="44"/>
        <v>-</v>
      </c>
      <c r="AC41" s="12" t="str">
        <f t="shared" si="45"/>
        <v>-</v>
      </c>
      <c r="AD41" s="12" t="str">
        <f t="shared" si="46"/>
        <v>-</v>
      </c>
      <c r="AE41" s="12" t="str">
        <f t="shared" si="47"/>
        <v>-</v>
      </c>
      <c r="AF41" s="12" t="str">
        <f t="shared" si="48"/>
        <v>-</v>
      </c>
      <c r="AG41" s="12" t="str">
        <f t="shared" si="49"/>
        <v>-</v>
      </c>
      <c r="AJ41" s="160">
        <f t="shared" ca="1" si="50"/>
        <v>0</v>
      </c>
      <c r="AK41" s="12">
        <f t="shared" ca="1" si="51"/>
        <v>0</v>
      </c>
      <c r="AL41" s="12">
        <f t="shared" ca="1" si="52"/>
        <v>0</v>
      </c>
      <c r="AN41" s="28"/>
      <c r="AO41" s="78" t="s">
        <v>161</v>
      </c>
      <c r="AP41" s="179"/>
      <c r="AQ41" s="181" t="s">
        <v>60</v>
      </c>
      <c r="AR41" s="166">
        <v>0</v>
      </c>
      <c r="AS41" s="166">
        <v>0</v>
      </c>
      <c r="AT41" s="178" t="s">
        <v>388</v>
      </c>
      <c r="AU41" s="157"/>
      <c r="AV41" s="157"/>
      <c r="AW41" s="157"/>
      <c r="AX41" s="157"/>
      <c r="AY41" s="157"/>
      <c r="AZ41" s="157"/>
      <c r="BA41" s="157"/>
      <c r="BB41" s="157"/>
      <c r="BC41" s="157"/>
      <c r="BD41" s="157"/>
      <c r="BE41" s="157"/>
      <c r="BF41" s="157"/>
      <c r="BG41" s="157"/>
      <c r="BH41" s="157"/>
      <c r="BI41" s="157"/>
      <c r="BJ41" s="157"/>
      <c r="BK41" s="157"/>
      <c r="BL41" s="157"/>
      <c r="BM41" s="157"/>
      <c r="BN41" s="157"/>
      <c r="BO41" s="157"/>
      <c r="BP41" s="157"/>
      <c r="BQ41" s="157"/>
      <c r="BR41" s="157"/>
      <c r="BS41" s="157"/>
      <c r="BT41" s="157"/>
      <c r="BU41" s="157"/>
      <c r="BV41" s="157"/>
      <c r="BW41" s="157"/>
      <c r="BX41" s="157"/>
      <c r="BY41" s="157"/>
    </row>
    <row r="42" spans="1:77" ht="15.75" customHeight="1" x14ac:dyDescent="0.3">
      <c r="A42" s="45" t="s">
        <v>188</v>
      </c>
      <c r="C42" s="12">
        <f t="shared" si="19"/>
        <v>1</v>
      </c>
      <c r="D42" s="12" t="str">
        <f t="shared" si="20"/>
        <v>-</v>
      </c>
      <c r="E42" s="12" t="str">
        <f t="shared" si="21"/>
        <v>-</v>
      </c>
      <c r="F42" s="12" t="str">
        <f t="shared" si="22"/>
        <v>-</v>
      </c>
      <c r="G42" s="12" t="str">
        <f t="shared" si="23"/>
        <v>-</v>
      </c>
      <c r="H42" s="12" t="str">
        <f t="shared" si="24"/>
        <v>-</v>
      </c>
      <c r="I42" s="12" t="str">
        <f t="shared" si="25"/>
        <v>-</v>
      </c>
      <c r="J42" s="12" t="str">
        <f t="shared" si="26"/>
        <v>-</v>
      </c>
      <c r="K42" s="12" t="str">
        <f t="shared" si="27"/>
        <v>-</v>
      </c>
      <c r="L42" s="12" t="str">
        <f t="shared" si="28"/>
        <v>-</v>
      </c>
      <c r="M42" s="12" t="str">
        <f t="shared" si="29"/>
        <v>-</v>
      </c>
      <c r="N42" s="12" t="str">
        <f t="shared" si="30"/>
        <v>-</v>
      </c>
      <c r="O42" s="12" t="str">
        <f t="shared" si="31"/>
        <v>-</v>
      </c>
      <c r="P42" s="12" t="str">
        <f t="shared" si="32"/>
        <v>-</v>
      </c>
      <c r="Q42" s="12" t="str">
        <f t="shared" si="33"/>
        <v>-</v>
      </c>
      <c r="R42" s="12" t="str">
        <f t="shared" si="34"/>
        <v>-</v>
      </c>
      <c r="S42" s="12" t="str">
        <f t="shared" si="35"/>
        <v>-</v>
      </c>
      <c r="T42" s="12" t="str">
        <f t="shared" si="36"/>
        <v>-</v>
      </c>
      <c r="U42" s="12" t="str">
        <f t="shared" si="37"/>
        <v>-</v>
      </c>
      <c r="V42" s="12" t="str">
        <f t="shared" si="38"/>
        <v>-</v>
      </c>
      <c r="W42" s="12" t="str">
        <f t="shared" si="39"/>
        <v>-</v>
      </c>
      <c r="X42" s="12" t="str">
        <f t="shared" si="40"/>
        <v>-</v>
      </c>
      <c r="Y42" s="12" t="str">
        <f t="shared" si="41"/>
        <v>-</v>
      </c>
      <c r="Z42" s="12" t="str">
        <f t="shared" si="42"/>
        <v>-</v>
      </c>
      <c r="AA42" s="12" t="str">
        <f t="shared" si="43"/>
        <v>-</v>
      </c>
      <c r="AB42" s="12" t="str">
        <f t="shared" si="44"/>
        <v>-</v>
      </c>
      <c r="AC42" s="12" t="str">
        <f t="shared" si="45"/>
        <v>-</v>
      </c>
      <c r="AD42" s="12" t="str">
        <f t="shared" si="46"/>
        <v>-</v>
      </c>
      <c r="AE42" s="12" t="str">
        <f t="shared" si="47"/>
        <v>-</v>
      </c>
      <c r="AF42" s="12" t="str">
        <f t="shared" si="48"/>
        <v>-</v>
      </c>
      <c r="AG42" s="12" t="str">
        <f t="shared" si="49"/>
        <v>-</v>
      </c>
      <c r="AJ42" s="160">
        <f t="shared" ca="1" si="50"/>
        <v>0</v>
      </c>
      <c r="AK42" s="12">
        <f t="shared" ca="1" si="51"/>
        <v>0</v>
      </c>
      <c r="AL42" s="12">
        <f t="shared" ca="1" si="52"/>
        <v>0</v>
      </c>
      <c r="AN42" s="28"/>
      <c r="AO42" s="78" t="s">
        <v>162</v>
      </c>
      <c r="AP42" s="179"/>
      <c r="AQ42" s="181" t="s">
        <v>60</v>
      </c>
      <c r="AR42" s="166">
        <v>0</v>
      </c>
      <c r="AS42" s="166">
        <v>0</v>
      </c>
      <c r="AT42" s="178" t="s">
        <v>388</v>
      </c>
      <c r="AU42" s="157"/>
      <c r="AV42" s="157"/>
      <c r="AW42" s="157"/>
      <c r="AX42" s="157"/>
      <c r="AY42" s="157"/>
      <c r="AZ42" s="157"/>
      <c r="BA42" s="157"/>
      <c r="BB42" s="157"/>
      <c r="BC42" s="157"/>
      <c r="BD42" s="157"/>
      <c r="BE42" s="157"/>
      <c r="BF42" s="157"/>
      <c r="BG42" s="157"/>
      <c r="BH42" s="157"/>
      <c r="BI42" s="157"/>
      <c r="BJ42" s="157"/>
      <c r="BK42" s="157"/>
      <c r="BL42" s="157"/>
      <c r="BM42" s="157"/>
      <c r="BN42" s="157"/>
      <c r="BO42" s="157"/>
      <c r="BP42" s="157"/>
      <c r="BQ42" s="157"/>
      <c r="BR42" s="157"/>
      <c r="BS42" s="157"/>
      <c r="BT42" s="157"/>
      <c r="BU42" s="157"/>
      <c r="BV42" s="157"/>
      <c r="BW42" s="157"/>
      <c r="BX42" s="157"/>
      <c r="BY42" s="157"/>
    </row>
    <row r="43" spans="1:77" ht="15.75" customHeight="1" x14ac:dyDescent="0.3">
      <c r="A43" s="45" t="s">
        <v>189</v>
      </c>
      <c r="C43" s="12">
        <f t="shared" si="19"/>
        <v>1</v>
      </c>
      <c r="D43" s="12" t="str">
        <f t="shared" si="20"/>
        <v>-</v>
      </c>
      <c r="E43" s="12" t="str">
        <f t="shared" si="21"/>
        <v>-</v>
      </c>
      <c r="F43" s="12" t="str">
        <f t="shared" si="22"/>
        <v>-</v>
      </c>
      <c r="G43" s="12" t="str">
        <f t="shared" si="23"/>
        <v>-</v>
      </c>
      <c r="H43" s="12" t="str">
        <f t="shared" si="24"/>
        <v>-</v>
      </c>
      <c r="I43" s="12" t="str">
        <f t="shared" si="25"/>
        <v>-</v>
      </c>
      <c r="J43" s="12" t="str">
        <f t="shared" si="26"/>
        <v>-</v>
      </c>
      <c r="K43" s="12" t="str">
        <f t="shared" si="27"/>
        <v>-</v>
      </c>
      <c r="L43" s="12" t="str">
        <f t="shared" si="28"/>
        <v>-</v>
      </c>
      <c r="M43" s="12" t="str">
        <f t="shared" si="29"/>
        <v>-</v>
      </c>
      <c r="N43" s="12" t="str">
        <f t="shared" si="30"/>
        <v>-</v>
      </c>
      <c r="O43" s="12" t="str">
        <f t="shared" si="31"/>
        <v>-</v>
      </c>
      <c r="P43" s="12" t="str">
        <f t="shared" si="32"/>
        <v>-</v>
      </c>
      <c r="Q43" s="12" t="str">
        <f t="shared" si="33"/>
        <v>-</v>
      </c>
      <c r="R43" s="12" t="str">
        <f t="shared" si="34"/>
        <v>-</v>
      </c>
      <c r="S43" s="12" t="str">
        <f t="shared" si="35"/>
        <v>-</v>
      </c>
      <c r="T43" s="12" t="str">
        <f t="shared" si="36"/>
        <v>-</v>
      </c>
      <c r="U43" s="12" t="str">
        <f t="shared" si="37"/>
        <v>-</v>
      </c>
      <c r="V43" s="12" t="str">
        <f t="shared" si="38"/>
        <v>-</v>
      </c>
      <c r="W43" s="12" t="str">
        <f t="shared" si="39"/>
        <v>-</v>
      </c>
      <c r="X43" s="12" t="str">
        <f t="shared" si="40"/>
        <v>-</v>
      </c>
      <c r="Y43" s="12" t="str">
        <f t="shared" si="41"/>
        <v>-</v>
      </c>
      <c r="Z43" s="12" t="str">
        <f t="shared" si="42"/>
        <v>-</v>
      </c>
      <c r="AA43" s="12" t="str">
        <f t="shared" si="43"/>
        <v>-</v>
      </c>
      <c r="AB43" s="12" t="str">
        <f t="shared" si="44"/>
        <v>-</v>
      </c>
      <c r="AC43" s="12" t="str">
        <f t="shared" si="45"/>
        <v>-</v>
      </c>
      <c r="AD43" s="12" t="str">
        <f t="shared" si="46"/>
        <v>-</v>
      </c>
      <c r="AE43" s="12" t="str">
        <f t="shared" si="47"/>
        <v>-</v>
      </c>
      <c r="AF43" s="12" t="str">
        <f t="shared" si="48"/>
        <v>-</v>
      </c>
      <c r="AG43" s="12" t="str">
        <f t="shared" si="49"/>
        <v>-</v>
      </c>
      <c r="AJ43" s="160">
        <f t="shared" ca="1" si="50"/>
        <v>0</v>
      </c>
      <c r="AK43" s="12">
        <f t="shared" ca="1" si="51"/>
        <v>0</v>
      </c>
      <c r="AL43" s="12">
        <f t="shared" ca="1" si="52"/>
        <v>0</v>
      </c>
      <c r="AN43" s="28"/>
      <c r="AO43" s="78" t="s">
        <v>163</v>
      </c>
      <c r="AP43" s="179"/>
      <c r="AQ43" s="181" t="s">
        <v>60</v>
      </c>
      <c r="AR43" s="166">
        <v>0</v>
      </c>
      <c r="AS43" s="166">
        <v>0</v>
      </c>
      <c r="AT43" s="178" t="s">
        <v>388</v>
      </c>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row>
    <row r="44" spans="1:77" ht="15.75" customHeight="1" x14ac:dyDescent="0.3">
      <c r="A44" s="45" t="s">
        <v>190</v>
      </c>
      <c r="C44" s="12">
        <f t="shared" si="19"/>
        <v>1</v>
      </c>
      <c r="D44" s="12" t="str">
        <f t="shared" si="20"/>
        <v>-</v>
      </c>
      <c r="E44" s="12" t="str">
        <f t="shared" si="21"/>
        <v>-</v>
      </c>
      <c r="F44" s="12" t="str">
        <f t="shared" si="22"/>
        <v>-</v>
      </c>
      <c r="G44" s="12" t="str">
        <f t="shared" si="23"/>
        <v>-</v>
      </c>
      <c r="H44" s="12" t="str">
        <f t="shared" si="24"/>
        <v>-</v>
      </c>
      <c r="I44" s="12" t="str">
        <f t="shared" si="25"/>
        <v>-</v>
      </c>
      <c r="J44" s="12" t="str">
        <f t="shared" si="26"/>
        <v>-</v>
      </c>
      <c r="K44" s="12" t="str">
        <f t="shared" si="27"/>
        <v>-</v>
      </c>
      <c r="L44" s="12" t="str">
        <f t="shared" si="28"/>
        <v>-</v>
      </c>
      <c r="M44" s="12" t="str">
        <f t="shared" si="29"/>
        <v>-</v>
      </c>
      <c r="N44" s="12" t="str">
        <f t="shared" si="30"/>
        <v>-</v>
      </c>
      <c r="O44" s="12" t="str">
        <f t="shared" si="31"/>
        <v>-</v>
      </c>
      <c r="P44" s="12" t="str">
        <f t="shared" si="32"/>
        <v>-</v>
      </c>
      <c r="Q44" s="12" t="str">
        <f t="shared" si="33"/>
        <v>-</v>
      </c>
      <c r="R44" s="12" t="str">
        <f t="shared" si="34"/>
        <v>-</v>
      </c>
      <c r="S44" s="12" t="str">
        <f t="shared" si="35"/>
        <v>-</v>
      </c>
      <c r="T44" s="12" t="str">
        <f t="shared" si="36"/>
        <v>-</v>
      </c>
      <c r="U44" s="12" t="str">
        <f t="shared" si="37"/>
        <v>-</v>
      </c>
      <c r="V44" s="12" t="str">
        <f t="shared" si="38"/>
        <v>-</v>
      </c>
      <c r="W44" s="12" t="str">
        <f t="shared" si="39"/>
        <v>-</v>
      </c>
      <c r="X44" s="12" t="str">
        <f t="shared" si="40"/>
        <v>-</v>
      </c>
      <c r="Y44" s="12" t="str">
        <f t="shared" si="41"/>
        <v>-</v>
      </c>
      <c r="Z44" s="12" t="str">
        <f t="shared" si="42"/>
        <v>-</v>
      </c>
      <c r="AA44" s="12" t="str">
        <f t="shared" si="43"/>
        <v>-</v>
      </c>
      <c r="AB44" s="12" t="str">
        <f t="shared" si="44"/>
        <v>-</v>
      </c>
      <c r="AC44" s="12" t="str">
        <f t="shared" si="45"/>
        <v>-</v>
      </c>
      <c r="AD44" s="12" t="str">
        <f t="shared" si="46"/>
        <v>-</v>
      </c>
      <c r="AE44" s="12" t="str">
        <f t="shared" si="47"/>
        <v>-</v>
      </c>
      <c r="AF44" s="12" t="str">
        <f t="shared" si="48"/>
        <v>-</v>
      </c>
      <c r="AG44" s="12" t="str">
        <f t="shared" si="49"/>
        <v>-</v>
      </c>
      <c r="AJ44" s="160">
        <f t="shared" ca="1" si="50"/>
        <v>0</v>
      </c>
      <c r="AK44" s="12">
        <f t="shared" ca="1" si="51"/>
        <v>0</v>
      </c>
      <c r="AL44" s="12">
        <f t="shared" ca="1" si="52"/>
        <v>0</v>
      </c>
      <c r="AN44" s="28"/>
      <c r="AO44" s="78" t="s">
        <v>558</v>
      </c>
      <c r="AP44" s="179"/>
      <c r="AQ44" s="181" t="s">
        <v>60</v>
      </c>
      <c r="AR44" s="166">
        <v>0</v>
      </c>
      <c r="AS44" s="166">
        <v>0</v>
      </c>
      <c r="AT44" s="178" t="s">
        <v>388</v>
      </c>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row>
    <row r="45" spans="1:77" ht="15.75" customHeight="1" x14ac:dyDescent="0.3">
      <c r="A45" s="45" t="s">
        <v>191</v>
      </c>
      <c r="C45" s="12">
        <f t="shared" si="19"/>
        <v>1</v>
      </c>
      <c r="D45" s="12" t="str">
        <f t="shared" si="20"/>
        <v>-</v>
      </c>
      <c r="E45" s="12" t="str">
        <f t="shared" si="21"/>
        <v>-</v>
      </c>
      <c r="F45" s="12" t="str">
        <f t="shared" si="22"/>
        <v>-</v>
      </c>
      <c r="G45" s="12" t="str">
        <f t="shared" si="23"/>
        <v>-</v>
      </c>
      <c r="H45" s="12" t="str">
        <f t="shared" si="24"/>
        <v>-</v>
      </c>
      <c r="I45" s="12" t="str">
        <f t="shared" si="25"/>
        <v>-</v>
      </c>
      <c r="J45" s="12" t="str">
        <f t="shared" si="26"/>
        <v>-</v>
      </c>
      <c r="K45" s="12" t="str">
        <f t="shared" si="27"/>
        <v>-</v>
      </c>
      <c r="L45" s="12" t="str">
        <f t="shared" si="28"/>
        <v>-</v>
      </c>
      <c r="M45" s="12" t="str">
        <f t="shared" si="29"/>
        <v>-</v>
      </c>
      <c r="N45" s="12" t="str">
        <f t="shared" si="30"/>
        <v>-</v>
      </c>
      <c r="O45" s="12" t="str">
        <f t="shared" si="31"/>
        <v>-</v>
      </c>
      <c r="P45" s="12" t="str">
        <f t="shared" si="32"/>
        <v>-</v>
      </c>
      <c r="Q45" s="12" t="str">
        <f t="shared" si="33"/>
        <v>-</v>
      </c>
      <c r="R45" s="12" t="str">
        <f t="shared" si="34"/>
        <v>-</v>
      </c>
      <c r="S45" s="12" t="str">
        <f t="shared" si="35"/>
        <v>-</v>
      </c>
      <c r="T45" s="12" t="str">
        <f t="shared" si="36"/>
        <v>-</v>
      </c>
      <c r="U45" s="12" t="str">
        <f t="shared" si="37"/>
        <v>-</v>
      </c>
      <c r="V45" s="12" t="str">
        <f t="shared" si="38"/>
        <v>-</v>
      </c>
      <c r="W45" s="12" t="str">
        <f t="shared" si="39"/>
        <v>-</v>
      </c>
      <c r="X45" s="12" t="str">
        <f t="shared" si="40"/>
        <v>-</v>
      </c>
      <c r="Y45" s="12" t="str">
        <f t="shared" si="41"/>
        <v>-</v>
      </c>
      <c r="Z45" s="12" t="str">
        <f t="shared" si="42"/>
        <v>-</v>
      </c>
      <c r="AA45" s="12" t="str">
        <f t="shared" si="43"/>
        <v>-</v>
      </c>
      <c r="AB45" s="12" t="str">
        <f t="shared" si="44"/>
        <v>-</v>
      </c>
      <c r="AC45" s="12" t="str">
        <f t="shared" si="45"/>
        <v>-</v>
      </c>
      <c r="AD45" s="12" t="str">
        <f t="shared" si="46"/>
        <v>-</v>
      </c>
      <c r="AE45" s="12" t="str">
        <f t="shared" si="47"/>
        <v>-</v>
      </c>
      <c r="AF45" s="12" t="str">
        <f t="shared" si="48"/>
        <v>-</v>
      </c>
      <c r="AG45" s="12" t="str">
        <f t="shared" si="49"/>
        <v>-</v>
      </c>
      <c r="AJ45" s="160">
        <f t="shared" ca="1" si="50"/>
        <v>0</v>
      </c>
      <c r="AK45" s="12">
        <f t="shared" ca="1" si="51"/>
        <v>0</v>
      </c>
      <c r="AL45" s="12">
        <f t="shared" ca="1" si="52"/>
        <v>0</v>
      </c>
      <c r="AN45" s="28"/>
      <c r="AO45" s="78" t="s">
        <v>164</v>
      </c>
      <c r="AP45" s="179"/>
      <c r="AQ45" s="181" t="s">
        <v>60</v>
      </c>
      <c r="AR45" s="166">
        <v>0</v>
      </c>
      <c r="AS45" s="166">
        <v>0</v>
      </c>
      <c r="AT45" s="178" t="s">
        <v>388</v>
      </c>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row>
    <row r="46" spans="1:77" ht="15.75" customHeight="1" x14ac:dyDescent="0.3">
      <c r="A46" s="45" t="s">
        <v>192</v>
      </c>
      <c r="C46" s="12">
        <f t="shared" si="19"/>
        <v>1</v>
      </c>
      <c r="D46" s="12" t="str">
        <f t="shared" si="20"/>
        <v>-</v>
      </c>
      <c r="E46" s="12" t="str">
        <f t="shared" si="21"/>
        <v>-</v>
      </c>
      <c r="F46" s="12" t="str">
        <f t="shared" si="22"/>
        <v>-</v>
      </c>
      <c r="G46" s="12" t="str">
        <f t="shared" si="23"/>
        <v>-</v>
      </c>
      <c r="H46" s="12" t="str">
        <f t="shared" si="24"/>
        <v>-</v>
      </c>
      <c r="I46" s="12" t="str">
        <f t="shared" si="25"/>
        <v>-</v>
      </c>
      <c r="J46" s="12" t="str">
        <f t="shared" si="26"/>
        <v>-</v>
      </c>
      <c r="K46" s="12" t="str">
        <f t="shared" si="27"/>
        <v>-</v>
      </c>
      <c r="L46" s="12" t="str">
        <f t="shared" si="28"/>
        <v>-</v>
      </c>
      <c r="M46" s="12" t="str">
        <f t="shared" si="29"/>
        <v>-</v>
      </c>
      <c r="N46" s="12" t="str">
        <f t="shared" si="30"/>
        <v>-</v>
      </c>
      <c r="O46" s="12" t="str">
        <f t="shared" si="31"/>
        <v>-</v>
      </c>
      <c r="P46" s="12" t="str">
        <f t="shared" si="32"/>
        <v>-</v>
      </c>
      <c r="Q46" s="12" t="str">
        <f t="shared" si="33"/>
        <v>-</v>
      </c>
      <c r="R46" s="12" t="str">
        <f t="shared" si="34"/>
        <v>-</v>
      </c>
      <c r="S46" s="12" t="str">
        <f t="shared" si="35"/>
        <v>-</v>
      </c>
      <c r="T46" s="12" t="str">
        <f t="shared" si="36"/>
        <v>-</v>
      </c>
      <c r="U46" s="12" t="str">
        <f t="shared" si="37"/>
        <v>-</v>
      </c>
      <c r="V46" s="12" t="str">
        <f t="shared" si="38"/>
        <v>-</v>
      </c>
      <c r="W46" s="12" t="str">
        <f t="shared" si="39"/>
        <v>-</v>
      </c>
      <c r="X46" s="12" t="str">
        <f t="shared" si="40"/>
        <v>-</v>
      </c>
      <c r="Y46" s="12" t="str">
        <f t="shared" si="41"/>
        <v>-</v>
      </c>
      <c r="Z46" s="12" t="str">
        <f t="shared" si="42"/>
        <v>-</v>
      </c>
      <c r="AA46" s="12" t="str">
        <f t="shared" si="43"/>
        <v>-</v>
      </c>
      <c r="AB46" s="12" t="str">
        <f t="shared" si="44"/>
        <v>-</v>
      </c>
      <c r="AC46" s="12" t="str">
        <f t="shared" si="45"/>
        <v>-</v>
      </c>
      <c r="AD46" s="12" t="str">
        <f t="shared" si="46"/>
        <v>-</v>
      </c>
      <c r="AE46" s="12" t="str">
        <f t="shared" si="47"/>
        <v>-</v>
      </c>
      <c r="AF46" s="12" t="str">
        <f t="shared" si="48"/>
        <v>-</v>
      </c>
      <c r="AG46" s="12" t="str">
        <f t="shared" si="49"/>
        <v>-</v>
      </c>
      <c r="AJ46" s="160">
        <f t="shared" ca="1" si="50"/>
        <v>0</v>
      </c>
      <c r="AK46" s="12">
        <f t="shared" ca="1" si="51"/>
        <v>0</v>
      </c>
      <c r="AL46" s="12">
        <f t="shared" ca="1" si="52"/>
        <v>0</v>
      </c>
      <c r="AN46" s="28"/>
      <c r="AO46" s="78" t="s">
        <v>165</v>
      </c>
      <c r="AP46" s="179"/>
      <c r="AQ46" s="181" t="s">
        <v>60</v>
      </c>
      <c r="AR46" s="166">
        <v>0</v>
      </c>
      <c r="AS46" s="166">
        <v>0</v>
      </c>
      <c r="AT46" s="178" t="s">
        <v>388</v>
      </c>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row>
    <row r="47" spans="1:77" ht="15.75" customHeight="1" x14ac:dyDescent="0.3">
      <c r="A47" s="45" t="s">
        <v>193</v>
      </c>
      <c r="C47" s="12">
        <f t="shared" si="19"/>
        <v>1</v>
      </c>
      <c r="D47" s="12" t="str">
        <f t="shared" si="20"/>
        <v>-</v>
      </c>
      <c r="E47" s="12" t="str">
        <f t="shared" si="21"/>
        <v>-</v>
      </c>
      <c r="F47" s="12" t="str">
        <f t="shared" si="22"/>
        <v>-</v>
      </c>
      <c r="G47" s="12" t="str">
        <f t="shared" si="23"/>
        <v>-</v>
      </c>
      <c r="H47" s="12" t="str">
        <f t="shared" si="24"/>
        <v>-</v>
      </c>
      <c r="I47" s="12" t="str">
        <f t="shared" si="25"/>
        <v>-</v>
      </c>
      <c r="J47" s="12" t="str">
        <f t="shared" si="26"/>
        <v>-</v>
      </c>
      <c r="K47" s="12" t="str">
        <f t="shared" si="27"/>
        <v>-</v>
      </c>
      <c r="L47" s="12" t="str">
        <f t="shared" si="28"/>
        <v>-</v>
      </c>
      <c r="M47" s="12" t="str">
        <f t="shared" si="29"/>
        <v>-</v>
      </c>
      <c r="N47" s="12" t="str">
        <f t="shared" si="30"/>
        <v>-</v>
      </c>
      <c r="O47" s="12" t="str">
        <f t="shared" si="31"/>
        <v>-</v>
      </c>
      <c r="P47" s="12" t="str">
        <f t="shared" si="32"/>
        <v>-</v>
      </c>
      <c r="Q47" s="12" t="str">
        <f t="shared" si="33"/>
        <v>-</v>
      </c>
      <c r="R47" s="12" t="str">
        <f t="shared" si="34"/>
        <v>-</v>
      </c>
      <c r="S47" s="12" t="str">
        <f t="shared" si="35"/>
        <v>-</v>
      </c>
      <c r="T47" s="12" t="str">
        <f t="shared" si="36"/>
        <v>-</v>
      </c>
      <c r="U47" s="12" t="str">
        <f t="shared" si="37"/>
        <v>-</v>
      </c>
      <c r="V47" s="12" t="str">
        <f t="shared" si="38"/>
        <v>-</v>
      </c>
      <c r="W47" s="12" t="str">
        <f t="shared" si="39"/>
        <v>-</v>
      </c>
      <c r="X47" s="12" t="str">
        <f t="shared" si="40"/>
        <v>-</v>
      </c>
      <c r="Y47" s="12" t="str">
        <f t="shared" si="41"/>
        <v>-</v>
      </c>
      <c r="Z47" s="12" t="str">
        <f t="shared" si="42"/>
        <v>-</v>
      </c>
      <c r="AA47" s="12" t="str">
        <f t="shared" si="43"/>
        <v>-</v>
      </c>
      <c r="AB47" s="12" t="str">
        <f t="shared" si="44"/>
        <v>-</v>
      </c>
      <c r="AC47" s="12" t="str">
        <f t="shared" si="45"/>
        <v>-</v>
      </c>
      <c r="AD47" s="12" t="str">
        <f t="shared" si="46"/>
        <v>-</v>
      </c>
      <c r="AE47" s="12" t="str">
        <f t="shared" si="47"/>
        <v>-</v>
      </c>
      <c r="AF47" s="12" t="str">
        <f t="shared" si="48"/>
        <v>-</v>
      </c>
      <c r="AG47" s="12" t="str">
        <f t="shared" si="49"/>
        <v>-</v>
      </c>
      <c r="AJ47" s="160">
        <f t="shared" ca="1" si="50"/>
        <v>0</v>
      </c>
      <c r="AK47" s="12">
        <f t="shared" ca="1" si="51"/>
        <v>0</v>
      </c>
      <c r="AL47" s="12">
        <f t="shared" ca="1" si="52"/>
        <v>0</v>
      </c>
      <c r="AN47" s="28"/>
      <c r="AO47" s="78" t="s">
        <v>166</v>
      </c>
      <c r="AP47" s="179"/>
      <c r="AQ47" s="181" t="s">
        <v>60</v>
      </c>
      <c r="AR47" s="166">
        <v>0</v>
      </c>
      <c r="AS47" s="166">
        <v>0</v>
      </c>
      <c r="AT47" s="178" t="s">
        <v>388</v>
      </c>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7"/>
      <c r="BR47" s="157"/>
      <c r="BS47" s="157"/>
      <c r="BT47" s="157"/>
      <c r="BU47" s="157"/>
      <c r="BV47" s="157"/>
      <c r="BW47" s="157"/>
      <c r="BX47" s="157"/>
      <c r="BY47" s="157"/>
    </row>
    <row r="48" spans="1:77" ht="15.75" customHeight="1" x14ac:dyDescent="0.3">
      <c r="A48" s="45" t="s">
        <v>194</v>
      </c>
      <c r="C48" s="12">
        <f t="shared" si="19"/>
        <v>1</v>
      </c>
      <c r="D48" s="12" t="str">
        <f t="shared" si="20"/>
        <v>-</v>
      </c>
      <c r="E48" s="12" t="str">
        <f t="shared" si="21"/>
        <v>-</v>
      </c>
      <c r="F48" s="12" t="str">
        <f t="shared" si="22"/>
        <v>-</v>
      </c>
      <c r="G48" s="12" t="str">
        <f t="shared" si="23"/>
        <v>-</v>
      </c>
      <c r="H48" s="12" t="str">
        <f t="shared" si="24"/>
        <v>-</v>
      </c>
      <c r="I48" s="12" t="str">
        <f t="shared" si="25"/>
        <v>-</v>
      </c>
      <c r="J48" s="12" t="str">
        <f t="shared" si="26"/>
        <v>-</v>
      </c>
      <c r="K48" s="12" t="str">
        <f t="shared" si="27"/>
        <v>-</v>
      </c>
      <c r="L48" s="12" t="str">
        <f t="shared" si="28"/>
        <v>-</v>
      </c>
      <c r="M48" s="12" t="str">
        <f t="shared" si="29"/>
        <v>-</v>
      </c>
      <c r="N48" s="12" t="str">
        <f t="shared" si="30"/>
        <v>-</v>
      </c>
      <c r="O48" s="12" t="str">
        <f t="shared" si="31"/>
        <v>-</v>
      </c>
      <c r="P48" s="12" t="str">
        <f t="shared" si="32"/>
        <v>-</v>
      </c>
      <c r="Q48" s="12" t="str">
        <f t="shared" si="33"/>
        <v>-</v>
      </c>
      <c r="R48" s="12" t="str">
        <f t="shared" si="34"/>
        <v>-</v>
      </c>
      <c r="S48" s="12" t="str">
        <f t="shared" si="35"/>
        <v>-</v>
      </c>
      <c r="T48" s="12" t="str">
        <f t="shared" si="36"/>
        <v>-</v>
      </c>
      <c r="U48" s="12" t="str">
        <f t="shared" si="37"/>
        <v>-</v>
      </c>
      <c r="V48" s="12" t="str">
        <f t="shared" si="38"/>
        <v>-</v>
      </c>
      <c r="W48" s="12" t="str">
        <f t="shared" si="39"/>
        <v>-</v>
      </c>
      <c r="X48" s="12" t="str">
        <f t="shared" si="40"/>
        <v>-</v>
      </c>
      <c r="Y48" s="12" t="str">
        <f t="shared" si="41"/>
        <v>-</v>
      </c>
      <c r="Z48" s="12" t="str">
        <f t="shared" si="42"/>
        <v>-</v>
      </c>
      <c r="AA48" s="12" t="str">
        <f t="shared" si="43"/>
        <v>-</v>
      </c>
      <c r="AB48" s="12" t="str">
        <f t="shared" si="44"/>
        <v>-</v>
      </c>
      <c r="AC48" s="12" t="str">
        <f t="shared" si="45"/>
        <v>-</v>
      </c>
      <c r="AD48" s="12" t="str">
        <f t="shared" si="46"/>
        <v>-</v>
      </c>
      <c r="AE48" s="12" t="str">
        <f t="shared" si="47"/>
        <v>-</v>
      </c>
      <c r="AF48" s="12" t="str">
        <f t="shared" si="48"/>
        <v>-</v>
      </c>
      <c r="AG48" s="12" t="str">
        <f t="shared" si="49"/>
        <v>-</v>
      </c>
      <c r="AJ48" s="160">
        <f t="shared" ca="1" si="50"/>
        <v>0</v>
      </c>
      <c r="AK48" s="12">
        <f t="shared" ca="1" si="51"/>
        <v>0</v>
      </c>
      <c r="AL48" s="12">
        <f t="shared" ca="1" si="52"/>
        <v>0</v>
      </c>
      <c r="AN48" s="28"/>
      <c r="AO48" s="78" t="s">
        <v>167</v>
      </c>
      <c r="AP48" s="179"/>
      <c r="AQ48" s="181" t="s">
        <v>60</v>
      </c>
      <c r="AR48" s="166">
        <v>0</v>
      </c>
      <c r="AS48" s="166">
        <v>0</v>
      </c>
      <c r="AT48" s="178" t="s">
        <v>388</v>
      </c>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row>
    <row r="49" spans="1:77" ht="15.75" customHeight="1" x14ac:dyDescent="0.3">
      <c r="A49" s="45" t="s">
        <v>195</v>
      </c>
      <c r="C49" s="12">
        <f t="shared" si="19"/>
        <v>1</v>
      </c>
      <c r="D49" s="12" t="str">
        <f t="shared" si="20"/>
        <v>-</v>
      </c>
      <c r="E49" s="12" t="str">
        <f t="shared" si="21"/>
        <v>-</v>
      </c>
      <c r="F49" s="12" t="str">
        <f t="shared" si="22"/>
        <v>-</v>
      </c>
      <c r="G49" s="12" t="str">
        <f t="shared" si="23"/>
        <v>-</v>
      </c>
      <c r="H49" s="12" t="str">
        <f t="shared" si="24"/>
        <v>-</v>
      </c>
      <c r="I49" s="12" t="str">
        <f t="shared" si="25"/>
        <v>-</v>
      </c>
      <c r="J49" s="12" t="str">
        <f t="shared" si="26"/>
        <v>-</v>
      </c>
      <c r="K49" s="12" t="str">
        <f t="shared" si="27"/>
        <v>-</v>
      </c>
      <c r="L49" s="12" t="str">
        <f t="shared" si="28"/>
        <v>-</v>
      </c>
      <c r="M49" s="12" t="str">
        <f t="shared" si="29"/>
        <v>-</v>
      </c>
      <c r="N49" s="12" t="str">
        <f t="shared" si="30"/>
        <v>-</v>
      </c>
      <c r="O49" s="12" t="str">
        <f t="shared" si="31"/>
        <v>-</v>
      </c>
      <c r="P49" s="12" t="str">
        <f t="shared" si="32"/>
        <v>-</v>
      </c>
      <c r="Q49" s="12" t="str">
        <f t="shared" si="33"/>
        <v>-</v>
      </c>
      <c r="R49" s="12" t="str">
        <f t="shared" si="34"/>
        <v>-</v>
      </c>
      <c r="S49" s="12" t="str">
        <f t="shared" si="35"/>
        <v>-</v>
      </c>
      <c r="T49" s="12" t="str">
        <f t="shared" si="36"/>
        <v>-</v>
      </c>
      <c r="U49" s="12" t="str">
        <f t="shared" si="37"/>
        <v>-</v>
      </c>
      <c r="V49" s="12" t="str">
        <f t="shared" si="38"/>
        <v>-</v>
      </c>
      <c r="W49" s="12" t="str">
        <f t="shared" si="39"/>
        <v>-</v>
      </c>
      <c r="X49" s="12" t="str">
        <f t="shared" si="40"/>
        <v>-</v>
      </c>
      <c r="Y49" s="12" t="str">
        <f t="shared" si="41"/>
        <v>-</v>
      </c>
      <c r="Z49" s="12" t="str">
        <f t="shared" si="42"/>
        <v>-</v>
      </c>
      <c r="AA49" s="12" t="str">
        <f t="shared" si="43"/>
        <v>-</v>
      </c>
      <c r="AB49" s="12" t="str">
        <f t="shared" si="44"/>
        <v>-</v>
      </c>
      <c r="AC49" s="12" t="str">
        <f t="shared" si="45"/>
        <v>-</v>
      </c>
      <c r="AD49" s="12" t="str">
        <f t="shared" si="46"/>
        <v>-</v>
      </c>
      <c r="AE49" s="12" t="str">
        <f t="shared" si="47"/>
        <v>-</v>
      </c>
      <c r="AF49" s="12" t="str">
        <f t="shared" si="48"/>
        <v>-</v>
      </c>
      <c r="AG49" s="12" t="str">
        <f t="shared" si="49"/>
        <v>-</v>
      </c>
      <c r="AJ49" s="160">
        <f t="shared" ca="1" si="50"/>
        <v>0</v>
      </c>
      <c r="AK49" s="12">
        <f t="shared" ca="1" si="51"/>
        <v>0</v>
      </c>
      <c r="AL49" s="12">
        <f t="shared" ca="1" si="52"/>
        <v>0</v>
      </c>
      <c r="AN49" s="28"/>
      <c r="AO49" s="78" t="s">
        <v>453</v>
      </c>
      <c r="AP49" s="179"/>
      <c r="AQ49" s="181" t="s">
        <v>60</v>
      </c>
      <c r="AR49" s="166">
        <v>0</v>
      </c>
      <c r="AS49" s="166">
        <v>0</v>
      </c>
      <c r="AT49" s="178" t="s">
        <v>388</v>
      </c>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row>
    <row r="50" spans="1:77" ht="15.75" customHeight="1" x14ac:dyDescent="0.3">
      <c r="A50" s="45" t="s">
        <v>196</v>
      </c>
      <c r="C50" s="12">
        <f t="shared" si="19"/>
        <v>1</v>
      </c>
      <c r="D50" s="12" t="str">
        <f t="shared" si="20"/>
        <v>-</v>
      </c>
      <c r="E50" s="12" t="str">
        <f t="shared" si="21"/>
        <v>-</v>
      </c>
      <c r="F50" s="12" t="str">
        <f t="shared" si="22"/>
        <v>-</v>
      </c>
      <c r="G50" s="12" t="str">
        <f t="shared" si="23"/>
        <v>-</v>
      </c>
      <c r="H50" s="12" t="str">
        <f t="shared" si="24"/>
        <v>-</v>
      </c>
      <c r="I50" s="12" t="str">
        <f t="shared" si="25"/>
        <v>-</v>
      </c>
      <c r="J50" s="12" t="str">
        <f t="shared" si="26"/>
        <v>-</v>
      </c>
      <c r="K50" s="12" t="str">
        <f t="shared" si="27"/>
        <v>-</v>
      </c>
      <c r="L50" s="12" t="str">
        <f t="shared" si="28"/>
        <v>-</v>
      </c>
      <c r="M50" s="12" t="str">
        <f t="shared" si="29"/>
        <v>-</v>
      </c>
      <c r="N50" s="12" t="str">
        <f t="shared" si="30"/>
        <v>-</v>
      </c>
      <c r="O50" s="12" t="str">
        <f t="shared" si="31"/>
        <v>-</v>
      </c>
      <c r="P50" s="12" t="str">
        <f t="shared" si="32"/>
        <v>-</v>
      </c>
      <c r="Q50" s="12" t="str">
        <f t="shared" si="33"/>
        <v>-</v>
      </c>
      <c r="R50" s="12" t="str">
        <f t="shared" si="34"/>
        <v>-</v>
      </c>
      <c r="S50" s="12" t="str">
        <f t="shared" si="35"/>
        <v>-</v>
      </c>
      <c r="T50" s="12" t="str">
        <f t="shared" si="36"/>
        <v>-</v>
      </c>
      <c r="U50" s="12" t="str">
        <f t="shared" si="37"/>
        <v>-</v>
      </c>
      <c r="V50" s="12" t="str">
        <f t="shared" si="38"/>
        <v>-</v>
      </c>
      <c r="W50" s="12" t="str">
        <f t="shared" si="39"/>
        <v>-</v>
      </c>
      <c r="X50" s="12" t="str">
        <f t="shared" si="40"/>
        <v>-</v>
      </c>
      <c r="Y50" s="12" t="str">
        <f t="shared" si="41"/>
        <v>-</v>
      </c>
      <c r="Z50" s="12" t="str">
        <f t="shared" si="42"/>
        <v>-</v>
      </c>
      <c r="AA50" s="12" t="str">
        <f t="shared" si="43"/>
        <v>-</v>
      </c>
      <c r="AB50" s="12" t="str">
        <f t="shared" si="44"/>
        <v>-</v>
      </c>
      <c r="AC50" s="12" t="str">
        <f t="shared" si="45"/>
        <v>-</v>
      </c>
      <c r="AD50" s="12" t="str">
        <f t="shared" si="46"/>
        <v>-</v>
      </c>
      <c r="AE50" s="12" t="str">
        <f t="shared" si="47"/>
        <v>-</v>
      </c>
      <c r="AF50" s="12" t="str">
        <f t="shared" si="48"/>
        <v>-</v>
      </c>
      <c r="AG50" s="12" t="str">
        <f t="shared" si="49"/>
        <v>-</v>
      </c>
      <c r="AJ50" s="160">
        <f t="shared" ca="1" si="50"/>
        <v>0</v>
      </c>
      <c r="AK50" s="12">
        <f t="shared" ca="1" si="51"/>
        <v>0</v>
      </c>
      <c r="AL50" s="12">
        <f t="shared" ca="1" si="52"/>
        <v>0</v>
      </c>
      <c r="AN50" s="28"/>
      <c r="AO50" s="78" t="s">
        <v>454</v>
      </c>
      <c r="AP50" s="179"/>
      <c r="AQ50" s="181" t="s">
        <v>60</v>
      </c>
      <c r="AR50" s="166">
        <v>0</v>
      </c>
      <c r="AS50" s="166">
        <v>0</v>
      </c>
      <c r="AT50" s="178" t="s">
        <v>388</v>
      </c>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row>
    <row r="51" spans="1:77" ht="15.75" customHeight="1" x14ac:dyDescent="0.3">
      <c r="A51" s="45" t="s">
        <v>197</v>
      </c>
      <c r="C51" s="12">
        <f t="shared" si="19"/>
        <v>1</v>
      </c>
      <c r="D51" s="12" t="str">
        <f t="shared" si="20"/>
        <v>-</v>
      </c>
      <c r="E51" s="12" t="str">
        <f t="shared" si="21"/>
        <v>-</v>
      </c>
      <c r="F51" s="12" t="str">
        <f t="shared" si="22"/>
        <v>-</v>
      </c>
      <c r="G51" s="12" t="str">
        <f t="shared" si="23"/>
        <v>-</v>
      </c>
      <c r="H51" s="12" t="str">
        <f t="shared" si="24"/>
        <v>-</v>
      </c>
      <c r="I51" s="12" t="str">
        <f t="shared" si="25"/>
        <v>-</v>
      </c>
      <c r="J51" s="12" t="str">
        <f t="shared" si="26"/>
        <v>-</v>
      </c>
      <c r="K51" s="12" t="str">
        <f t="shared" si="27"/>
        <v>-</v>
      </c>
      <c r="L51" s="12" t="str">
        <f t="shared" si="28"/>
        <v>-</v>
      </c>
      <c r="M51" s="12" t="str">
        <f t="shared" si="29"/>
        <v>-</v>
      </c>
      <c r="N51" s="12" t="str">
        <f t="shared" si="30"/>
        <v>-</v>
      </c>
      <c r="O51" s="12" t="str">
        <f t="shared" si="31"/>
        <v>-</v>
      </c>
      <c r="P51" s="12" t="str">
        <f t="shared" si="32"/>
        <v>-</v>
      </c>
      <c r="Q51" s="12" t="str">
        <f t="shared" si="33"/>
        <v>-</v>
      </c>
      <c r="R51" s="12" t="str">
        <f t="shared" si="34"/>
        <v>-</v>
      </c>
      <c r="S51" s="12" t="str">
        <f t="shared" si="35"/>
        <v>-</v>
      </c>
      <c r="T51" s="12" t="str">
        <f t="shared" si="36"/>
        <v>-</v>
      </c>
      <c r="U51" s="12" t="str">
        <f t="shared" si="37"/>
        <v>-</v>
      </c>
      <c r="V51" s="12" t="str">
        <f t="shared" si="38"/>
        <v>-</v>
      </c>
      <c r="W51" s="12" t="str">
        <f t="shared" si="39"/>
        <v>-</v>
      </c>
      <c r="X51" s="12" t="str">
        <f t="shared" si="40"/>
        <v>-</v>
      </c>
      <c r="Y51" s="12" t="str">
        <f t="shared" si="41"/>
        <v>-</v>
      </c>
      <c r="Z51" s="12" t="str">
        <f t="shared" si="42"/>
        <v>-</v>
      </c>
      <c r="AA51" s="12" t="str">
        <f t="shared" si="43"/>
        <v>-</v>
      </c>
      <c r="AB51" s="12" t="str">
        <f t="shared" si="44"/>
        <v>-</v>
      </c>
      <c r="AC51" s="12" t="str">
        <f t="shared" si="45"/>
        <v>-</v>
      </c>
      <c r="AD51" s="12" t="str">
        <f t="shared" si="46"/>
        <v>-</v>
      </c>
      <c r="AE51" s="12" t="str">
        <f t="shared" si="47"/>
        <v>-</v>
      </c>
      <c r="AF51" s="12" t="str">
        <f t="shared" si="48"/>
        <v>-</v>
      </c>
      <c r="AG51" s="12" t="str">
        <f t="shared" si="49"/>
        <v>-</v>
      </c>
      <c r="AJ51" s="160">
        <f t="shared" ca="1" si="50"/>
        <v>0</v>
      </c>
      <c r="AK51" s="12">
        <f t="shared" ca="1" si="51"/>
        <v>0</v>
      </c>
      <c r="AL51" s="12">
        <f t="shared" ca="1" si="52"/>
        <v>0</v>
      </c>
      <c r="AN51" s="28"/>
      <c r="AO51" s="78" t="s">
        <v>455</v>
      </c>
      <c r="AP51" s="179"/>
      <c r="AQ51" s="181" t="s">
        <v>60</v>
      </c>
      <c r="AR51" s="166">
        <v>0</v>
      </c>
      <c r="AS51" s="166">
        <v>0</v>
      </c>
      <c r="AT51" s="178" t="s">
        <v>388</v>
      </c>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row>
    <row r="52" spans="1:77" ht="15.75" customHeight="1" x14ac:dyDescent="0.3">
      <c r="A52" s="45" t="s">
        <v>198</v>
      </c>
      <c r="C52" s="12">
        <f t="shared" si="19"/>
        <v>1</v>
      </c>
      <c r="D52" s="12" t="str">
        <f t="shared" si="20"/>
        <v>-</v>
      </c>
      <c r="E52" s="12" t="str">
        <f t="shared" si="21"/>
        <v>-</v>
      </c>
      <c r="F52" s="12" t="str">
        <f t="shared" si="22"/>
        <v>-</v>
      </c>
      <c r="G52" s="12" t="str">
        <f t="shared" si="23"/>
        <v>-</v>
      </c>
      <c r="H52" s="12" t="str">
        <f t="shared" si="24"/>
        <v>-</v>
      </c>
      <c r="I52" s="12" t="str">
        <f t="shared" si="25"/>
        <v>-</v>
      </c>
      <c r="J52" s="12" t="str">
        <f t="shared" si="26"/>
        <v>-</v>
      </c>
      <c r="K52" s="12" t="str">
        <f t="shared" si="27"/>
        <v>-</v>
      </c>
      <c r="L52" s="12" t="str">
        <f t="shared" si="28"/>
        <v>-</v>
      </c>
      <c r="M52" s="12" t="str">
        <f t="shared" si="29"/>
        <v>-</v>
      </c>
      <c r="N52" s="12" t="str">
        <f t="shared" si="30"/>
        <v>-</v>
      </c>
      <c r="O52" s="12" t="str">
        <f t="shared" si="31"/>
        <v>-</v>
      </c>
      <c r="P52" s="12" t="str">
        <f t="shared" si="32"/>
        <v>-</v>
      </c>
      <c r="Q52" s="12" t="str">
        <f t="shared" si="33"/>
        <v>-</v>
      </c>
      <c r="R52" s="12" t="str">
        <f t="shared" si="34"/>
        <v>-</v>
      </c>
      <c r="S52" s="12" t="str">
        <f t="shared" si="35"/>
        <v>-</v>
      </c>
      <c r="T52" s="12" t="str">
        <f t="shared" si="36"/>
        <v>-</v>
      </c>
      <c r="U52" s="12" t="str">
        <f t="shared" si="37"/>
        <v>-</v>
      </c>
      <c r="V52" s="12" t="str">
        <f t="shared" si="38"/>
        <v>-</v>
      </c>
      <c r="W52" s="12" t="str">
        <f t="shared" si="39"/>
        <v>-</v>
      </c>
      <c r="X52" s="12" t="str">
        <f t="shared" si="40"/>
        <v>-</v>
      </c>
      <c r="Y52" s="12" t="str">
        <f t="shared" si="41"/>
        <v>-</v>
      </c>
      <c r="Z52" s="12" t="str">
        <f t="shared" si="42"/>
        <v>-</v>
      </c>
      <c r="AA52" s="12" t="str">
        <f t="shared" si="43"/>
        <v>-</v>
      </c>
      <c r="AB52" s="12" t="str">
        <f t="shared" si="44"/>
        <v>-</v>
      </c>
      <c r="AC52" s="12" t="str">
        <f t="shared" si="45"/>
        <v>-</v>
      </c>
      <c r="AD52" s="12" t="str">
        <f t="shared" si="46"/>
        <v>-</v>
      </c>
      <c r="AE52" s="12" t="str">
        <f t="shared" si="47"/>
        <v>-</v>
      </c>
      <c r="AF52" s="12" t="str">
        <f t="shared" si="48"/>
        <v>-</v>
      </c>
      <c r="AG52" s="12" t="str">
        <f t="shared" si="49"/>
        <v>-</v>
      </c>
      <c r="AJ52" s="160">
        <f t="shared" ca="1" si="50"/>
        <v>0</v>
      </c>
      <c r="AK52" s="12">
        <f t="shared" ca="1" si="51"/>
        <v>0</v>
      </c>
      <c r="AL52" s="12">
        <f t="shared" ca="1" si="52"/>
        <v>0</v>
      </c>
      <c r="AN52" s="28"/>
      <c r="AO52" s="78" t="s">
        <v>456</v>
      </c>
      <c r="AP52" s="179"/>
      <c r="AQ52" s="181" t="s">
        <v>60</v>
      </c>
      <c r="AR52" s="166">
        <v>0</v>
      </c>
      <c r="AS52" s="166">
        <v>0</v>
      </c>
      <c r="AT52" s="178" t="s">
        <v>388</v>
      </c>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row>
    <row r="53" spans="1:77" ht="15.75" customHeight="1" x14ac:dyDescent="0.3">
      <c r="A53" s="45" t="s">
        <v>199</v>
      </c>
      <c r="C53" s="12">
        <f t="shared" si="19"/>
        <v>1</v>
      </c>
      <c r="D53" s="12" t="str">
        <f t="shared" si="20"/>
        <v>-</v>
      </c>
      <c r="E53" s="12" t="str">
        <f t="shared" si="21"/>
        <v>-</v>
      </c>
      <c r="F53" s="12" t="str">
        <f t="shared" si="22"/>
        <v>-</v>
      </c>
      <c r="G53" s="12" t="str">
        <f t="shared" si="23"/>
        <v>-</v>
      </c>
      <c r="H53" s="12" t="str">
        <f t="shared" si="24"/>
        <v>-</v>
      </c>
      <c r="I53" s="12" t="str">
        <f t="shared" si="25"/>
        <v>-</v>
      </c>
      <c r="J53" s="12" t="str">
        <f t="shared" si="26"/>
        <v>-</v>
      </c>
      <c r="K53" s="12" t="str">
        <f t="shared" si="27"/>
        <v>-</v>
      </c>
      <c r="L53" s="12" t="str">
        <f t="shared" si="28"/>
        <v>-</v>
      </c>
      <c r="M53" s="12" t="str">
        <f t="shared" si="29"/>
        <v>-</v>
      </c>
      <c r="N53" s="12" t="str">
        <f t="shared" si="30"/>
        <v>-</v>
      </c>
      <c r="O53" s="12" t="str">
        <f t="shared" si="31"/>
        <v>-</v>
      </c>
      <c r="P53" s="12" t="str">
        <f t="shared" si="32"/>
        <v>-</v>
      </c>
      <c r="Q53" s="12" t="str">
        <f t="shared" si="33"/>
        <v>-</v>
      </c>
      <c r="R53" s="12" t="str">
        <f t="shared" si="34"/>
        <v>-</v>
      </c>
      <c r="S53" s="12" t="str">
        <f t="shared" si="35"/>
        <v>-</v>
      </c>
      <c r="T53" s="12" t="str">
        <f t="shared" si="36"/>
        <v>-</v>
      </c>
      <c r="U53" s="12" t="str">
        <f t="shared" si="37"/>
        <v>-</v>
      </c>
      <c r="V53" s="12" t="str">
        <f t="shared" si="38"/>
        <v>-</v>
      </c>
      <c r="W53" s="12" t="str">
        <f t="shared" si="39"/>
        <v>-</v>
      </c>
      <c r="X53" s="12" t="str">
        <f t="shared" si="40"/>
        <v>-</v>
      </c>
      <c r="Y53" s="12" t="str">
        <f t="shared" si="41"/>
        <v>-</v>
      </c>
      <c r="Z53" s="12" t="str">
        <f t="shared" si="42"/>
        <v>-</v>
      </c>
      <c r="AA53" s="12" t="str">
        <f t="shared" si="43"/>
        <v>-</v>
      </c>
      <c r="AB53" s="12" t="str">
        <f t="shared" si="44"/>
        <v>-</v>
      </c>
      <c r="AC53" s="12" t="str">
        <f t="shared" si="45"/>
        <v>-</v>
      </c>
      <c r="AD53" s="12" t="str">
        <f t="shared" si="46"/>
        <v>-</v>
      </c>
      <c r="AE53" s="12" t="str">
        <f t="shared" si="47"/>
        <v>-</v>
      </c>
      <c r="AF53" s="12" t="str">
        <f t="shared" si="48"/>
        <v>-</v>
      </c>
      <c r="AG53" s="12" t="str">
        <f t="shared" si="49"/>
        <v>-</v>
      </c>
      <c r="AJ53" s="160">
        <f t="shared" ca="1" si="50"/>
        <v>0</v>
      </c>
      <c r="AK53" s="12">
        <f t="shared" ca="1" si="51"/>
        <v>0</v>
      </c>
      <c r="AL53" s="12">
        <f t="shared" ca="1" si="52"/>
        <v>0</v>
      </c>
      <c r="AN53" s="28"/>
      <c r="AO53" s="78" t="s">
        <v>457</v>
      </c>
      <c r="AP53" s="179"/>
      <c r="AQ53" s="181" t="s">
        <v>60</v>
      </c>
      <c r="AR53" s="166">
        <v>0</v>
      </c>
      <c r="AS53" s="166">
        <v>0</v>
      </c>
      <c r="AT53" s="178" t="s">
        <v>388</v>
      </c>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7"/>
      <c r="BR53" s="157"/>
      <c r="BS53" s="157"/>
      <c r="BT53" s="157"/>
      <c r="BU53" s="157"/>
      <c r="BV53" s="157"/>
      <c r="BW53" s="157"/>
      <c r="BX53" s="157"/>
      <c r="BY53" s="157"/>
    </row>
    <row r="54" spans="1:77" ht="15.75" customHeight="1" x14ac:dyDescent="0.3">
      <c r="A54" s="45" t="s">
        <v>493</v>
      </c>
      <c r="C54" s="12">
        <f t="shared" si="19"/>
        <v>1</v>
      </c>
      <c r="D54" s="12" t="str">
        <f t="shared" si="20"/>
        <v>-</v>
      </c>
      <c r="E54" s="12" t="str">
        <f t="shared" si="21"/>
        <v>-</v>
      </c>
      <c r="F54" s="12" t="str">
        <f t="shared" si="22"/>
        <v>-</v>
      </c>
      <c r="G54" s="12" t="str">
        <f t="shared" si="23"/>
        <v>-</v>
      </c>
      <c r="H54" s="12" t="str">
        <f t="shared" si="24"/>
        <v>-</v>
      </c>
      <c r="I54" s="12" t="str">
        <f t="shared" si="25"/>
        <v>-</v>
      </c>
      <c r="J54" s="12" t="str">
        <f t="shared" si="26"/>
        <v>-</v>
      </c>
      <c r="K54" s="12" t="str">
        <f t="shared" si="27"/>
        <v>-</v>
      </c>
      <c r="L54" s="12" t="str">
        <f t="shared" si="28"/>
        <v>-</v>
      </c>
      <c r="M54" s="12" t="str">
        <f t="shared" si="29"/>
        <v>-</v>
      </c>
      <c r="N54" s="12" t="str">
        <f t="shared" si="30"/>
        <v>-</v>
      </c>
      <c r="O54" s="12" t="str">
        <f t="shared" si="31"/>
        <v>-</v>
      </c>
      <c r="P54" s="12" t="str">
        <f t="shared" si="32"/>
        <v>-</v>
      </c>
      <c r="Q54" s="12" t="str">
        <f t="shared" si="33"/>
        <v>-</v>
      </c>
      <c r="R54" s="12" t="str">
        <f t="shared" si="34"/>
        <v>-</v>
      </c>
      <c r="S54" s="12" t="str">
        <f t="shared" si="35"/>
        <v>-</v>
      </c>
      <c r="T54" s="12" t="str">
        <f t="shared" si="36"/>
        <v>-</v>
      </c>
      <c r="U54" s="12" t="str">
        <f t="shared" si="37"/>
        <v>-</v>
      </c>
      <c r="V54" s="12" t="str">
        <f t="shared" si="38"/>
        <v>-</v>
      </c>
      <c r="W54" s="12" t="str">
        <f t="shared" si="39"/>
        <v>-</v>
      </c>
      <c r="X54" s="12" t="str">
        <f t="shared" si="40"/>
        <v>-</v>
      </c>
      <c r="Y54" s="12" t="str">
        <f t="shared" si="41"/>
        <v>-</v>
      </c>
      <c r="Z54" s="12" t="str">
        <f t="shared" si="42"/>
        <v>-</v>
      </c>
      <c r="AA54" s="12" t="str">
        <f t="shared" si="43"/>
        <v>-</v>
      </c>
      <c r="AB54" s="12" t="str">
        <f t="shared" si="44"/>
        <v>-</v>
      </c>
      <c r="AC54" s="12" t="str">
        <f t="shared" si="45"/>
        <v>-</v>
      </c>
      <c r="AD54" s="12" t="str">
        <f t="shared" si="46"/>
        <v>-</v>
      </c>
      <c r="AE54" s="12" t="str">
        <f t="shared" si="47"/>
        <v>-</v>
      </c>
      <c r="AF54" s="12" t="str">
        <f t="shared" si="48"/>
        <v>-</v>
      </c>
      <c r="AG54" s="12" t="str">
        <f t="shared" si="49"/>
        <v>-</v>
      </c>
      <c r="AJ54" s="160">
        <f t="shared" ca="1" si="50"/>
        <v>0</v>
      </c>
      <c r="AK54" s="12">
        <f t="shared" ca="1" si="51"/>
        <v>0</v>
      </c>
      <c r="AL54" s="12">
        <f t="shared" ca="1" si="52"/>
        <v>0</v>
      </c>
      <c r="AN54" s="28"/>
      <c r="AO54" s="78" t="s">
        <v>458</v>
      </c>
      <c r="AP54" s="179"/>
      <c r="AQ54" s="181" t="s">
        <v>60</v>
      </c>
      <c r="AR54" s="166">
        <v>0</v>
      </c>
      <c r="AS54" s="166">
        <v>0</v>
      </c>
      <c r="AT54" s="178" t="s">
        <v>388</v>
      </c>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row>
    <row r="55" spans="1:77" ht="15.75" customHeight="1" x14ac:dyDescent="0.3">
      <c r="A55" s="45" t="s">
        <v>494</v>
      </c>
      <c r="C55" s="12">
        <f t="shared" si="19"/>
        <v>1</v>
      </c>
      <c r="D55" s="12" t="str">
        <f t="shared" si="20"/>
        <v>-</v>
      </c>
      <c r="E55" s="12" t="str">
        <f t="shared" si="21"/>
        <v>-</v>
      </c>
      <c r="F55" s="12" t="str">
        <f t="shared" si="22"/>
        <v>-</v>
      </c>
      <c r="G55" s="12" t="str">
        <f t="shared" si="23"/>
        <v>-</v>
      </c>
      <c r="H55" s="12" t="str">
        <f t="shared" si="24"/>
        <v>-</v>
      </c>
      <c r="I55" s="12" t="str">
        <f t="shared" si="25"/>
        <v>-</v>
      </c>
      <c r="J55" s="12" t="str">
        <f t="shared" si="26"/>
        <v>-</v>
      </c>
      <c r="K55" s="12" t="str">
        <f t="shared" si="27"/>
        <v>-</v>
      </c>
      <c r="L55" s="12" t="str">
        <f t="shared" si="28"/>
        <v>-</v>
      </c>
      <c r="M55" s="12" t="str">
        <f t="shared" si="29"/>
        <v>-</v>
      </c>
      <c r="N55" s="12" t="str">
        <f t="shared" si="30"/>
        <v>-</v>
      </c>
      <c r="O55" s="12" t="str">
        <f t="shared" si="31"/>
        <v>-</v>
      </c>
      <c r="P55" s="12" t="str">
        <f t="shared" si="32"/>
        <v>-</v>
      </c>
      <c r="Q55" s="12" t="str">
        <f t="shared" si="33"/>
        <v>-</v>
      </c>
      <c r="R55" s="12" t="str">
        <f t="shared" si="34"/>
        <v>-</v>
      </c>
      <c r="S55" s="12" t="str">
        <f t="shared" si="35"/>
        <v>-</v>
      </c>
      <c r="T55" s="12" t="str">
        <f t="shared" si="36"/>
        <v>-</v>
      </c>
      <c r="U55" s="12" t="str">
        <f t="shared" si="37"/>
        <v>-</v>
      </c>
      <c r="V55" s="12" t="str">
        <f t="shared" si="38"/>
        <v>-</v>
      </c>
      <c r="W55" s="12" t="str">
        <f t="shared" si="39"/>
        <v>-</v>
      </c>
      <c r="X55" s="12" t="str">
        <f t="shared" si="40"/>
        <v>-</v>
      </c>
      <c r="Y55" s="12" t="str">
        <f t="shared" si="41"/>
        <v>-</v>
      </c>
      <c r="Z55" s="12" t="str">
        <f t="shared" si="42"/>
        <v>-</v>
      </c>
      <c r="AA55" s="12" t="str">
        <f t="shared" si="43"/>
        <v>-</v>
      </c>
      <c r="AB55" s="12" t="str">
        <f t="shared" si="44"/>
        <v>-</v>
      </c>
      <c r="AC55" s="12" t="str">
        <f t="shared" si="45"/>
        <v>-</v>
      </c>
      <c r="AD55" s="12" t="str">
        <f t="shared" si="46"/>
        <v>-</v>
      </c>
      <c r="AE55" s="12" t="str">
        <f t="shared" si="47"/>
        <v>-</v>
      </c>
      <c r="AF55" s="12" t="str">
        <f t="shared" si="48"/>
        <v>-</v>
      </c>
      <c r="AG55" s="12" t="str">
        <f t="shared" si="49"/>
        <v>-</v>
      </c>
      <c r="AJ55" s="160">
        <f t="shared" ca="1" si="50"/>
        <v>0</v>
      </c>
      <c r="AK55" s="12">
        <f t="shared" ca="1" si="51"/>
        <v>0</v>
      </c>
      <c r="AL55" s="12">
        <f t="shared" ca="1" si="52"/>
        <v>0</v>
      </c>
      <c r="AN55" s="28"/>
      <c r="AO55" s="78" t="s">
        <v>459</v>
      </c>
      <c r="AP55" s="179"/>
      <c r="AQ55" s="181" t="s">
        <v>60</v>
      </c>
      <c r="AR55" s="166">
        <v>0</v>
      </c>
      <c r="AS55" s="166">
        <v>0</v>
      </c>
      <c r="AT55" s="178" t="s">
        <v>388</v>
      </c>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row>
    <row r="56" spans="1:77" ht="15.75" customHeight="1" x14ac:dyDescent="0.3">
      <c r="A56" s="45" t="s">
        <v>495</v>
      </c>
      <c r="C56" s="12">
        <f t="shared" si="19"/>
        <v>1</v>
      </c>
      <c r="D56" s="12" t="str">
        <f t="shared" si="20"/>
        <v>-</v>
      </c>
      <c r="E56" s="12" t="str">
        <f t="shared" si="21"/>
        <v>-</v>
      </c>
      <c r="F56" s="12" t="str">
        <f t="shared" si="22"/>
        <v>-</v>
      </c>
      <c r="G56" s="12" t="str">
        <f t="shared" si="23"/>
        <v>-</v>
      </c>
      <c r="H56" s="12" t="str">
        <f t="shared" si="24"/>
        <v>-</v>
      </c>
      <c r="I56" s="12" t="str">
        <f t="shared" si="25"/>
        <v>-</v>
      </c>
      <c r="J56" s="12" t="str">
        <f t="shared" si="26"/>
        <v>-</v>
      </c>
      <c r="K56" s="12" t="str">
        <f t="shared" si="27"/>
        <v>-</v>
      </c>
      <c r="L56" s="12" t="str">
        <f t="shared" si="28"/>
        <v>-</v>
      </c>
      <c r="M56" s="12" t="str">
        <f t="shared" si="29"/>
        <v>-</v>
      </c>
      <c r="N56" s="12" t="str">
        <f t="shared" si="30"/>
        <v>-</v>
      </c>
      <c r="O56" s="12" t="str">
        <f t="shared" si="31"/>
        <v>-</v>
      </c>
      <c r="P56" s="12" t="str">
        <f t="shared" si="32"/>
        <v>-</v>
      </c>
      <c r="Q56" s="12" t="str">
        <f t="shared" si="33"/>
        <v>-</v>
      </c>
      <c r="R56" s="12" t="str">
        <f t="shared" si="34"/>
        <v>-</v>
      </c>
      <c r="S56" s="12" t="str">
        <f t="shared" si="35"/>
        <v>-</v>
      </c>
      <c r="T56" s="12" t="str">
        <f t="shared" si="36"/>
        <v>-</v>
      </c>
      <c r="U56" s="12" t="str">
        <f t="shared" si="37"/>
        <v>-</v>
      </c>
      <c r="V56" s="12" t="str">
        <f t="shared" si="38"/>
        <v>-</v>
      </c>
      <c r="W56" s="12" t="str">
        <f t="shared" si="39"/>
        <v>-</v>
      </c>
      <c r="X56" s="12" t="str">
        <f t="shared" si="40"/>
        <v>-</v>
      </c>
      <c r="Y56" s="12" t="str">
        <f t="shared" si="41"/>
        <v>-</v>
      </c>
      <c r="Z56" s="12" t="str">
        <f t="shared" si="42"/>
        <v>-</v>
      </c>
      <c r="AA56" s="12" t="str">
        <f t="shared" si="43"/>
        <v>-</v>
      </c>
      <c r="AB56" s="12" t="str">
        <f t="shared" si="44"/>
        <v>-</v>
      </c>
      <c r="AC56" s="12" t="str">
        <f t="shared" si="45"/>
        <v>-</v>
      </c>
      <c r="AD56" s="12" t="str">
        <f t="shared" si="46"/>
        <v>-</v>
      </c>
      <c r="AE56" s="12" t="str">
        <f t="shared" si="47"/>
        <v>-</v>
      </c>
      <c r="AF56" s="12" t="str">
        <f t="shared" si="48"/>
        <v>-</v>
      </c>
      <c r="AG56" s="12" t="str">
        <f t="shared" si="49"/>
        <v>-</v>
      </c>
      <c r="AJ56" s="160">
        <f t="shared" ca="1" si="50"/>
        <v>0</v>
      </c>
      <c r="AK56" s="12">
        <f t="shared" ca="1" si="51"/>
        <v>0</v>
      </c>
      <c r="AL56" s="12">
        <f t="shared" ca="1" si="52"/>
        <v>0</v>
      </c>
      <c r="AN56" s="28"/>
      <c r="AO56" s="78" t="s">
        <v>460</v>
      </c>
      <c r="AP56" s="179"/>
      <c r="AQ56" s="181" t="s">
        <v>60</v>
      </c>
      <c r="AR56" s="166">
        <v>0</v>
      </c>
      <c r="AS56" s="166">
        <v>0</v>
      </c>
      <c r="AT56" s="178" t="s">
        <v>388</v>
      </c>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row>
    <row r="57" spans="1:77" ht="15.75" customHeight="1" x14ac:dyDescent="0.3">
      <c r="A57" s="45" t="s">
        <v>496</v>
      </c>
      <c r="C57" s="12">
        <f t="shared" si="19"/>
        <v>1</v>
      </c>
      <c r="D57" s="12" t="str">
        <f t="shared" si="20"/>
        <v>-</v>
      </c>
      <c r="E57" s="12" t="str">
        <f t="shared" si="21"/>
        <v>-</v>
      </c>
      <c r="F57" s="12" t="str">
        <f t="shared" si="22"/>
        <v>-</v>
      </c>
      <c r="G57" s="12" t="str">
        <f t="shared" si="23"/>
        <v>-</v>
      </c>
      <c r="H57" s="12" t="str">
        <f t="shared" si="24"/>
        <v>-</v>
      </c>
      <c r="I57" s="12" t="str">
        <f t="shared" si="25"/>
        <v>-</v>
      </c>
      <c r="J57" s="12" t="str">
        <f t="shared" si="26"/>
        <v>-</v>
      </c>
      <c r="K57" s="12" t="str">
        <f t="shared" si="27"/>
        <v>-</v>
      </c>
      <c r="L57" s="12" t="str">
        <f t="shared" si="28"/>
        <v>-</v>
      </c>
      <c r="M57" s="12" t="str">
        <f t="shared" si="29"/>
        <v>-</v>
      </c>
      <c r="N57" s="12" t="str">
        <f t="shared" si="30"/>
        <v>-</v>
      </c>
      <c r="O57" s="12" t="str">
        <f t="shared" si="31"/>
        <v>-</v>
      </c>
      <c r="P57" s="12" t="str">
        <f t="shared" si="32"/>
        <v>-</v>
      </c>
      <c r="Q57" s="12" t="str">
        <f t="shared" si="33"/>
        <v>-</v>
      </c>
      <c r="R57" s="12" t="str">
        <f t="shared" si="34"/>
        <v>-</v>
      </c>
      <c r="S57" s="12" t="str">
        <f t="shared" si="35"/>
        <v>-</v>
      </c>
      <c r="T57" s="12" t="str">
        <f t="shared" si="36"/>
        <v>-</v>
      </c>
      <c r="U57" s="12" t="str">
        <f t="shared" si="37"/>
        <v>-</v>
      </c>
      <c r="V57" s="12" t="str">
        <f t="shared" si="38"/>
        <v>-</v>
      </c>
      <c r="W57" s="12" t="str">
        <f t="shared" si="39"/>
        <v>-</v>
      </c>
      <c r="X57" s="12" t="str">
        <f t="shared" si="40"/>
        <v>-</v>
      </c>
      <c r="Y57" s="12" t="str">
        <f t="shared" si="41"/>
        <v>-</v>
      </c>
      <c r="Z57" s="12" t="str">
        <f t="shared" si="42"/>
        <v>-</v>
      </c>
      <c r="AA57" s="12" t="str">
        <f t="shared" si="43"/>
        <v>-</v>
      </c>
      <c r="AB57" s="12" t="str">
        <f t="shared" si="44"/>
        <v>-</v>
      </c>
      <c r="AC57" s="12" t="str">
        <f t="shared" si="45"/>
        <v>-</v>
      </c>
      <c r="AD57" s="12" t="str">
        <f t="shared" si="46"/>
        <v>-</v>
      </c>
      <c r="AE57" s="12" t="str">
        <f t="shared" si="47"/>
        <v>-</v>
      </c>
      <c r="AF57" s="12" t="str">
        <f t="shared" si="48"/>
        <v>-</v>
      </c>
      <c r="AG57" s="12" t="str">
        <f t="shared" si="49"/>
        <v>-</v>
      </c>
      <c r="AJ57" s="160">
        <f t="shared" ca="1" si="50"/>
        <v>0</v>
      </c>
      <c r="AK57" s="12">
        <f t="shared" ca="1" si="51"/>
        <v>0</v>
      </c>
      <c r="AL57" s="12">
        <f t="shared" ca="1" si="52"/>
        <v>0</v>
      </c>
      <c r="AN57" s="28"/>
      <c r="AO57" s="78" t="s">
        <v>461</v>
      </c>
      <c r="AP57" s="179"/>
      <c r="AQ57" s="181" t="s">
        <v>60</v>
      </c>
      <c r="AR57" s="166">
        <v>0</v>
      </c>
      <c r="AS57" s="166">
        <v>0</v>
      </c>
      <c r="AT57" s="178" t="s">
        <v>388</v>
      </c>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row>
    <row r="58" spans="1:77" ht="15.75" customHeight="1" x14ac:dyDescent="0.3">
      <c r="A58" s="45" t="s">
        <v>497</v>
      </c>
      <c r="C58" s="12">
        <f t="shared" si="19"/>
        <v>1</v>
      </c>
      <c r="D58" s="12" t="str">
        <f t="shared" si="20"/>
        <v>-</v>
      </c>
      <c r="E58" s="12" t="str">
        <f t="shared" si="21"/>
        <v>-</v>
      </c>
      <c r="F58" s="12" t="str">
        <f t="shared" si="22"/>
        <v>-</v>
      </c>
      <c r="G58" s="12" t="str">
        <f t="shared" si="23"/>
        <v>-</v>
      </c>
      <c r="H58" s="12" t="str">
        <f t="shared" si="24"/>
        <v>-</v>
      </c>
      <c r="I58" s="12" t="str">
        <f t="shared" si="25"/>
        <v>-</v>
      </c>
      <c r="J58" s="12" t="str">
        <f t="shared" si="26"/>
        <v>-</v>
      </c>
      <c r="K58" s="12" t="str">
        <f t="shared" si="27"/>
        <v>-</v>
      </c>
      <c r="L58" s="12" t="str">
        <f t="shared" si="28"/>
        <v>-</v>
      </c>
      <c r="M58" s="12" t="str">
        <f t="shared" si="29"/>
        <v>-</v>
      </c>
      <c r="N58" s="12" t="str">
        <f t="shared" si="30"/>
        <v>-</v>
      </c>
      <c r="O58" s="12" t="str">
        <f t="shared" si="31"/>
        <v>-</v>
      </c>
      <c r="P58" s="12" t="str">
        <f t="shared" si="32"/>
        <v>-</v>
      </c>
      <c r="Q58" s="12" t="str">
        <f t="shared" si="33"/>
        <v>-</v>
      </c>
      <c r="R58" s="12" t="str">
        <f t="shared" si="34"/>
        <v>-</v>
      </c>
      <c r="S58" s="12" t="str">
        <f t="shared" si="35"/>
        <v>-</v>
      </c>
      <c r="T58" s="12" t="str">
        <f t="shared" si="36"/>
        <v>-</v>
      </c>
      <c r="U58" s="12" t="str">
        <f t="shared" si="37"/>
        <v>-</v>
      </c>
      <c r="V58" s="12" t="str">
        <f t="shared" si="38"/>
        <v>-</v>
      </c>
      <c r="W58" s="12" t="str">
        <f t="shared" si="39"/>
        <v>-</v>
      </c>
      <c r="X58" s="12" t="str">
        <f t="shared" si="40"/>
        <v>-</v>
      </c>
      <c r="Y58" s="12" t="str">
        <f t="shared" si="41"/>
        <v>-</v>
      </c>
      <c r="Z58" s="12" t="str">
        <f t="shared" si="42"/>
        <v>-</v>
      </c>
      <c r="AA58" s="12" t="str">
        <f t="shared" si="43"/>
        <v>-</v>
      </c>
      <c r="AB58" s="12" t="str">
        <f t="shared" si="44"/>
        <v>-</v>
      </c>
      <c r="AC58" s="12" t="str">
        <f t="shared" si="45"/>
        <v>-</v>
      </c>
      <c r="AD58" s="12" t="str">
        <f t="shared" si="46"/>
        <v>-</v>
      </c>
      <c r="AE58" s="12" t="str">
        <f t="shared" si="47"/>
        <v>-</v>
      </c>
      <c r="AF58" s="12" t="str">
        <f t="shared" si="48"/>
        <v>-</v>
      </c>
      <c r="AG58" s="12" t="str">
        <f t="shared" si="49"/>
        <v>-</v>
      </c>
      <c r="AJ58" s="160">
        <f t="shared" ca="1" si="50"/>
        <v>0</v>
      </c>
      <c r="AK58" s="12">
        <f t="shared" ca="1" si="51"/>
        <v>0</v>
      </c>
      <c r="AL58" s="12">
        <f t="shared" ca="1" si="52"/>
        <v>0</v>
      </c>
      <c r="AN58" s="28"/>
      <c r="AO58" s="78" t="s">
        <v>462</v>
      </c>
      <c r="AP58" s="179"/>
      <c r="AQ58" s="181" t="s">
        <v>60</v>
      </c>
      <c r="AR58" s="166">
        <v>0</v>
      </c>
      <c r="AS58" s="166">
        <v>0</v>
      </c>
      <c r="AT58" s="178" t="s">
        <v>388</v>
      </c>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57"/>
    </row>
    <row r="59" spans="1:77" ht="15.75" customHeight="1" outlineLevel="1" x14ac:dyDescent="0.3">
      <c r="A59" s="45" t="s">
        <v>498</v>
      </c>
      <c r="C59" s="12">
        <f t="shared" si="19"/>
        <v>1</v>
      </c>
      <c r="D59" s="12" t="str">
        <f t="shared" si="20"/>
        <v>-</v>
      </c>
      <c r="E59" s="12" t="str">
        <f t="shared" si="21"/>
        <v>-</v>
      </c>
      <c r="F59" s="12" t="str">
        <f t="shared" si="22"/>
        <v>-</v>
      </c>
      <c r="G59" s="12" t="str">
        <f t="shared" si="23"/>
        <v>-</v>
      </c>
      <c r="H59" s="12" t="str">
        <f t="shared" si="24"/>
        <v>-</v>
      </c>
      <c r="I59" s="12" t="str">
        <f t="shared" si="25"/>
        <v>-</v>
      </c>
      <c r="J59" s="12" t="str">
        <f t="shared" si="26"/>
        <v>-</v>
      </c>
      <c r="K59" s="12" t="str">
        <f t="shared" si="27"/>
        <v>-</v>
      </c>
      <c r="L59" s="12" t="str">
        <f t="shared" si="28"/>
        <v>-</v>
      </c>
      <c r="M59" s="12" t="str">
        <f t="shared" si="29"/>
        <v>-</v>
      </c>
      <c r="N59" s="12" t="str">
        <f t="shared" si="30"/>
        <v>-</v>
      </c>
      <c r="O59" s="12" t="str">
        <f t="shared" si="31"/>
        <v>-</v>
      </c>
      <c r="P59" s="12" t="str">
        <f t="shared" si="32"/>
        <v>-</v>
      </c>
      <c r="Q59" s="12" t="str">
        <f t="shared" si="33"/>
        <v>-</v>
      </c>
      <c r="R59" s="12" t="str">
        <f t="shared" si="34"/>
        <v>-</v>
      </c>
      <c r="S59" s="12" t="str">
        <f t="shared" si="35"/>
        <v>-</v>
      </c>
      <c r="T59" s="12" t="str">
        <f t="shared" si="36"/>
        <v>-</v>
      </c>
      <c r="U59" s="12" t="str">
        <f t="shared" si="37"/>
        <v>-</v>
      </c>
      <c r="V59" s="12" t="str">
        <f t="shared" si="38"/>
        <v>-</v>
      </c>
      <c r="W59" s="12" t="str">
        <f t="shared" si="39"/>
        <v>-</v>
      </c>
      <c r="X59" s="12" t="str">
        <f t="shared" si="40"/>
        <v>-</v>
      </c>
      <c r="Y59" s="12" t="str">
        <f t="shared" si="41"/>
        <v>-</v>
      </c>
      <c r="Z59" s="12" t="str">
        <f t="shared" si="42"/>
        <v>-</v>
      </c>
      <c r="AA59" s="12" t="str">
        <f t="shared" si="43"/>
        <v>-</v>
      </c>
      <c r="AB59" s="12" t="str">
        <f t="shared" si="44"/>
        <v>-</v>
      </c>
      <c r="AC59" s="12" t="str">
        <f t="shared" si="45"/>
        <v>-</v>
      </c>
      <c r="AD59" s="12" t="str">
        <f t="shared" si="46"/>
        <v>-</v>
      </c>
      <c r="AE59" s="12" t="str">
        <f t="shared" si="47"/>
        <v>-</v>
      </c>
      <c r="AF59" s="12" t="str">
        <f t="shared" si="48"/>
        <v>-</v>
      </c>
      <c r="AG59" s="12" t="str">
        <f t="shared" si="49"/>
        <v>-</v>
      </c>
      <c r="AJ59" s="160">
        <f t="shared" ca="1" si="50"/>
        <v>0</v>
      </c>
      <c r="AK59" s="12">
        <f t="shared" ca="1" si="51"/>
        <v>0</v>
      </c>
      <c r="AL59" s="12">
        <f t="shared" ca="1" si="52"/>
        <v>0</v>
      </c>
      <c r="AN59" s="28"/>
      <c r="AO59" s="78" t="s">
        <v>463</v>
      </c>
      <c r="AP59" s="179"/>
      <c r="AQ59" s="181" t="s">
        <v>60</v>
      </c>
      <c r="AR59" s="166">
        <v>0</v>
      </c>
      <c r="AS59" s="166">
        <v>0</v>
      </c>
      <c r="AT59" s="178" t="s">
        <v>388</v>
      </c>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row>
    <row r="60" spans="1:77" ht="15.75" customHeight="1" outlineLevel="1" x14ac:dyDescent="0.3">
      <c r="A60" s="45" t="s">
        <v>499</v>
      </c>
      <c r="C60" s="12">
        <f t="shared" si="19"/>
        <v>1</v>
      </c>
      <c r="D60" s="12" t="str">
        <f t="shared" si="20"/>
        <v>-</v>
      </c>
      <c r="E60" s="12" t="str">
        <f t="shared" si="21"/>
        <v>-</v>
      </c>
      <c r="F60" s="12" t="str">
        <f t="shared" si="22"/>
        <v>-</v>
      </c>
      <c r="G60" s="12" t="str">
        <f t="shared" si="23"/>
        <v>-</v>
      </c>
      <c r="H60" s="12" t="str">
        <f t="shared" si="24"/>
        <v>-</v>
      </c>
      <c r="I60" s="12" t="str">
        <f t="shared" si="25"/>
        <v>-</v>
      </c>
      <c r="J60" s="12" t="str">
        <f t="shared" si="26"/>
        <v>-</v>
      </c>
      <c r="K60" s="12" t="str">
        <f t="shared" si="27"/>
        <v>-</v>
      </c>
      <c r="L60" s="12" t="str">
        <f t="shared" si="28"/>
        <v>-</v>
      </c>
      <c r="M60" s="12" t="str">
        <f t="shared" si="29"/>
        <v>-</v>
      </c>
      <c r="N60" s="12" t="str">
        <f t="shared" si="30"/>
        <v>-</v>
      </c>
      <c r="O60" s="12" t="str">
        <f t="shared" si="31"/>
        <v>-</v>
      </c>
      <c r="P60" s="12" t="str">
        <f t="shared" si="32"/>
        <v>-</v>
      </c>
      <c r="Q60" s="12" t="str">
        <f t="shared" si="33"/>
        <v>-</v>
      </c>
      <c r="R60" s="12" t="str">
        <f t="shared" si="34"/>
        <v>-</v>
      </c>
      <c r="S60" s="12" t="str">
        <f t="shared" si="35"/>
        <v>-</v>
      </c>
      <c r="T60" s="12" t="str">
        <f t="shared" si="36"/>
        <v>-</v>
      </c>
      <c r="U60" s="12" t="str">
        <f t="shared" si="37"/>
        <v>-</v>
      </c>
      <c r="V60" s="12" t="str">
        <f t="shared" si="38"/>
        <v>-</v>
      </c>
      <c r="W60" s="12" t="str">
        <f t="shared" si="39"/>
        <v>-</v>
      </c>
      <c r="X60" s="12" t="str">
        <f t="shared" si="40"/>
        <v>-</v>
      </c>
      <c r="Y60" s="12" t="str">
        <f t="shared" si="41"/>
        <v>-</v>
      </c>
      <c r="Z60" s="12" t="str">
        <f t="shared" si="42"/>
        <v>-</v>
      </c>
      <c r="AA60" s="12" t="str">
        <f t="shared" si="43"/>
        <v>-</v>
      </c>
      <c r="AB60" s="12" t="str">
        <f t="shared" si="44"/>
        <v>-</v>
      </c>
      <c r="AC60" s="12" t="str">
        <f t="shared" si="45"/>
        <v>-</v>
      </c>
      <c r="AD60" s="12" t="str">
        <f t="shared" si="46"/>
        <v>-</v>
      </c>
      <c r="AE60" s="12" t="str">
        <f t="shared" si="47"/>
        <v>-</v>
      </c>
      <c r="AF60" s="12" t="str">
        <f t="shared" si="48"/>
        <v>-</v>
      </c>
      <c r="AG60" s="12" t="str">
        <f t="shared" si="49"/>
        <v>-</v>
      </c>
      <c r="AJ60" s="160">
        <f t="shared" ca="1" si="50"/>
        <v>0</v>
      </c>
      <c r="AK60" s="12">
        <f t="shared" ca="1" si="51"/>
        <v>0</v>
      </c>
      <c r="AL60" s="12">
        <f t="shared" ca="1" si="52"/>
        <v>0</v>
      </c>
      <c r="AN60" s="28"/>
      <c r="AO60" s="78" t="s">
        <v>464</v>
      </c>
      <c r="AP60" s="179"/>
      <c r="AQ60" s="181" t="s">
        <v>60</v>
      </c>
      <c r="AR60" s="166">
        <v>0</v>
      </c>
      <c r="AS60" s="166">
        <v>0</v>
      </c>
      <c r="AT60" s="178" t="s">
        <v>388</v>
      </c>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row>
    <row r="61" spans="1:77" ht="15.75" customHeight="1" outlineLevel="1" x14ac:dyDescent="0.3">
      <c r="A61" s="45" t="s">
        <v>500</v>
      </c>
      <c r="C61" s="12">
        <f t="shared" si="19"/>
        <v>1</v>
      </c>
      <c r="D61" s="12" t="str">
        <f t="shared" si="20"/>
        <v>-</v>
      </c>
      <c r="E61" s="12" t="str">
        <f t="shared" si="21"/>
        <v>-</v>
      </c>
      <c r="F61" s="12" t="str">
        <f t="shared" si="22"/>
        <v>-</v>
      </c>
      <c r="G61" s="12" t="str">
        <f t="shared" si="23"/>
        <v>-</v>
      </c>
      <c r="H61" s="12" t="str">
        <f t="shared" si="24"/>
        <v>-</v>
      </c>
      <c r="I61" s="12" t="str">
        <f t="shared" si="25"/>
        <v>-</v>
      </c>
      <c r="J61" s="12" t="str">
        <f t="shared" si="26"/>
        <v>-</v>
      </c>
      <c r="K61" s="12" t="str">
        <f t="shared" si="27"/>
        <v>-</v>
      </c>
      <c r="L61" s="12" t="str">
        <f t="shared" si="28"/>
        <v>-</v>
      </c>
      <c r="M61" s="12" t="str">
        <f t="shared" si="29"/>
        <v>-</v>
      </c>
      <c r="N61" s="12" t="str">
        <f t="shared" si="30"/>
        <v>-</v>
      </c>
      <c r="O61" s="12" t="str">
        <f t="shared" si="31"/>
        <v>-</v>
      </c>
      <c r="P61" s="12" t="str">
        <f t="shared" si="32"/>
        <v>-</v>
      </c>
      <c r="Q61" s="12" t="str">
        <f t="shared" si="33"/>
        <v>-</v>
      </c>
      <c r="R61" s="12" t="str">
        <f t="shared" si="34"/>
        <v>-</v>
      </c>
      <c r="S61" s="12" t="str">
        <f t="shared" si="35"/>
        <v>-</v>
      </c>
      <c r="T61" s="12" t="str">
        <f t="shared" si="36"/>
        <v>-</v>
      </c>
      <c r="U61" s="12" t="str">
        <f t="shared" si="37"/>
        <v>-</v>
      </c>
      <c r="V61" s="12" t="str">
        <f t="shared" si="38"/>
        <v>-</v>
      </c>
      <c r="W61" s="12" t="str">
        <f t="shared" si="39"/>
        <v>-</v>
      </c>
      <c r="X61" s="12" t="str">
        <f t="shared" si="40"/>
        <v>-</v>
      </c>
      <c r="Y61" s="12" t="str">
        <f t="shared" si="41"/>
        <v>-</v>
      </c>
      <c r="Z61" s="12" t="str">
        <f t="shared" si="42"/>
        <v>-</v>
      </c>
      <c r="AA61" s="12" t="str">
        <f t="shared" si="43"/>
        <v>-</v>
      </c>
      <c r="AB61" s="12" t="str">
        <f t="shared" si="44"/>
        <v>-</v>
      </c>
      <c r="AC61" s="12" t="str">
        <f t="shared" si="45"/>
        <v>-</v>
      </c>
      <c r="AD61" s="12" t="str">
        <f t="shared" si="46"/>
        <v>-</v>
      </c>
      <c r="AE61" s="12" t="str">
        <f t="shared" si="47"/>
        <v>-</v>
      </c>
      <c r="AF61" s="12" t="str">
        <f t="shared" si="48"/>
        <v>-</v>
      </c>
      <c r="AG61" s="12" t="str">
        <f t="shared" si="49"/>
        <v>-</v>
      </c>
      <c r="AJ61" s="160">
        <f t="shared" ca="1" si="50"/>
        <v>0</v>
      </c>
      <c r="AK61" s="12">
        <f t="shared" ca="1" si="51"/>
        <v>0</v>
      </c>
      <c r="AL61" s="12">
        <f t="shared" ca="1" si="52"/>
        <v>0</v>
      </c>
      <c r="AN61" s="28"/>
      <c r="AO61" s="78" t="s">
        <v>465</v>
      </c>
      <c r="AP61" s="179"/>
      <c r="AQ61" s="181" t="s">
        <v>60</v>
      </c>
      <c r="AR61" s="166">
        <v>0</v>
      </c>
      <c r="AS61" s="166">
        <v>0</v>
      </c>
      <c r="AT61" s="178" t="s">
        <v>388</v>
      </c>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row>
    <row r="62" spans="1:77" ht="15.75" customHeight="1" outlineLevel="1" x14ac:dyDescent="0.3">
      <c r="A62" s="45" t="s">
        <v>501</v>
      </c>
      <c r="C62" s="12">
        <f t="shared" si="19"/>
        <v>1</v>
      </c>
      <c r="D62" s="12" t="str">
        <f t="shared" si="20"/>
        <v>-</v>
      </c>
      <c r="E62" s="12" t="str">
        <f t="shared" si="21"/>
        <v>-</v>
      </c>
      <c r="F62" s="12" t="str">
        <f t="shared" si="22"/>
        <v>-</v>
      </c>
      <c r="G62" s="12" t="str">
        <f t="shared" si="23"/>
        <v>-</v>
      </c>
      <c r="H62" s="12" t="str">
        <f t="shared" si="24"/>
        <v>-</v>
      </c>
      <c r="I62" s="12" t="str">
        <f t="shared" si="25"/>
        <v>-</v>
      </c>
      <c r="J62" s="12" t="str">
        <f t="shared" si="26"/>
        <v>-</v>
      </c>
      <c r="K62" s="12" t="str">
        <f t="shared" si="27"/>
        <v>-</v>
      </c>
      <c r="L62" s="12" t="str">
        <f t="shared" si="28"/>
        <v>-</v>
      </c>
      <c r="M62" s="12" t="str">
        <f t="shared" si="29"/>
        <v>-</v>
      </c>
      <c r="N62" s="12" t="str">
        <f t="shared" si="30"/>
        <v>-</v>
      </c>
      <c r="O62" s="12" t="str">
        <f t="shared" si="31"/>
        <v>-</v>
      </c>
      <c r="P62" s="12" t="str">
        <f t="shared" si="32"/>
        <v>-</v>
      </c>
      <c r="Q62" s="12" t="str">
        <f t="shared" si="33"/>
        <v>-</v>
      </c>
      <c r="R62" s="12" t="str">
        <f t="shared" si="34"/>
        <v>-</v>
      </c>
      <c r="S62" s="12" t="str">
        <f t="shared" si="35"/>
        <v>-</v>
      </c>
      <c r="T62" s="12" t="str">
        <f t="shared" si="36"/>
        <v>-</v>
      </c>
      <c r="U62" s="12" t="str">
        <f t="shared" si="37"/>
        <v>-</v>
      </c>
      <c r="V62" s="12" t="str">
        <f t="shared" si="38"/>
        <v>-</v>
      </c>
      <c r="W62" s="12" t="str">
        <f t="shared" si="39"/>
        <v>-</v>
      </c>
      <c r="X62" s="12" t="str">
        <f t="shared" si="40"/>
        <v>-</v>
      </c>
      <c r="Y62" s="12" t="str">
        <f t="shared" si="41"/>
        <v>-</v>
      </c>
      <c r="Z62" s="12" t="str">
        <f t="shared" si="42"/>
        <v>-</v>
      </c>
      <c r="AA62" s="12" t="str">
        <f t="shared" si="43"/>
        <v>-</v>
      </c>
      <c r="AB62" s="12" t="str">
        <f t="shared" si="44"/>
        <v>-</v>
      </c>
      <c r="AC62" s="12" t="str">
        <f t="shared" si="45"/>
        <v>-</v>
      </c>
      <c r="AD62" s="12" t="str">
        <f t="shared" si="46"/>
        <v>-</v>
      </c>
      <c r="AE62" s="12" t="str">
        <f t="shared" si="47"/>
        <v>-</v>
      </c>
      <c r="AF62" s="12" t="str">
        <f t="shared" si="48"/>
        <v>-</v>
      </c>
      <c r="AG62" s="12" t="str">
        <f t="shared" si="49"/>
        <v>-</v>
      </c>
      <c r="AJ62" s="160">
        <f t="shared" ca="1" si="50"/>
        <v>0</v>
      </c>
      <c r="AK62" s="12">
        <f t="shared" ca="1" si="51"/>
        <v>0</v>
      </c>
      <c r="AL62" s="12">
        <f t="shared" ca="1" si="52"/>
        <v>0</v>
      </c>
      <c r="AN62" s="28"/>
      <c r="AO62" s="78" t="s">
        <v>466</v>
      </c>
      <c r="AP62" s="179"/>
      <c r="AQ62" s="181" t="s">
        <v>60</v>
      </c>
      <c r="AR62" s="166">
        <v>0</v>
      </c>
      <c r="AS62" s="166">
        <v>0</v>
      </c>
      <c r="AT62" s="178" t="s">
        <v>388</v>
      </c>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7"/>
      <c r="BR62" s="157"/>
      <c r="BS62" s="157"/>
      <c r="BT62" s="157"/>
      <c r="BU62" s="157"/>
      <c r="BV62" s="157"/>
      <c r="BW62" s="157"/>
      <c r="BX62" s="157"/>
      <c r="BY62" s="157"/>
    </row>
    <row r="63" spans="1:77" ht="15.75" customHeight="1" outlineLevel="1" x14ac:dyDescent="0.3">
      <c r="A63" s="45" t="s">
        <v>502</v>
      </c>
      <c r="C63" s="12">
        <f t="shared" si="19"/>
        <v>1</v>
      </c>
      <c r="D63" s="12" t="str">
        <f t="shared" si="20"/>
        <v>-</v>
      </c>
      <c r="E63" s="12" t="str">
        <f t="shared" si="21"/>
        <v>-</v>
      </c>
      <c r="F63" s="12" t="str">
        <f t="shared" si="22"/>
        <v>-</v>
      </c>
      <c r="G63" s="12" t="str">
        <f t="shared" si="23"/>
        <v>-</v>
      </c>
      <c r="H63" s="12" t="str">
        <f t="shared" si="24"/>
        <v>-</v>
      </c>
      <c r="I63" s="12" t="str">
        <f t="shared" si="25"/>
        <v>-</v>
      </c>
      <c r="J63" s="12" t="str">
        <f t="shared" si="26"/>
        <v>-</v>
      </c>
      <c r="K63" s="12" t="str">
        <f t="shared" si="27"/>
        <v>-</v>
      </c>
      <c r="L63" s="12" t="str">
        <f t="shared" si="28"/>
        <v>-</v>
      </c>
      <c r="M63" s="12" t="str">
        <f t="shared" si="29"/>
        <v>-</v>
      </c>
      <c r="N63" s="12" t="str">
        <f t="shared" si="30"/>
        <v>-</v>
      </c>
      <c r="O63" s="12" t="str">
        <f t="shared" si="31"/>
        <v>-</v>
      </c>
      <c r="P63" s="12" t="str">
        <f t="shared" si="32"/>
        <v>-</v>
      </c>
      <c r="Q63" s="12" t="str">
        <f t="shared" si="33"/>
        <v>-</v>
      </c>
      <c r="R63" s="12" t="str">
        <f t="shared" si="34"/>
        <v>-</v>
      </c>
      <c r="S63" s="12" t="str">
        <f t="shared" si="35"/>
        <v>-</v>
      </c>
      <c r="T63" s="12" t="str">
        <f t="shared" si="36"/>
        <v>-</v>
      </c>
      <c r="U63" s="12" t="str">
        <f t="shared" si="37"/>
        <v>-</v>
      </c>
      <c r="V63" s="12" t="str">
        <f t="shared" si="38"/>
        <v>-</v>
      </c>
      <c r="W63" s="12" t="str">
        <f t="shared" si="39"/>
        <v>-</v>
      </c>
      <c r="X63" s="12" t="str">
        <f t="shared" si="40"/>
        <v>-</v>
      </c>
      <c r="Y63" s="12" t="str">
        <f t="shared" si="41"/>
        <v>-</v>
      </c>
      <c r="Z63" s="12" t="str">
        <f t="shared" si="42"/>
        <v>-</v>
      </c>
      <c r="AA63" s="12" t="str">
        <f t="shared" si="43"/>
        <v>-</v>
      </c>
      <c r="AB63" s="12" t="str">
        <f t="shared" si="44"/>
        <v>-</v>
      </c>
      <c r="AC63" s="12" t="str">
        <f t="shared" si="45"/>
        <v>-</v>
      </c>
      <c r="AD63" s="12" t="str">
        <f t="shared" si="46"/>
        <v>-</v>
      </c>
      <c r="AE63" s="12" t="str">
        <f t="shared" si="47"/>
        <v>-</v>
      </c>
      <c r="AF63" s="12" t="str">
        <f t="shared" si="48"/>
        <v>-</v>
      </c>
      <c r="AG63" s="12" t="str">
        <f t="shared" si="49"/>
        <v>-</v>
      </c>
      <c r="AJ63" s="160">
        <f t="shared" ca="1" si="50"/>
        <v>0</v>
      </c>
      <c r="AK63" s="12">
        <f t="shared" ca="1" si="51"/>
        <v>0</v>
      </c>
      <c r="AL63" s="12">
        <f t="shared" ca="1" si="52"/>
        <v>0</v>
      </c>
      <c r="AN63" s="28"/>
      <c r="AO63" s="78" t="s">
        <v>467</v>
      </c>
      <c r="AP63" s="179"/>
      <c r="AQ63" s="181" t="s">
        <v>60</v>
      </c>
      <c r="AR63" s="166">
        <v>0</v>
      </c>
      <c r="AS63" s="166">
        <v>0</v>
      </c>
      <c r="AT63" s="178" t="s">
        <v>388</v>
      </c>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row>
    <row r="64" spans="1:77" ht="15.75" customHeight="1" outlineLevel="1" x14ac:dyDescent="0.3">
      <c r="A64" s="45" t="s">
        <v>503</v>
      </c>
      <c r="C64" s="12">
        <f t="shared" si="19"/>
        <v>1</v>
      </c>
      <c r="D64" s="12" t="str">
        <f t="shared" si="20"/>
        <v>-</v>
      </c>
      <c r="E64" s="12" t="str">
        <f t="shared" si="21"/>
        <v>-</v>
      </c>
      <c r="F64" s="12" t="str">
        <f t="shared" si="22"/>
        <v>-</v>
      </c>
      <c r="G64" s="12" t="str">
        <f t="shared" si="23"/>
        <v>-</v>
      </c>
      <c r="H64" s="12" t="str">
        <f t="shared" si="24"/>
        <v>-</v>
      </c>
      <c r="I64" s="12" t="str">
        <f t="shared" si="25"/>
        <v>-</v>
      </c>
      <c r="J64" s="12" t="str">
        <f t="shared" si="26"/>
        <v>-</v>
      </c>
      <c r="K64" s="12" t="str">
        <f t="shared" si="27"/>
        <v>-</v>
      </c>
      <c r="L64" s="12" t="str">
        <f t="shared" si="28"/>
        <v>-</v>
      </c>
      <c r="M64" s="12" t="str">
        <f t="shared" si="29"/>
        <v>-</v>
      </c>
      <c r="N64" s="12" t="str">
        <f t="shared" si="30"/>
        <v>-</v>
      </c>
      <c r="O64" s="12" t="str">
        <f t="shared" si="31"/>
        <v>-</v>
      </c>
      <c r="P64" s="12" t="str">
        <f t="shared" si="32"/>
        <v>-</v>
      </c>
      <c r="Q64" s="12" t="str">
        <f t="shared" si="33"/>
        <v>-</v>
      </c>
      <c r="R64" s="12" t="str">
        <f t="shared" si="34"/>
        <v>-</v>
      </c>
      <c r="S64" s="12" t="str">
        <f t="shared" si="35"/>
        <v>-</v>
      </c>
      <c r="T64" s="12" t="str">
        <f t="shared" si="36"/>
        <v>-</v>
      </c>
      <c r="U64" s="12" t="str">
        <f t="shared" si="37"/>
        <v>-</v>
      </c>
      <c r="V64" s="12" t="str">
        <f t="shared" si="38"/>
        <v>-</v>
      </c>
      <c r="W64" s="12" t="str">
        <f t="shared" si="39"/>
        <v>-</v>
      </c>
      <c r="X64" s="12" t="str">
        <f t="shared" si="40"/>
        <v>-</v>
      </c>
      <c r="Y64" s="12" t="str">
        <f t="shared" si="41"/>
        <v>-</v>
      </c>
      <c r="Z64" s="12" t="str">
        <f t="shared" si="42"/>
        <v>-</v>
      </c>
      <c r="AA64" s="12" t="str">
        <f t="shared" si="43"/>
        <v>-</v>
      </c>
      <c r="AB64" s="12" t="str">
        <f t="shared" si="44"/>
        <v>-</v>
      </c>
      <c r="AC64" s="12" t="str">
        <f t="shared" si="45"/>
        <v>-</v>
      </c>
      <c r="AD64" s="12" t="str">
        <f t="shared" si="46"/>
        <v>-</v>
      </c>
      <c r="AE64" s="12" t="str">
        <f t="shared" si="47"/>
        <v>-</v>
      </c>
      <c r="AF64" s="12" t="str">
        <f t="shared" si="48"/>
        <v>-</v>
      </c>
      <c r="AG64" s="12" t="str">
        <f t="shared" si="49"/>
        <v>-</v>
      </c>
      <c r="AJ64" s="160">
        <f t="shared" ca="1" si="50"/>
        <v>0</v>
      </c>
      <c r="AK64" s="12">
        <f t="shared" ca="1" si="51"/>
        <v>0</v>
      </c>
      <c r="AL64" s="12">
        <f t="shared" ca="1" si="52"/>
        <v>0</v>
      </c>
      <c r="AN64" s="28"/>
      <c r="AO64" s="78" t="s">
        <v>468</v>
      </c>
      <c r="AP64" s="179"/>
      <c r="AQ64" s="181" t="s">
        <v>60</v>
      </c>
      <c r="AR64" s="166">
        <v>0</v>
      </c>
      <c r="AS64" s="166">
        <v>0</v>
      </c>
      <c r="AT64" s="178" t="s">
        <v>388</v>
      </c>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row>
    <row r="65" spans="1:77" ht="15.75" customHeight="1" outlineLevel="1" x14ac:dyDescent="0.3">
      <c r="A65" s="45" t="s">
        <v>504</v>
      </c>
      <c r="C65" s="12">
        <f t="shared" si="19"/>
        <v>1</v>
      </c>
      <c r="D65" s="12" t="str">
        <f t="shared" si="20"/>
        <v>-</v>
      </c>
      <c r="E65" s="12" t="str">
        <f t="shared" si="21"/>
        <v>-</v>
      </c>
      <c r="F65" s="12" t="str">
        <f t="shared" si="22"/>
        <v>-</v>
      </c>
      <c r="G65" s="12" t="str">
        <f t="shared" si="23"/>
        <v>-</v>
      </c>
      <c r="H65" s="12" t="str">
        <f t="shared" si="24"/>
        <v>-</v>
      </c>
      <c r="I65" s="12" t="str">
        <f t="shared" si="25"/>
        <v>-</v>
      </c>
      <c r="J65" s="12" t="str">
        <f t="shared" si="26"/>
        <v>-</v>
      </c>
      <c r="K65" s="12" t="str">
        <f t="shared" si="27"/>
        <v>-</v>
      </c>
      <c r="L65" s="12" t="str">
        <f t="shared" si="28"/>
        <v>-</v>
      </c>
      <c r="M65" s="12" t="str">
        <f t="shared" si="29"/>
        <v>-</v>
      </c>
      <c r="N65" s="12" t="str">
        <f t="shared" si="30"/>
        <v>-</v>
      </c>
      <c r="O65" s="12" t="str">
        <f t="shared" si="31"/>
        <v>-</v>
      </c>
      <c r="P65" s="12" t="str">
        <f t="shared" si="32"/>
        <v>-</v>
      </c>
      <c r="Q65" s="12" t="str">
        <f t="shared" si="33"/>
        <v>-</v>
      </c>
      <c r="R65" s="12" t="str">
        <f t="shared" si="34"/>
        <v>-</v>
      </c>
      <c r="S65" s="12" t="str">
        <f t="shared" si="35"/>
        <v>-</v>
      </c>
      <c r="T65" s="12" t="str">
        <f t="shared" si="36"/>
        <v>-</v>
      </c>
      <c r="U65" s="12" t="str">
        <f t="shared" si="37"/>
        <v>-</v>
      </c>
      <c r="V65" s="12" t="str">
        <f t="shared" si="38"/>
        <v>-</v>
      </c>
      <c r="W65" s="12" t="str">
        <f t="shared" si="39"/>
        <v>-</v>
      </c>
      <c r="X65" s="12" t="str">
        <f t="shared" si="40"/>
        <v>-</v>
      </c>
      <c r="Y65" s="12" t="str">
        <f t="shared" si="41"/>
        <v>-</v>
      </c>
      <c r="Z65" s="12" t="str">
        <f t="shared" si="42"/>
        <v>-</v>
      </c>
      <c r="AA65" s="12" t="str">
        <f t="shared" si="43"/>
        <v>-</v>
      </c>
      <c r="AB65" s="12" t="str">
        <f t="shared" si="44"/>
        <v>-</v>
      </c>
      <c r="AC65" s="12" t="str">
        <f t="shared" si="45"/>
        <v>-</v>
      </c>
      <c r="AD65" s="12" t="str">
        <f t="shared" si="46"/>
        <v>-</v>
      </c>
      <c r="AE65" s="12" t="str">
        <f t="shared" si="47"/>
        <v>-</v>
      </c>
      <c r="AF65" s="12" t="str">
        <f t="shared" si="48"/>
        <v>-</v>
      </c>
      <c r="AG65" s="12" t="str">
        <f t="shared" si="49"/>
        <v>-</v>
      </c>
      <c r="AJ65" s="160">
        <f t="shared" ca="1" si="50"/>
        <v>0</v>
      </c>
      <c r="AK65" s="12">
        <f t="shared" ca="1" si="51"/>
        <v>0</v>
      </c>
      <c r="AL65" s="12">
        <f t="shared" ca="1" si="52"/>
        <v>0</v>
      </c>
      <c r="AN65" s="28"/>
      <c r="AO65" s="78" t="s">
        <v>469</v>
      </c>
      <c r="AP65" s="179"/>
      <c r="AQ65" s="181" t="s">
        <v>60</v>
      </c>
      <c r="AR65" s="166">
        <v>0</v>
      </c>
      <c r="AS65" s="166">
        <v>0</v>
      </c>
      <c r="AT65" s="178" t="s">
        <v>388</v>
      </c>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row>
    <row r="66" spans="1:77" ht="15.75" customHeight="1" outlineLevel="1" x14ac:dyDescent="0.3">
      <c r="A66" s="45" t="s">
        <v>505</v>
      </c>
      <c r="C66" s="12">
        <f t="shared" si="19"/>
        <v>1</v>
      </c>
      <c r="D66" s="12" t="str">
        <f t="shared" si="20"/>
        <v>-</v>
      </c>
      <c r="E66" s="12" t="str">
        <f t="shared" si="21"/>
        <v>-</v>
      </c>
      <c r="F66" s="12" t="str">
        <f t="shared" si="22"/>
        <v>-</v>
      </c>
      <c r="G66" s="12" t="str">
        <f t="shared" si="23"/>
        <v>-</v>
      </c>
      <c r="H66" s="12" t="str">
        <f t="shared" si="24"/>
        <v>-</v>
      </c>
      <c r="I66" s="12" t="str">
        <f t="shared" si="25"/>
        <v>-</v>
      </c>
      <c r="J66" s="12" t="str">
        <f t="shared" si="26"/>
        <v>-</v>
      </c>
      <c r="K66" s="12" t="str">
        <f t="shared" si="27"/>
        <v>-</v>
      </c>
      <c r="L66" s="12" t="str">
        <f t="shared" si="28"/>
        <v>-</v>
      </c>
      <c r="M66" s="12" t="str">
        <f t="shared" si="29"/>
        <v>-</v>
      </c>
      <c r="N66" s="12" t="str">
        <f t="shared" si="30"/>
        <v>-</v>
      </c>
      <c r="O66" s="12" t="str">
        <f t="shared" si="31"/>
        <v>-</v>
      </c>
      <c r="P66" s="12" t="str">
        <f t="shared" si="32"/>
        <v>-</v>
      </c>
      <c r="Q66" s="12" t="str">
        <f t="shared" si="33"/>
        <v>-</v>
      </c>
      <c r="R66" s="12" t="str">
        <f t="shared" si="34"/>
        <v>-</v>
      </c>
      <c r="S66" s="12" t="str">
        <f t="shared" si="35"/>
        <v>-</v>
      </c>
      <c r="T66" s="12" t="str">
        <f t="shared" si="36"/>
        <v>-</v>
      </c>
      <c r="U66" s="12" t="str">
        <f t="shared" si="37"/>
        <v>-</v>
      </c>
      <c r="V66" s="12" t="str">
        <f t="shared" si="38"/>
        <v>-</v>
      </c>
      <c r="W66" s="12" t="str">
        <f t="shared" si="39"/>
        <v>-</v>
      </c>
      <c r="X66" s="12" t="str">
        <f t="shared" si="40"/>
        <v>-</v>
      </c>
      <c r="Y66" s="12" t="str">
        <f t="shared" si="41"/>
        <v>-</v>
      </c>
      <c r="Z66" s="12" t="str">
        <f t="shared" si="42"/>
        <v>-</v>
      </c>
      <c r="AA66" s="12" t="str">
        <f t="shared" si="43"/>
        <v>-</v>
      </c>
      <c r="AB66" s="12" t="str">
        <f t="shared" si="44"/>
        <v>-</v>
      </c>
      <c r="AC66" s="12" t="str">
        <f t="shared" si="45"/>
        <v>-</v>
      </c>
      <c r="AD66" s="12" t="str">
        <f t="shared" si="46"/>
        <v>-</v>
      </c>
      <c r="AE66" s="12" t="str">
        <f t="shared" si="47"/>
        <v>-</v>
      </c>
      <c r="AF66" s="12" t="str">
        <f t="shared" si="48"/>
        <v>-</v>
      </c>
      <c r="AG66" s="12" t="str">
        <f t="shared" si="49"/>
        <v>-</v>
      </c>
      <c r="AJ66" s="160">
        <f t="shared" ca="1" si="50"/>
        <v>0</v>
      </c>
      <c r="AK66" s="12">
        <f t="shared" ca="1" si="51"/>
        <v>0</v>
      </c>
      <c r="AL66" s="12">
        <f t="shared" ca="1" si="52"/>
        <v>0</v>
      </c>
      <c r="AN66" s="28"/>
      <c r="AO66" s="78" t="s">
        <v>470</v>
      </c>
      <c r="AP66" s="179"/>
      <c r="AQ66" s="181" t="s">
        <v>60</v>
      </c>
      <c r="AR66" s="166">
        <v>0</v>
      </c>
      <c r="AS66" s="166">
        <v>0</v>
      </c>
      <c r="AT66" s="178" t="s">
        <v>388</v>
      </c>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7"/>
      <c r="BR66" s="157"/>
      <c r="BS66" s="157"/>
      <c r="BT66" s="157"/>
      <c r="BU66" s="157"/>
      <c r="BV66" s="157"/>
      <c r="BW66" s="157"/>
      <c r="BX66" s="157"/>
      <c r="BY66" s="157"/>
    </row>
    <row r="67" spans="1:77" ht="15.75" customHeight="1" outlineLevel="1" x14ac:dyDescent="0.3">
      <c r="A67" s="45" t="s">
        <v>506</v>
      </c>
      <c r="C67" s="12">
        <f t="shared" si="19"/>
        <v>1</v>
      </c>
      <c r="D67" s="12" t="str">
        <f t="shared" si="20"/>
        <v>-</v>
      </c>
      <c r="E67" s="12" t="str">
        <f t="shared" si="21"/>
        <v>-</v>
      </c>
      <c r="F67" s="12" t="str">
        <f t="shared" si="22"/>
        <v>-</v>
      </c>
      <c r="G67" s="12" t="str">
        <f t="shared" si="23"/>
        <v>-</v>
      </c>
      <c r="H67" s="12" t="str">
        <f t="shared" si="24"/>
        <v>-</v>
      </c>
      <c r="I67" s="12" t="str">
        <f t="shared" si="25"/>
        <v>-</v>
      </c>
      <c r="J67" s="12" t="str">
        <f t="shared" si="26"/>
        <v>-</v>
      </c>
      <c r="K67" s="12" t="str">
        <f t="shared" si="27"/>
        <v>-</v>
      </c>
      <c r="L67" s="12" t="str">
        <f t="shared" si="28"/>
        <v>-</v>
      </c>
      <c r="M67" s="12" t="str">
        <f t="shared" si="29"/>
        <v>-</v>
      </c>
      <c r="N67" s="12" t="str">
        <f t="shared" si="30"/>
        <v>-</v>
      </c>
      <c r="O67" s="12" t="str">
        <f t="shared" si="31"/>
        <v>-</v>
      </c>
      <c r="P67" s="12" t="str">
        <f t="shared" si="32"/>
        <v>-</v>
      </c>
      <c r="Q67" s="12" t="str">
        <f t="shared" si="33"/>
        <v>-</v>
      </c>
      <c r="R67" s="12" t="str">
        <f t="shared" si="34"/>
        <v>-</v>
      </c>
      <c r="S67" s="12" t="str">
        <f t="shared" si="35"/>
        <v>-</v>
      </c>
      <c r="T67" s="12" t="str">
        <f t="shared" si="36"/>
        <v>-</v>
      </c>
      <c r="U67" s="12" t="str">
        <f t="shared" si="37"/>
        <v>-</v>
      </c>
      <c r="V67" s="12" t="str">
        <f t="shared" si="38"/>
        <v>-</v>
      </c>
      <c r="W67" s="12" t="str">
        <f t="shared" si="39"/>
        <v>-</v>
      </c>
      <c r="X67" s="12" t="str">
        <f t="shared" si="40"/>
        <v>-</v>
      </c>
      <c r="Y67" s="12" t="str">
        <f t="shared" si="41"/>
        <v>-</v>
      </c>
      <c r="Z67" s="12" t="str">
        <f t="shared" si="42"/>
        <v>-</v>
      </c>
      <c r="AA67" s="12" t="str">
        <f t="shared" si="43"/>
        <v>-</v>
      </c>
      <c r="AB67" s="12" t="str">
        <f t="shared" si="44"/>
        <v>-</v>
      </c>
      <c r="AC67" s="12" t="str">
        <f t="shared" si="45"/>
        <v>-</v>
      </c>
      <c r="AD67" s="12" t="str">
        <f t="shared" si="46"/>
        <v>-</v>
      </c>
      <c r="AE67" s="12" t="str">
        <f t="shared" si="47"/>
        <v>-</v>
      </c>
      <c r="AF67" s="12" t="str">
        <f t="shared" si="48"/>
        <v>-</v>
      </c>
      <c r="AG67" s="12" t="str">
        <f t="shared" si="49"/>
        <v>-</v>
      </c>
      <c r="AJ67" s="160">
        <f t="shared" ca="1" si="50"/>
        <v>0</v>
      </c>
      <c r="AK67" s="12">
        <f t="shared" ca="1" si="51"/>
        <v>0</v>
      </c>
      <c r="AL67" s="12">
        <f t="shared" ca="1" si="52"/>
        <v>0</v>
      </c>
      <c r="AN67" s="28"/>
      <c r="AO67" s="78" t="s">
        <v>471</v>
      </c>
      <c r="AP67" s="179"/>
      <c r="AQ67" s="181" t="s">
        <v>60</v>
      </c>
      <c r="AR67" s="166">
        <v>0</v>
      </c>
      <c r="AS67" s="166">
        <v>0</v>
      </c>
      <c r="AT67" s="178" t="s">
        <v>388</v>
      </c>
      <c r="AU67" s="157"/>
      <c r="AV67" s="157"/>
      <c r="AW67" s="157"/>
      <c r="AX67" s="157"/>
      <c r="AY67" s="157"/>
      <c r="AZ67" s="157"/>
      <c r="BA67" s="157"/>
      <c r="BB67" s="157"/>
      <c r="BC67" s="157"/>
      <c r="BD67" s="157"/>
      <c r="BE67" s="157"/>
      <c r="BF67" s="157"/>
      <c r="BG67" s="157"/>
      <c r="BH67" s="157"/>
      <c r="BI67" s="157"/>
      <c r="BJ67" s="157"/>
      <c r="BK67" s="157"/>
      <c r="BL67" s="157"/>
      <c r="BM67" s="157"/>
      <c r="BN67" s="157"/>
      <c r="BO67" s="157"/>
      <c r="BP67" s="157"/>
      <c r="BQ67" s="157"/>
      <c r="BR67" s="157"/>
      <c r="BS67" s="157"/>
      <c r="BT67" s="157"/>
      <c r="BU67" s="157"/>
      <c r="BV67" s="157"/>
      <c r="BW67" s="157"/>
      <c r="BX67" s="157"/>
      <c r="BY67" s="157"/>
    </row>
    <row r="68" spans="1:77" ht="15.75" customHeight="1" outlineLevel="1" x14ac:dyDescent="0.3">
      <c r="A68" s="45" t="s">
        <v>507</v>
      </c>
      <c r="C68" s="12">
        <f t="shared" si="19"/>
        <v>1</v>
      </c>
      <c r="D68" s="12" t="str">
        <f t="shared" si="20"/>
        <v>-</v>
      </c>
      <c r="E68" s="12" t="str">
        <f t="shared" si="21"/>
        <v>-</v>
      </c>
      <c r="F68" s="12" t="str">
        <f t="shared" si="22"/>
        <v>-</v>
      </c>
      <c r="G68" s="12" t="str">
        <f t="shared" si="23"/>
        <v>-</v>
      </c>
      <c r="H68" s="12" t="str">
        <f t="shared" si="24"/>
        <v>-</v>
      </c>
      <c r="I68" s="12" t="str">
        <f t="shared" si="25"/>
        <v>-</v>
      </c>
      <c r="J68" s="12" t="str">
        <f t="shared" si="26"/>
        <v>-</v>
      </c>
      <c r="K68" s="12" t="str">
        <f t="shared" si="27"/>
        <v>-</v>
      </c>
      <c r="L68" s="12" t="str">
        <f t="shared" si="28"/>
        <v>-</v>
      </c>
      <c r="M68" s="12" t="str">
        <f t="shared" si="29"/>
        <v>-</v>
      </c>
      <c r="N68" s="12" t="str">
        <f t="shared" si="30"/>
        <v>-</v>
      </c>
      <c r="O68" s="12" t="str">
        <f t="shared" si="31"/>
        <v>-</v>
      </c>
      <c r="P68" s="12" t="str">
        <f t="shared" si="32"/>
        <v>-</v>
      </c>
      <c r="Q68" s="12" t="str">
        <f t="shared" si="33"/>
        <v>-</v>
      </c>
      <c r="R68" s="12" t="str">
        <f t="shared" si="34"/>
        <v>-</v>
      </c>
      <c r="S68" s="12" t="str">
        <f t="shared" si="35"/>
        <v>-</v>
      </c>
      <c r="T68" s="12" t="str">
        <f t="shared" si="36"/>
        <v>-</v>
      </c>
      <c r="U68" s="12" t="str">
        <f t="shared" si="37"/>
        <v>-</v>
      </c>
      <c r="V68" s="12" t="str">
        <f t="shared" si="38"/>
        <v>-</v>
      </c>
      <c r="W68" s="12" t="str">
        <f t="shared" si="39"/>
        <v>-</v>
      </c>
      <c r="X68" s="12" t="str">
        <f t="shared" si="40"/>
        <v>-</v>
      </c>
      <c r="Y68" s="12" t="str">
        <f t="shared" si="41"/>
        <v>-</v>
      </c>
      <c r="Z68" s="12" t="str">
        <f t="shared" si="42"/>
        <v>-</v>
      </c>
      <c r="AA68" s="12" t="str">
        <f t="shared" si="43"/>
        <v>-</v>
      </c>
      <c r="AB68" s="12" t="str">
        <f t="shared" si="44"/>
        <v>-</v>
      </c>
      <c r="AC68" s="12" t="str">
        <f t="shared" si="45"/>
        <v>-</v>
      </c>
      <c r="AD68" s="12" t="str">
        <f t="shared" si="46"/>
        <v>-</v>
      </c>
      <c r="AE68" s="12" t="str">
        <f t="shared" si="47"/>
        <v>-</v>
      </c>
      <c r="AF68" s="12" t="str">
        <f t="shared" si="48"/>
        <v>-</v>
      </c>
      <c r="AG68" s="12" t="str">
        <f t="shared" si="49"/>
        <v>-</v>
      </c>
      <c r="AJ68" s="160">
        <f t="shared" ca="1" si="50"/>
        <v>0</v>
      </c>
      <c r="AK68" s="12">
        <f t="shared" ca="1" si="51"/>
        <v>0</v>
      </c>
      <c r="AL68" s="12">
        <f t="shared" ca="1" si="52"/>
        <v>0</v>
      </c>
      <c r="AN68" s="28"/>
      <c r="AO68" s="78" t="s">
        <v>472</v>
      </c>
      <c r="AP68" s="179"/>
      <c r="AQ68" s="181" t="s">
        <v>60</v>
      </c>
      <c r="AR68" s="166">
        <v>0</v>
      </c>
      <c r="AS68" s="166">
        <v>0</v>
      </c>
      <c r="AT68" s="178" t="s">
        <v>388</v>
      </c>
      <c r="AU68" s="157"/>
      <c r="AV68" s="157"/>
      <c r="AW68" s="157"/>
      <c r="AX68" s="157"/>
      <c r="AY68" s="157"/>
      <c r="AZ68" s="157"/>
      <c r="BA68" s="157"/>
      <c r="BB68" s="157"/>
      <c r="BC68" s="157"/>
      <c r="BD68" s="157"/>
      <c r="BE68" s="157"/>
      <c r="BF68" s="157"/>
      <c r="BG68" s="157"/>
      <c r="BH68" s="157"/>
      <c r="BI68" s="157"/>
      <c r="BJ68" s="157"/>
      <c r="BK68" s="157"/>
      <c r="BL68" s="157"/>
      <c r="BM68" s="157"/>
      <c r="BN68" s="157"/>
      <c r="BO68" s="157"/>
      <c r="BP68" s="157"/>
      <c r="BQ68" s="157"/>
      <c r="BR68" s="157"/>
      <c r="BS68" s="157"/>
      <c r="BT68" s="157"/>
      <c r="BU68" s="157"/>
      <c r="BV68" s="157"/>
      <c r="BW68" s="157"/>
      <c r="BX68" s="157"/>
      <c r="BY68" s="157"/>
    </row>
    <row r="69" spans="1:77" ht="15.75" customHeight="1" outlineLevel="1" x14ac:dyDescent="0.3">
      <c r="A69" s="45" t="s">
        <v>508</v>
      </c>
      <c r="C69" s="12">
        <f t="shared" si="19"/>
        <v>1</v>
      </c>
      <c r="D69" s="12" t="str">
        <f t="shared" si="20"/>
        <v>-</v>
      </c>
      <c r="E69" s="12" t="str">
        <f t="shared" si="21"/>
        <v>-</v>
      </c>
      <c r="F69" s="12" t="str">
        <f t="shared" si="22"/>
        <v>-</v>
      </c>
      <c r="G69" s="12" t="str">
        <f t="shared" si="23"/>
        <v>-</v>
      </c>
      <c r="H69" s="12" t="str">
        <f t="shared" si="24"/>
        <v>-</v>
      </c>
      <c r="I69" s="12" t="str">
        <f t="shared" si="25"/>
        <v>-</v>
      </c>
      <c r="J69" s="12" t="str">
        <f t="shared" si="26"/>
        <v>-</v>
      </c>
      <c r="K69" s="12" t="str">
        <f t="shared" si="27"/>
        <v>-</v>
      </c>
      <c r="L69" s="12" t="str">
        <f t="shared" si="28"/>
        <v>-</v>
      </c>
      <c r="M69" s="12" t="str">
        <f t="shared" si="29"/>
        <v>-</v>
      </c>
      <c r="N69" s="12" t="str">
        <f t="shared" si="30"/>
        <v>-</v>
      </c>
      <c r="O69" s="12" t="str">
        <f t="shared" si="31"/>
        <v>-</v>
      </c>
      <c r="P69" s="12" t="str">
        <f t="shared" si="32"/>
        <v>-</v>
      </c>
      <c r="Q69" s="12" t="str">
        <f t="shared" si="33"/>
        <v>-</v>
      </c>
      <c r="R69" s="12" t="str">
        <f t="shared" si="34"/>
        <v>-</v>
      </c>
      <c r="S69" s="12" t="str">
        <f t="shared" si="35"/>
        <v>-</v>
      </c>
      <c r="T69" s="12" t="str">
        <f t="shared" si="36"/>
        <v>-</v>
      </c>
      <c r="U69" s="12" t="str">
        <f t="shared" si="37"/>
        <v>-</v>
      </c>
      <c r="V69" s="12" t="str">
        <f t="shared" si="38"/>
        <v>-</v>
      </c>
      <c r="W69" s="12" t="str">
        <f t="shared" si="39"/>
        <v>-</v>
      </c>
      <c r="X69" s="12" t="str">
        <f t="shared" si="40"/>
        <v>-</v>
      </c>
      <c r="Y69" s="12" t="str">
        <f t="shared" si="41"/>
        <v>-</v>
      </c>
      <c r="Z69" s="12" t="str">
        <f t="shared" si="42"/>
        <v>-</v>
      </c>
      <c r="AA69" s="12" t="str">
        <f t="shared" si="43"/>
        <v>-</v>
      </c>
      <c r="AB69" s="12" t="str">
        <f t="shared" si="44"/>
        <v>-</v>
      </c>
      <c r="AC69" s="12" t="str">
        <f t="shared" si="45"/>
        <v>-</v>
      </c>
      <c r="AD69" s="12" t="str">
        <f t="shared" si="46"/>
        <v>-</v>
      </c>
      <c r="AE69" s="12" t="str">
        <f t="shared" si="47"/>
        <v>-</v>
      </c>
      <c r="AF69" s="12" t="str">
        <f t="shared" si="48"/>
        <v>-</v>
      </c>
      <c r="AG69" s="12" t="str">
        <f t="shared" si="49"/>
        <v>-</v>
      </c>
      <c r="AJ69" s="160">
        <f t="shared" ca="1" si="50"/>
        <v>0</v>
      </c>
      <c r="AK69" s="12">
        <f t="shared" ca="1" si="51"/>
        <v>0</v>
      </c>
      <c r="AL69" s="12">
        <f t="shared" ca="1" si="52"/>
        <v>0</v>
      </c>
      <c r="AN69" s="28"/>
      <c r="AO69" s="78" t="s">
        <v>473</v>
      </c>
      <c r="AP69" s="179"/>
      <c r="AQ69" s="181" t="s">
        <v>60</v>
      </c>
      <c r="AR69" s="166">
        <v>0</v>
      </c>
      <c r="AS69" s="166">
        <v>0</v>
      </c>
      <c r="AT69" s="178" t="s">
        <v>388</v>
      </c>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row>
    <row r="70" spans="1:77" ht="15.75" customHeight="1" outlineLevel="1" x14ac:dyDescent="0.3">
      <c r="A70" s="45" t="s">
        <v>509</v>
      </c>
      <c r="C70" s="12">
        <f t="shared" si="19"/>
        <v>1</v>
      </c>
      <c r="D70" s="12" t="str">
        <f t="shared" si="20"/>
        <v>-</v>
      </c>
      <c r="E70" s="12" t="str">
        <f t="shared" si="21"/>
        <v>-</v>
      </c>
      <c r="F70" s="12" t="str">
        <f t="shared" si="22"/>
        <v>-</v>
      </c>
      <c r="G70" s="12" t="str">
        <f t="shared" si="23"/>
        <v>-</v>
      </c>
      <c r="H70" s="12" t="str">
        <f t="shared" si="24"/>
        <v>-</v>
      </c>
      <c r="I70" s="12" t="str">
        <f t="shared" si="25"/>
        <v>-</v>
      </c>
      <c r="J70" s="12" t="str">
        <f t="shared" si="26"/>
        <v>-</v>
      </c>
      <c r="K70" s="12" t="str">
        <f t="shared" si="27"/>
        <v>-</v>
      </c>
      <c r="L70" s="12" t="str">
        <f t="shared" si="28"/>
        <v>-</v>
      </c>
      <c r="M70" s="12" t="str">
        <f t="shared" si="29"/>
        <v>-</v>
      </c>
      <c r="N70" s="12" t="str">
        <f t="shared" si="30"/>
        <v>-</v>
      </c>
      <c r="O70" s="12" t="str">
        <f t="shared" si="31"/>
        <v>-</v>
      </c>
      <c r="P70" s="12" t="str">
        <f t="shared" si="32"/>
        <v>-</v>
      </c>
      <c r="Q70" s="12" t="str">
        <f t="shared" si="33"/>
        <v>-</v>
      </c>
      <c r="R70" s="12" t="str">
        <f t="shared" si="34"/>
        <v>-</v>
      </c>
      <c r="S70" s="12" t="str">
        <f t="shared" si="35"/>
        <v>-</v>
      </c>
      <c r="T70" s="12" t="str">
        <f t="shared" si="36"/>
        <v>-</v>
      </c>
      <c r="U70" s="12" t="str">
        <f t="shared" si="37"/>
        <v>-</v>
      </c>
      <c r="V70" s="12" t="str">
        <f t="shared" si="38"/>
        <v>-</v>
      </c>
      <c r="W70" s="12" t="str">
        <f t="shared" si="39"/>
        <v>-</v>
      </c>
      <c r="X70" s="12" t="str">
        <f t="shared" si="40"/>
        <v>-</v>
      </c>
      <c r="Y70" s="12" t="str">
        <f t="shared" si="41"/>
        <v>-</v>
      </c>
      <c r="Z70" s="12" t="str">
        <f t="shared" si="42"/>
        <v>-</v>
      </c>
      <c r="AA70" s="12" t="str">
        <f t="shared" si="43"/>
        <v>-</v>
      </c>
      <c r="AB70" s="12" t="str">
        <f t="shared" si="44"/>
        <v>-</v>
      </c>
      <c r="AC70" s="12" t="str">
        <f t="shared" si="45"/>
        <v>-</v>
      </c>
      <c r="AD70" s="12" t="str">
        <f t="shared" si="46"/>
        <v>-</v>
      </c>
      <c r="AE70" s="12" t="str">
        <f t="shared" si="47"/>
        <v>-</v>
      </c>
      <c r="AF70" s="12" t="str">
        <f t="shared" si="48"/>
        <v>-</v>
      </c>
      <c r="AG70" s="12" t="str">
        <f t="shared" si="49"/>
        <v>-</v>
      </c>
      <c r="AJ70" s="160">
        <f t="shared" ca="1" si="50"/>
        <v>0</v>
      </c>
      <c r="AK70" s="12">
        <f t="shared" ca="1" si="51"/>
        <v>0</v>
      </c>
      <c r="AL70" s="12">
        <f t="shared" ca="1" si="52"/>
        <v>0</v>
      </c>
      <c r="AN70" s="28"/>
      <c r="AO70" s="78" t="s">
        <v>474</v>
      </c>
      <c r="AP70" s="179"/>
      <c r="AQ70" s="181" t="s">
        <v>60</v>
      </c>
      <c r="AR70" s="166">
        <v>0</v>
      </c>
      <c r="AS70" s="166">
        <v>0</v>
      </c>
      <c r="AT70" s="178" t="s">
        <v>388</v>
      </c>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row>
    <row r="71" spans="1:77" ht="15.75" customHeight="1" outlineLevel="1" x14ac:dyDescent="0.3">
      <c r="A71" s="45" t="s">
        <v>510</v>
      </c>
      <c r="C71" s="12">
        <f t="shared" si="19"/>
        <v>1</v>
      </c>
      <c r="D71" s="12" t="str">
        <f t="shared" si="20"/>
        <v>-</v>
      </c>
      <c r="E71" s="12" t="str">
        <f t="shared" si="21"/>
        <v>-</v>
      </c>
      <c r="F71" s="12" t="str">
        <f t="shared" si="22"/>
        <v>-</v>
      </c>
      <c r="G71" s="12" t="str">
        <f t="shared" si="23"/>
        <v>-</v>
      </c>
      <c r="H71" s="12" t="str">
        <f t="shared" si="24"/>
        <v>-</v>
      </c>
      <c r="I71" s="12" t="str">
        <f t="shared" si="25"/>
        <v>-</v>
      </c>
      <c r="J71" s="12" t="str">
        <f t="shared" si="26"/>
        <v>-</v>
      </c>
      <c r="K71" s="12" t="str">
        <f t="shared" si="27"/>
        <v>-</v>
      </c>
      <c r="L71" s="12" t="str">
        <f t="shared" si="28"/>
        <v>-</v>
      </c>
      <c r="M71" s="12" t="str">
        <f t="shared" si="29"/>
        <v>-</v>
      </c>
      <c r="N71" s="12" t="str">
        <f t="shared" si="30"/>
        <v>-</v>
      </c>
      <c r="O71" s="12" t="str">
        <f t="shared" si="31"/>
        <v>-</v>
      </c>
      <c r="P71" s="12" t="str">
        <f t="shared" si="32"/>
        <v>-</v>
      </c>
      <c r="Q71" s="12" t="str">
        <f t="shared" si="33"/>
        <v>-</v>
      </c>
      <c r="R71" s="12" t="str">
        <f t="shared" si="34"/>
        <v>-</v>
      </c>
      <c r="S71" s="12" t="str">
        <f t="shared" si="35"/>
        <v>-</v>
      </c>
      <c r="T71" s="12" t="str">
        <f t="shared" si="36"/>
        <v>-</v>
      </c>
      <c r="U71" s="12" t="str">
        <f t="shared" si="37"/>
        <v>-</v>
      </c>
      <c r="V71" s="12" t="str">
        <f t="shared" si="38"/>
        <v>-</v>
      </c>
      <c r="W71" s="12" t="str">
        <f t="shared" si="39"/>
        <v>-</v>
      </c>
      <c r="X71" s="12" t="str">
        <f t="shared" si="40"/>
        <v>-</v>
      </c>
      <c r="Y71" s="12" t="str">
        <f t="shared" si="41"/>
        <v>-</v>
      </c>
      <c r="Z71" s="12" t="str">
        <f t="shared" si="42"/>
        <v>-</v>
      </c>
      <c r="AA71" s="12" t="str">
        <f t="shared" si="43"/>
        <v>-</v>
      </c>
      <c r="AB71" s="12" t="str">
        <f t="shared" si="44"/>
        <v>-</v>
      </c>
      <c r="AC71" s="12" t="str">
        <f t="shared" si="45"/>
        <v>-</v>
      </c>
      <c r="AD71" s="12" t="str">
        <f t="shared" si="46"/>
        <v>-</v>
      </c>
      <c r="AE71" s="12" t="str">
        <f t="shared" si="47"/>
        <v>-</v>
      </c>
      <c r="AF71" s="12" t="str">
        <f t="shared" si="48"/>
        <v>-</v>
      </c>
      <c r="AG71" s="12" t="str">
        <f t="shared" si="49"/>
        <v>-</v>
      </c>
      <c r="AJ71" s="160">
        <f t="shared" ca="1" si="50"/>
        <v>0</v>
      </c>
      <c r="AK71" s="12">
        <f t="shared" ca="1" si="51"/>
        <v>0</v>
      </c>
      <c r="AL71" s="12">
        <f t="shared" ca="1" si="52"/>
        <v>0</v>
      </c>
      <c r="AN71" s="28"/>
      <c r="AO71" s="78" t="s">
        <v>475</v>
      </c>
      <c r="AP71" s="179"/>
      <c r="AQ71" s="181" t="s">
        <v>60</v>
      </c>
      <c r="AR71" s="166">
        <v>0</v>
      </c>
      <c r="AS71" s="166">
        <v>0</v>
      </c>
      <c r="AT71" s="178" t="s">
        <v>388</v>
      </c>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row>
    <row r="72" spans="1:77" ht="15.75" customHeight="1" outlineLevel="1" x14ac:dyDescent="0.3">
      <c r="A72" s="45" t="s">
        <v>511</v>
      </c>
      <c r="C72" s="12">
        <f t="shared" si="19"/>
        <v>1</v>
      </c>
      <c r="D72" s="12" t="str">
        <f t="shared" si="20"/>
        <v>-</v>
      </c>
      <c r="E72" s="12" t="str">
        <f t="shared" si="21"/>
        <v>-</v>
      </c>
      <c r="F72" s="12" t="str">
        <f t="shared" si="22"/>
        <v>-</v>
      </c>
      <c r="G72" s="12" t="str">
        <f t="shared" si="23"/>
        <v>-</v>
      </c>
      <c r="H72" s="12" t="str">
        <f t="shared" si="24"/>
        <v>-</v>
      </c>
      <c r="I72" s="12" t="str">
        <f t="shared" si="25"/>
        <v>-</v>
      </c>
      <c r="J72" s="12" t="str">
        <f t="shared" si="26"/>
        <v>-</v>
      </c>
      <c r="K72" s="12" t="str">
        <f t="shared" si="27"/>
        <v>-</v>
      </c>
      <c r="L72" s="12" t="str">
        <f t="shared" si="28"/>
        <v>-</v>
      </c>
      <c r="M72" s="12" t="str">
        <f t="shared" si="29"/>
        <v>-</v>
      </c>
      <c r="N72" s="12" t="str">
        <f t="shared" si="30"/>
        <v>-</v>
      </c>
      <c r="O72" s="12" t="str">
        <f t="shared" si="31"/>
        <v>-</v>
      </c>
      <c r="P72" s="12" t="str">
        <f t="shared" si="32"/>
        <v>-</v>
      </c>
      <c r="Q72" s="12" t="str">
        <f t="shared" si="33"/>
        <v>-</v>
      </c>
      <c r="R72" s="12" t="str">
        <f t="shared" si="34"/>
        <v>-</v>
      </c>
      <c r="S72" s="12" t="str">
        <f t="shared" si="35"/>
        <v>-</v>
      </c>
      <c r="T72" s="12" t="str">
        <f t="shared" si="36"/>
        <v>-</v>
      </c>
      <c r="U72" s="12" t="str">
        <f t="shared" si="37"/>
        <v>-</v>
      </c>
      <c r="V72" s="12" t="str">
        <f t="shared" si="38"/>
        <v>-</v>
      </c>
      <c r="W72" s="12" t="str">
        <f t="shared" si="39"/>
        <v>-</v>
      </c>
      <c r="X72" s="12" t="str">
        <f t="shared" si="40"/>
        <v>-</v>
      </c>
      <c r="Y72" s="12" t="str">
        <f t="shared" si="41"/>
        <v>-</v>
      </c>
      <c r="Z72" s="12" t="str">
        <f t="shared" si="42"/>
        <v>-</v>
      </c>
      <c r="AA72" s="12" t="str">
        <f t="shared" si="43"/>
        <v>-</v>
      </c>
      <c r="AB72" s="12" t="str">
        <f t="shared" si="44"/>
        <v>-</v>
      </c>
      <c r="AC72" s="12" t="str">
        <f t="shared" si="45"/>
        <v>-</v>
      </c>
      <c r="AD72" s="12" t="str">
        <f t="shared" si="46"/>
        <v>-</v>
      </c>
      <c r="AE72" s="12" t="str">
        <f t="shared" si="47"/>
        <v>-</v>
      </c>
      <c r="AF72" s="12" t="str">
        <f t="shared" si="48"/>
        <v>-</v>
      </c>
      <c r="AG72" s="12" t="str">
        <f t="shared" si="49"/>
        <v>-</v>
      </c>
      <c r="AJ72" s="160">
        <f t="shared" ca="1" si="50"/>
        <v>0</v>
      </c>
      <c r="AK72" s="12">
        <f t="shared" ca="1" si="51"/>
        <v>0</v>
      </c>
      <c r="AL72" s="12">
        <f t="shared" ca="1" si="52"/>
        <v>0</v>
      </c>
      <c r="AN72" s="28"/>
      <c r="AO72" s="78" t="s">
        <v>476</v>
      </c>
      <c r="AP72" s="179"/>
      <c r="AQ72" s="181" t="s">
        <v>60</v>
      </c>
      <c r="AR72" s="166">
        <v>0</v>
      </c>
      <c r="AS72" s="166">
        <v>0</v>
      </c>
      <c r="AT72" s="178" t="s">
        <v>388</v>
      </c>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row>
    <row r="73" spans="1:77" ht="15.75" customHeight="1" outlineLevel="1" x14ac:dyDescent="0.3">
      <c r="A73" s="45" t="s">
        <v>512</v>
      </c>
      <c r="C73" s="12">
        <f t="shared" si="19"/>
        <v>1</v>
      </c>
      <c r="D73" s="12" t="str">
        <f t="shared" si="20"/>
        <v>-</v>
      </c>
      <c r="E73" s="12" t="str">
        <f t="shared" si="21"/>
        <v>-</v>
      </c>
      <c r="F73" s="12" t="str">
        <f t="shared" si="22"/>
        <v>-</v>
      </c>
      <c r="G73" s="12" t="str">
        <f t="shared" si="23"/>
        <v>-</v>
      </c>
      <c r="H73" s="12" t="str">
        <f t="shared" si="24"/>
        <v>-</v>
      </c>
      <c r="I73" s="12" t="str">
        <f t="shared" si="25"/>
        <v>-</v>
      </c>
      <c r="J73" s="12" t="str">
        <f t="shared" si="26"/>
        <v>-</v>
      </c>
      <c r="K73" s="12" t="str">
        <f t="shared" si="27"/>
        <v>-</v>
      </c>
      <c r="L73" s="12" t="str">
        <f t="shared" si="28"/>
        <v>-</v>
      </c>
      <c r="M73" s="12" t="str">
        <f t="shared" si="29"/>
        <v>-</v>
      </c>
      <c r="N73" s="12" t="str">
        <f t="shared" si="30"/>
        <v>-</v>
      </c>
      <c r="O73" s="12" t="str">
        <f t="shared" si="31"/>
        <v>-</v>
      </c>
      <c r="P73" s="12" t="str">
        <f t="shared" si="32"/>
        <v>-</v>
      </c>
      <c r="Q73" s="12" t="str">
        <f t="shared" si="33"/>
        <v>-</v>
      </c>
      <c r="R73" s="12" t="str">
        <f t="shared" si="34"/>
        <v>-</v>
      </c>
      <c r="S73" s="12" t="str">
        <f t="shared" si="35"/>
        <v>-</v>
      </c>
      <c r="T73" s="12" t="str">
        <f t="shared" si="36"/>
        <v>-</v>
      </c>
      <c r="U73" s="12" t="str">
        <f t="shared" si="37"/>
        <v>-</v>
      </c>
      <c r="V73" s="12" t="str">
        <f t="shared" si="38"/>
        <v>-</v>
      </c>
      <c r="W73" s="12" t="str">
        <f t="shared" si="39"/>
        <v>-</v>
      </c>
      <c r="X73" s="12" t="str">
        <f t="shared" si="40"/>
        <v>-</v>
      </c>
      <c r="Y73" s="12" t="str">
        <f t="shared" si="41"/>
        <v>-</v>
      </c>
      <c r="Z73" s="12" t="str">
        <f t="shared" si="42"/>
        <v>-</v>
      </c>
      <c r="AA73" s="12" t="str">
        <f t="shared" si="43"/>
        <v>-</v>
      </c>
      <c r="AB73" s="12" t="str">
        <f t="shared" si="44"/>
        <v>-</v>
      </c>
      <c r="AC73" s="12" t="str">
        <f t="shared" si="45"/>
        <v>-</v>
      </c>
      <c r="AD73" s="12" t="str">
        <f t="shared" si="46"/>
        <v>-</v>
      </c>
      <c r="AE73" s="12" t="str">
        <f t="shared" si="47"/>
        <v>-</v>
      </c>
      <c r="AF73" s="12" t="str">
        <f t="shared" si="48"/>
        <v>-</v>
      </c>
      <c r="AG73" s="12" t="str">
        <f t="shared" si="49"/>
        <v>-</v>
      </c>
      <c r="AJ73" s="160">
        <f t="shared" ca="1" si="50"/>
        <v>0</v>
      </c>
      <c r="AK73" s="12">
        <f t="shared" ca="1" si="51"/>
        <v>0</v>
      </c>
      <c r="AL73" s="12">
        <f t="shared" ca="1" si="52"/>
        <v>0</v>
      </c>
      <c r="AN73" s="28"/>
      <c r="AO73" s="78" t="s">
        <v>477</v>
      </c>
      <c r="AP73" s="179"/>
      <c r="AQ73" s="181" t="s">
        <v>60</v>
      </c>
      <c r="AR73" s="166">
        <v>0</v>
      </c>
      <c r="AS73" s="166">
        <v>0</v>
      </c>
      <c r="AT73" s="178" t="s">
        <v>388</v>
      </c>
      <c r="AU73" s="157"/>
      <c r="AV73" s="157"/>
      <c r="AW73" s="157"/>
      <c r="AX73" s="157"/>
      <c r="AY73" s="157"/>
      <c r="AZ73" s="157"/>
      <c r="BA73" s="157"/>
      <c r="BB73" s="157"/>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row>
    <row r="74" spans="1:77" ht="15.75" customHeight="1" outlineLevel="1" x14ac:dyDescent="0.3">
      <c r="A74" s="45" t="s">
        <v>513</v>
      </c>
      <c r="C74" s="12">
        <f t="shared" si="19"/>
        <v>1</v>
      </c>
      <c r="D74" s="12" t="str">
        <f t="shared" si="20"/>
        <v>-</v>
      </c>
      <c r="E74" s="12" t="str">
        <f t="shared" si="21"/>
        <v>-</v>
      </c>
      <c r="F74" s="12" t="str">
        <f t="shared" si="22"/>
        <v>-</v>
      </c>
      <c r="G74" s="12" t="str">
        <f t="shared" si="23"/>
        <v>-</v>
      </c>
      <c r="H74" s="12" t="str">
        <f t="shared" si="24"/>
        <v>-</v>
      </c>
      <c r="I74" s="12" t="str">
        <f t="shared" si="25"/>
        <v>-</v>
      </c>
      <c r="J74" s="12" t="str">
        <f t="shared" si="26"/>
        <v>-</v>
      </c>
      <c r="K74" s="12" t="str">
        <f t="shared" si="27"/>
        <v>-</v>
      </c>
      <c r="L74" s="12" t="str">
        <f t="shared" si="28"/>
        <v>-</v>
      </c>
      <c r="M74" s="12" t="str">
        <f t="shared" si="29"/>
        <v>-</v>
      </c>
      <c r="N74" s="12" t="str">
        <f t="shared" si="30"/>
        <v>-</v>
      </c>
      <c r="O74" s="12" t="str">
        <f t="shared" si="31"/>
        <v>-</v>
      </c>
      <c r="P74" s="12" t="str">
        <f t="shared" si="32"/>
        <v>-</v>
      </c>
      <c r="Q74" s="12" t="str">
        <f t="shared" si="33"/>
        <v>-</v>
      </c>
      <c r="R74" s="12" t="str">
        <f t="shared" si="34"/>
        <v>-</v>
      </c>
      <c r="S74" s="12" t="str">
        <f t="shared" si="35"/>
        <v>-</v>
      </c>
      <c r="T74" s="12" t="str">
        <f t="shared" si="36"/>
        <v>-</v>
      </c>
      <c r="U74" s="12" t="str">
        <f t="shared" si="37"/>
        <v>-</v>
      </c>
      <c r="V74" s="12" t="str">
        <f t="shared" si="38"/>
        <v>-</v>
      </c>
      <c r="W74" s="12" t="str">
        <f t="shared" si="39"/>
        <v>-</v>
      </c>
      <c r="X74" s="12" t="str">
        <f t="shared" si="40"/>
        <v>-</v>
      </c>
      <c r="Y74" s="12" t="str">
        <f t="shared" si="41"/>
        <v>-</v>
      </c>
      <c r="Z74" s="12" t="str">
        <f t="shared" si="42"/>
        <v>-</v>
      </c>
      <c r="AA74" s="12" t="str">
        <f t="shared" si="43"/>
        <v>-</v>
      </c>
      <c r="AB74" s="12" t="str">
        <f t="shared" si="44"/>
        <v>-</v>
      </c>
      <c r="AC74" s="12" t="str">
        <f t="shared" si="45"/>
        <v>-</v>
      </c>
      <c r="AD74" s="12" t="str">
        <f t="shared" si="46"/>
        <v>-</v>
      </c>
      <c r="AE74" s="12" t="str">
        <f t="shared" si="47"/>
        <v>-</v>
      </c>
      <c r="AF74" s="12" t="str">
        <f t="shared" si="48"/>
        <v>-</v>
      </c>
      <c r="AG74" s="12" t="str">
        <f t="shared" si="49"/>
        <v>-</v>
      </c>
      <c r="AJ74" s="160">
        <f t="shared" ca="1" si="50"/>
        <v>0</v>
      </c>
      <c r="AK74" s="12">
        <f t="shared" ca="1" si="51"/>
        <v>0</v>
      </c>
      <c r="AL74" s="12">
        <f t="shared" ca="1" si="52"/>
        <v>0</v>
      </c>
      <c r="AN74" s="28"/>
      <c r="AO74" s="78" t="s">
        <v>478</v>
      </c>
      <c r="AP74" s="179"/>
      <c r="AQ74" s="181" t="s">
        <v>60</v>
      </c>
      <c r="AR74" s="166">
        <v>0</v>
      </c>
      <c r="AS74" s="166">
        <v>0</v>
      </c>
      <c r="AT74" s="178" t="s">
        <v>388</v>
      </c>
      <c r="AU74" s="157"/>
      <c r="AV74" s="157"/>
      <c r="AW74" s="157"/>
      <c r="AX74" s="157"/>
      <c r="AY74" s="157"/>
      <c r="AZ74" s="157"/>
      <c r="BA74" s="157"/>
      <c r="BB74" s="157"/>
      <c r="BC74" s="157"/>
      <c r="BD74" s="157"/>
      <c r="BE74" s="157"/>
      <c r="BF74" s="157"/>
      <c r="BG74" s="157"/>
      <c r="BH74" s="157"/>
      <c r="BI74" s="157"/>
      <c r="BJ74" s="157"/>
      <c r="BK74" s="157"/>
      <c r="BL74" s="157"/>
      <c r="BM74" s="157"/>
      <c r="BN74" s="157"/>
      <c r="BO74" s="157"/>
      <c r="BP74" s="157"/>
      <c r="BQ74" s="157"/>
      <c r="BR74" s="157"/>
      <c r="BS74" s="157"/>
      <c r="BT74" s="157"/>
      <c r="BU74" s="157"/>
      <c r="BV74" s="157"/>
      <c r="BW74" s="157"/>
      <c r="BX74" s="157"/>
      <c r="BY74" s="157"/>
    </row>
    <row r="75" spans="1:77" ht="15.75" customHeight="1" outlineLevel="1" x14ac:dyDescent="0.3">
      <c r="A75" s="45" t="s">
        <v>514</v>
      </c>
      <c r="C75" s="12">
        <f t="shared" si="19"/>
        <v>1</v>
      </c>
      <c r="D75" s="12" t="str">
        <f t="shared" si="20"/>
        <v>-</v>
      </c>
      <c r="E75" s="12" t="str">
        <f t="shared" si="21"/>
        <v>-</v>
      </c>
      <c r="F75" s="12" t="str">
        <f t="shared" si="22"/>
        <v>-</v>
      </c>
      <c r="G75" s="12" t="str">
        <f t="shared" si="23"/>
        <v>-</v>
      </c>
      <c r="H75" s="12" t="str">
        <f t="shared" si="24"/>
        <v>-</v>
      </c>
      <c r="I75" s="12" t="str">
        <f t="shared" si="25"/>
        <v>-</v>
      </c>
      <c r="J75" s="12" t="str">
        <f t="shared" si="26"/>
        <v>-</v>
      </c>
      <c r="K75" s="12" t="str">
        <f t="shared" si="27"/>
        <v>-</v>
      </c>
      <c r="L75" s="12" t="str">
        <f t="shared" si="28"/>
        <v>-</v>
      </c>
      <c r="M75" s="12" t="str">
        <f t="shared" si="29"/>
        <v>-</v>
      </c>
      <c r="N75" s="12" t="str">
        <f t="shared" si="30"/>
        <v>-</v>
      </c>
      <c r="O75" s="12" t="str">
        <f t="shared" si="31"/>
        <v>-</v>
      </c>
      <c r="P75" s="12" t="str">
        <f t="shared" si="32"/>
        <v>-</v>
      </c>
      <c r="Q75" s="12" t="str">
        <f t="shared" si="33"/>
        <v>-</v>
      </c>
      <c r="R75" s="12" t="str">
        <f t="shared" si="34"/>
        <v>-</v>
      </c>
      <c r="S75" s="12" t="str">
        <f t="shared" si="35"/>
        <v>-</v>
      </c>
      <c r="T75" s="12" t="str">
        <f t="shared" si="36"/>
        <v>-</v>
      </c>
      <c r="U75" s="12" t="str">
        <f t="shared" si="37"/>
        <v>-</v>
      </c>
      <c r="V75" s="12" t="str">
        <f t="shared" si="38"/>
        <v>-</v>
      </c>
      <c r="W75" s="12" t="str">
        <f t="shared" si="39"/>
        <v>-</v>
      </c>
      <c r="X75" s="12" t="str">
        <f t="shared" si="40"/>
        <v>-</v>
      </c>
      <c r="Y75" s="12" t="str">
        <f t="shared" si="41"/>
        <v>-</v>
      </c>
      <c r="Z75" s="12" t="str">
        <f t="shared" si="42"/>
        <v>-</v>
      </c>
      <c r="AA75" s="12" t="str">
        <f t="shared" si="43"/>
        <v>-</v>
      </c>
      <c r="AB75" s="12" t="str">
        <f t="shared" si="44"/>
        <v>-</v>
      </c>
      <c r="AC75" s="12" t="str">
        <f t="shared" si="45"/>
        <v>-</v>
      </c>
      <c r="AD75" s="12" t="str">
        <f t="shared" si="46"/>
        <v>-</v>
      </c>
      <c r="AE75" s="12" t="str">
        <f t="shared" si="47"/>
        <v>-</v>
      </c>
      <c r="AF75" s="12" t="str">
        <f t="shared" si="48"/>
        <v>-</v>
      </c>
      <c r="AG75" s="12" t="str">
        <f t="shared" si="49"/>
        <v>-</v>
      </c>
      <c r="AJ75" s="160">
        <f t="shared" ca="1" si="50"/>
        <v>0</v>
      </c>
      <c r="AK75" s="12">
        <f t="shared" ca="1" si="51"/>
        <v>0</v>
      </c>
      <c r="AL75" s="12">
        <f t="shared" ca="1" si="52"/>
        <v>0</v>
      </c>
      <c r="AN75" s="28"/>
      <c r="AO75" s="78" t="s">
        <v>479</v>
      </c>
      <c r="AP75" s="179"/>
      <c r="AQ75" s="181" t="s">
        <v>60</v>
      </c>
      <c r="AR75" s="166">
        <v>0</v>
      </c>
      <c r="AS75" s="166">
        <v>0</v>
      </c>
      <c r="AT75" s="178" t="s">
        <v>388</v>
      </c>
      <c r="AU75" s="157"/>
      <c r="AV75" s="157"/>
      <c r="AW75" s="157"/>
      <c r="AX75" s="157"/>
      <c r="AY75" s="157"/>
      <c r="AZ75" s="157"/>
      <c r="BA75" s="157"/>
      <c r="BB75" s="157"/>
      <c r="BC75" s="157"/>
      <c r="BD75" s="157"/>
      <c r="BE75" s="157"/>
      <c r="BF75" s="157"/>
      <c r="BG75" s="157"/>
      <c r="BH75" s="157"/>
      <c r="BI75" s="157"/>
      <c r="BJ75" s="157"/>
      <c r="BK75" s="157"/>
      <c r="BL75" s="157"/>
      <c r="BM75" s="157"/>
      <c r="BN75" s="157"/>
      <c r="BO75" s="157"/>
      <c r="BP75" s="157"/>
      <c r="BQ75" s="157"/>
      <c r="BR75" s="157"/>
      <c r="BS75" s="157"/>
      <c r="BT75" s="157"/>
      <c r="BU75" s="157"/>
      <c r="BV75" s="157"/>
      <c r="BW75" s="157"/>
      <c r="BX75" s="157"/>
      <c r="BY75" s="157"/>
    </row>
    <row r="76" spans="1:77" ht="15.75" customHeight="1" outlineLevel="1" x14ac:dyDescent="0.3">
      <c r="A76" s="45" t="s">
        <v>515</v>
      </c>
      <c r="C76" s="12">
        <f t="shared" si="19"/>
        <v>1</v>
      </c>
      <c r="D76" s="12" t="str">
        <f t="shared" si="20"/>
        <v>-</v>
      </c>
      <c r="E76" s="12" t="str">
        <f t="shared" si="21"/>
        <v>-</v>
      </c>
      <c r="F76" s="12" t="str">
        <f t="shared" si="22"/>
        <v>-</v>
      </c>
      <c r="G76" s="12" t="str">
        <f t="shared" si="23"/>
        <v>-</v>
      </c>
      <c r="H76" s="12" t="str">
        <f t="shared" si="24"/>
        <v>-</v>
      </c>
      <c r="I76" s="12" t="str">
        <f t="shared" si="25"/>
        <v>-</v>
      </c>
      <c r="J76" s="12" t="str">
        <f t="shared" si="26"/>
        <v>-</v>
      </c>
      <c r="K76" s="12" t="str">
        <f t="shared" si="27"/>
        <v>-</v>
      </c>
      <c r="L76" s="12" t="str">
        <f t="shared" si="28"/>
        <v>-</v>
      </c>
      <c r="M76" s="12" t="str">
        <f t="shared" si="29"/>
        <v>-</v>
      </c>
      <c r="N76" s="12" t="str">
        <f t="shared" si="30"/>
        <v>-</v>
      </c>
      <c r="O76" s="12" t="str">
        <f t="shared" si="31"/>
        <v>-</v>
      </c>
      <c r="P76" s="12" t="str">
        <f t="shared" si="32"/>
        <v>-</v>
      </c>
      <c r="Q76" s="12" t="str">
        <f t="shared" si="33"/>
        <v>-</v>
      </c>
      <c r="R76" s="12" t="str">
        <f t="shared" si="34"/>
        <v>-</v>
      </c>
      <c r="S76" s="12" t="str">
        <f t="shared" si="35"/>
        <v>-</v>
      </c>
      <c r="T76" s="12" t="str">
        <f t="shared" si="36"/>
        <v>-</v>
      </c>
      <c r="U76" s="12" t="str">
        <f t="shared" si="37"/>
        <v>-</v>
      </c>
      <c r="V76" s="12" t="str">
        <f t="shared" si="38"/>
        <v>-</v>
      </c>
      <c r="W76" s="12" t="str">
        <f t="shared" si="39"/>
        <v>-</v>
      </c>
      <c r="X76" s="12" t="str">
        <f t="shared" si="40"/>
        <v>-</v>
      </c>
      <c r="Y76" s="12" t="str">
        <f t="shared" si="41"/>
        <v>-</v>
      </c>
      <c r="Z76" s="12" t="str">
        <f t="shared" si="42"/>
        <v>-</v>
      </c>
      <c r="AA76" s="12" t="str">
        <f t="shared" si="43"/>
        <v>-</v>
      </c>
      <c r="AB76" s="12" t="str">
        <f t="shared" si="44"/>
        <v>-</v>
      </c>
      <c r="AC76" s="12" t="str">
        <f t="shared" si="45"/>
        <v>-</v>
      </c>
      <c r="AD76" s="12" t="str">
        <f t="shared" si="46"/>
        <v>-</v>
      </c>
      <c r="AE76" s="12" t="str">
        <f t="shared" si="47"/>
        <v>-</v>
      </c>
      <c r="AF76" s="12" t="str">
        <f t="shared" si="48"/>
        <v>-</v>
      </c>
      <c r="AG76" s="12" t="str">
        <f t="shared" si="49"/>
        <v>-</v>
      </c>
      <c r="AJ76" s="160">
        <f t="shared" ca="1" si="50"/>
        <v>0</v>
      </c>
      <c r="AK76" s="12">
        <f t="shared" ca="1" si="51"/>
        <v>0</v>
      </c>
      <c r="AL76" s="12">
        <f t="shared" ca="1" si="52"/>
        <v>0</v>
      </c>
      <c r="AN76" s="28"/>
      <c r="AO76" s="78" t="s">
        <v>480</v>
      </c>
      <c r="AP76" s="179"/>
      <c r="AQ76" s="181" t="s">
        <v>60</v>
      </c>
      <c r="AR76" s="166">
        <v>0</v>
      </c>
      <c r="AS76" s="166">
        <v>0</v>
      </c>
      <c r="AT76" s="178" t="s">
        <v>388</v>
      </c>
      <c r="AU76" s="157"/>
      <c r="AV76" s="157"/>
      <c r="AW76" s="157"/>
      <c r="AX76" s="157"/>
      <c r="AY76" s="157"/>
      <c r="AZ76" s="157"/>
      <c r="BA76" s="157"/>
      <c r="BB76" s="157"/>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row>
    <row r="77" spans="1:77" ht="15.75" customHeight="1" outlineLevel="1" x14ac:dyDescent="0.3">
      <c r="A77" s="45" t="s">
        <v>516</v>
      </c>
      <c r="C77" s="12">
        <f t="shared" si="19"/>
        <v>1</v>
      </c>
      <c r="D77" s="12" t="str">
        <f t="shared" si="20"/>
        <v>-</v>
      </c>
      <c r="E77" s="12" t="str">
        <f t="shared" si="21"/>
        <v>-</v>
      </c>
      <c r="F77" s="12" t="str">
        <f t="shared" si="22"/>
        <v>-</v>
      </c>
      <c r="G77" s="12" t="str">
        <f t="shared" si="23"/>
        <v>-</v>
      </c>
      <c r="H77" s="12" t="str">
        <f t="shared" si="24"/>
        <v>-</v>
      </c>
      <c r="I77" s="12" t="str">
        <f t="shared" si="25"/>
        <v>-</v>
      </c>
      <c r="J77" s="12" t="str">
        <f t="shared" si="26"/>
        <v>-</v>
      </c>
      <c r="K77" s="12" t="str">
        <f t="shared" si="27"/>
        <v>-</v>
      </c>
      <c r="L77" s="12" t="str">
        <f t="shared" si="28"/>
        <v>-</v>
      </c>
      <c r="M77" s="12" t="str">
        <f t="shared" si="29"/>
        <v>-</v>
      </c>
      <c r="N77" s="12" t="str">
        <f t="shared" si="30"/>
        <v>-</v>
      </c>
      <c r="O77" s="12" t="str">
        <f t="shared" si="31"/>
        <v>-</v>
      </c>
      <c r="P77" s="12" t="str">
        <f t="shared" si="32"/>
        <v>-</v>
      </c>
      <c r="Q77" s="12" t="str">
        <f t="shared" si="33"/>
        <v>-</v>
      </c>
      <c r="R77" s="12" t="str">
        <f t="shared" si="34"/>
        <v>-</v>
      </c>
      <c r="S77" s="12" t="str">
        <f t="shared" si="35"/>
        <v>-</v>
      </c>
      <c r="T77" s="12" t="str">
        <f t="shared" si="36"/>
        <v>-</v>
      </c>
      <c r="U77" s="12" t="str">
        <f t="shared" si="37"/>
        <v>-</v>
      </c>
      <c r="V77" s="12" t="str">
        <f t="shared" si="38"/>
        <v>-</v>
      </c>
      <c r="W77" s="12" t="str">
        <f t="shared" si="39"/>
        <v>-</v>
      </c>
      <c r="X77" s="12" t="str">
        <f t="shared" si="40"/>
        <v>-</v>
      </c>
      <c r="Y77" s="12" t="str">
        <f t="shared" si="41"/>
        <v>-</v>
      </c>
      <c r="Z77" s="12" t="str">
        <f t="shared" si="42"/>
        <v>-</v>
      </c>
      <c r="AA77" s="12" t="str">
        <f t="shared" si="43"/>
        <v>-</v>
      </c>
      <c r="AB77" s="12" t="str">
        <f t="shared" si="44"/>
        <v>-</v>
      </c>
      <c r="AC77" s="12" t="str">
        <f t="shared" si="45"/>
        <v>-</v>
      </c>
      <c r="AD77" s="12" t="str">
        <f t="shared" si="46"/>
        <v>-</v>
      </c>
      <c r="AE77" s="12" t="str">
        <f t="shared" si="47"/>
        <v>-</v>
      </c>
      <c r="AF77" s="12" t="str">
        <f t="shared" si="48"/>
        <v>-</v>
      </c>
      <c r="AG77" s="12" t="str">
        <f t="shared" si="49"/>
        <v>-</v>
      </c>
      <c r="AJ77" s="160">
        <f t="shared" ca="1" si="50"/>
        <v>0</v>
      </c>
      <c r="AK77" s="12">
        <f t="shared" ca="1" si="51"/>
        <v>0</v>
      </c>
      <c r="AL77" s="12">
        <f t="shared" ca="1" si="52"/>
        <v>0</v>
      </c>
      <c r="AN77" s="28"/>
      <c r="AO77" s="78" t="s">
        <v>481</v>
      </c>
      <c r="AP77" s="179"/>
      <c r="AQ77" s="181" t="s">
        <v>60</v>
      </c>
      <c r="AR77" s="166">
        <v>0</v>
      </c>
      <c r="AS77" s="166">
        <v>0</v>
      </c>
      <c r="AT77" s="178" t="s">
        <v>388</v>
      </c>
      <c r="AU77" s="157"/>
      <c r="AV77" s="157"/>
      <c r="AW77" s="157"/>
      <c r="AX77" s="157"/>
      <c r="AY77" s="157"/>
      <c r="AZ77" s="157"/>
      <c r="BA77" s="157"/>
      <c r="BB77" s="157"/>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row>
    <row r="78" spans="1:77" ht="15.75" customHeight="1" outlineLevel="1" x14ac:dyDescent="0.3">
      <c r="A78" s="45" t="s">
        <v>517</v>
      </c>
      <c r="C78" s="12">
        <f t="shared" si="19"/>
        <v>1</v>
      </c>
      <c r="D78" s="12" t="str">
        <f t="shared" si="20"/>
        <v>-</v>
      </c>
      <c r="E78" s="12" t="str">
        <f t="shared" si="21"/>
        <v>-</v>
      </c>
      <c r="F78" s="12" t="str">
        <f t="shared" si="22"/>
        <v>-</v>
      </c>
      <c r="G78" s="12" t="str">
        <f t="shared" si="23"/>
        <v>-</v>
      </c>
      <c r="H78" s="12" t="str">
        <f t="shared" si="24"/>
        <v>-</v>
      </c>
      <c r="I78" s="12" t="str">
        <f t="shared" si="25"/>
        <v>-</v>
      </c>
      <c r="J78" s="12" t="str">
        <f t="shared" si="26"/>
        <v>-</v>
      </c>
      <c r="K78" s="12" t="str">
        <f t="shared" si="27"/>
        <v>-</v>
      </c>
      <c r="L78" s="12" t="str">
        <f t="shared" si="28"/>
        <v>-</v>
      </c>
      <c r="M78" s="12" t="str">
        <f t="shared" si="29"/>
        <v>-</v>
      </c>
      <c r="N78" s="12" t="str">
        <f t="shared" si="30"/>
        <v>-</v>
      </c>
      <c r="O78" s="12" t="str">
        <f t="shared" si="31"/>
        <v>-</v>
      </c>
      <c r="P78" s="12" t="str">
        <f t="shared" si="32"/>
        <v>-</v>
      </c>
      <c r="Q78" s="12" t="str">
        <f t="shared" si="33"/>
        <v>-</v>
      </c>
      <c r="R78" s="12" t="str">
        <f t="shared" si="34"/>
        <v>-</v>
      </c>
      <c r="S78" s="12" t="str">
        <f t="shared" si="35"/>
        <v>-</v>
      </c>
      <c r="T78" s="12" t="str">
        <f t="shared" si="36"/>
        <v>-</v>
      </c>
      <c r="U78" s="12" t="str">
        <f t="shared" si="37"/>
        <v>-</v>
      </c>
      <c r="V78" s="12" t="str">
        <f t="shared" si="38"/>
        <v>-</v>
      </c>
      <c r="W78" s="12" t="str">
        <f t="shared" si="39"/>
        <v>-</v>
      </c>
      <c r="X78" s="12" t="str">
        <f t="shared" si="40"/>
        <v>-</v>
      </c>
      <c r="Y78" s="12" t="str">
        <f t="shared" si="41"/>
        <v>-</v>
      </c>
      <c r="Z78" s="12" t="str">
        <f t="shared" si="42"/>
        <v>-</v>
      </c>
      <c r="AA78" s="12" t="str">
        <f t="shared" si="43"/>
        <v>-</v>
      </c>
      <c r="AB78" s="12" t="str">
        <f t="shared" si="44"/>
        <v>-</v>
      </c>
      <c r="AC78" s="12" t="str">
        <f t="shared" si="45"/>
        <v>-</v>
      </c>
      <c r="AD78" s="12" t="str">
        <f t="shared" si="46"/>
        <v>-</v>
      </c>
      <c r="AE78" s="12" t="str">
        <f t="shared" si="47"/>
        <v>-</v>
      </c>
      <c r="AF78" s="12" t="str">
        <f t="shared" si="48"/>
        <v>-</v>
      </c>
      <c r="AG78" s="12" t="str">
        <f t="shared" si="49"/>
        <v>-</v>
      </c>
      <c r="AJ78" s="160">
        <f t="shared" ca="1" si="50"/>
        <v>0</v>
      </c>
      <c r="AK78" s="12">
        <f t="shared" ca="1" si="51"/>
        <v>0</v>
      </c>
      <c r="AL78" s="12">
        <f t="shared" ca="1" si="52"/>
        <v>0</v>
      </c>
      <c r="AN78" s="28"/>
      <c r="AO78" s="78" t="s">
        <v>482</v>
      </c>
      <c r="AP78" s="179"/>
      <c r="AQ78" s="181" t="s">
        <v>60</v>
      </c>
      <c r="AR78" s="166">
        <v>0</v>
      </c>
      <c r="AS78" s="166">
        <v>0</v>
      </c>
      <c r="AT78" s="178" t="s">
        <v>388</v>
      </c>
      <c r="AU78" s="157"/>
      <c r="AV78" s="157"/>
      <c r="AW78" s="157"/>
      <c r="AX78" s="157"/>
      <c r="AY78" s="157"/>
      <c r="AZ78" s="157"/>
      <c r="BA78" s="157"/>
      <c r="BB78" s="157"/>
      <c r="BC78" s="157"/>
      <c r="BD78" s="157"/>
      <c r="BE78" s="157"/>
      <c r="BF78" s="157"/>
      <c r="BG78" s="157"/>
      <c r="BH78" s="157"/>
      <c r="BI78" s="157"/>
      <c r="BJ78" s="157"/>
      <c r="BK78" s="157"/>
      <c r="BL78" s="157"/>
      <c r="BM78" s="157"/>
      <c r="BN78" s="157"/>
      <c r="BO78" s="157"/>
      <c r="BP78" s="157"/>
      <c r="BQ78" s="157"/>
      <c r="BR78" s="157"/>
      <c r="BS78" s="157"/>
      <c r="BT78" s="157"/>
      <c r="BU78" s="157"/>
      <c r="BV78" s="157"/>
      <c r="BW78" s="157"/>
      <c r="BX78" s="157"/>
      <c r="BY78" s="157"/>
    </row>
    <row r="79" spans="1:77" ht="15.75" customHeight="1" outlineLevel="1" x14ac:dyDescent="0.3">
      <c r="A79" s="45" t="s">
        <v>518</v>
      </c>
      <c r="C79" s="12">
        <f t="shared" si="19"/>
        <v>1</v>
      </c>
      <c r="D79" s="12" t="str">
        <f t="shared" si="20"/>
        <v>-</v>
      </c>
      <c r="E79" s="12" t="str">
        <f t="shared" si="21"/>
        <v>-</v>
      </c>
      <c r="F79" s="12" t="str">
        <f t="shared" si="22"/>
        <v>-</v>
      </c>
      <c r="G79" s="12" t="str">
        <f t="shared" si="23"/>
        <v>-</v>
      </c>
      <c r="H79" s="12" t="str">
        <f t="shared" si="24"/>
        <v>-</v>
      </c>
      <c r="I79" s="12" t="str">
        <f t="shared" si="25"/>
        <v>-</v>
      </c>
      <c r="J79" s="12" t="str">
        <f t="shared" si="26"/>
        <v>-</v>
      </c>
      <c r="K79" s="12" t="str">
        <f t="shared" si="27"/>
        <v>-</v>
      </c>
      <c r="L79" s="12" t="str">
        <f t="shared" si="28"/>
        <v>-</v>
      </c>
      <c r="M79" s="12" t="str">
        <f t="shared" si="29"/>
        <v>-</v>
      </c>
      <c r="N79" s="12" t="str">
        <f t="shared" si="30"/>
        <v>-</v>
      </c>
      <c r="O79" s="12" t="str">
        <f t="shared" si="31"/>
        <v>-</v>
      </c>
      <c r="P79" s="12" t="str">
        <f t="shared" si="32"/>
        <v>-</v>
      </c>
      <c r="Q79" s="12" t="str">
        <f t="shared" si="33"/>
        <v>-</v>
      </c>
      <c r="R79" s="12" t="str">
        <f t="shared" si="34"/>
        <v>-</v>
      </c>
      <c r="S79" s="12" t="str">
        <f t="shared" si="35"/>
        <v>-</v>
      </c>
      <c r="T79" s="12" t="str">
        <f t="shared" si="36"/>
        <v>-</v>
      </c>
      <c r="U79" s="12" t="str">
        <f t="shared" si="37"/>
        <v>-</v>
      </c>
      <c r="V79" s="12" t="str">
        <f t="shared" si="38"/>
        <v>-</v>
      </c>
      <c r="W79" s="12" t="str">
        <f t="shared" si="39"/>
        <v>-</v>
      </c>
      <c r="X79" s="12" t="str">
        <f t="shared" si="40"/>
        <v>-</v>
      </c>
      <c r="Y79" s="12" t="str">
        <f t="shared" si="41"/>
        <v>-</v>
      </c>
      <c r="Z79" s="12" t="str">
        <f t="shared" si="42"/>
        <v>-</v>
      </c>
      <c r="AA79" s="12" t="str">
        <f t="shared" si="43"/>
        <v>-</v>
      </c>
      <c r="AB79" s="12" t="str">
        <f t="shared" si="44"/>
        <v>-</v>
      </c>
      <c r="AC79" s="12" t="str">
        <f t="shared" si="45"/>
        <v>-</v>
      </c>
      <c r="AD79" s="12" t="str">
        <f t="shared" si="46"/>
        <v>-</v>
      </c>
      <c r="AE79" s="12" t="str">
        <f t="shared" si="47"/>
        <v>-</v>
      </c>
      <c r="AF79" s="12" t="str">
        <f t="shared" si="48"/>
        <v>-</v>
      </c>
      <c r="AG79" s="12" t="str">
        <f t="shared" si="49"/>
        <v>-</v>
      </c>
      <c r="AJ79" s="160">
        <f t="shared" ca="1" si="50"/>
        <v>0</v>
      </c>
      <c r="AK79" s="12">
        <f t="shared" ca="1" si="51"/>
        <v>0</v>
      </c>
      <c r="AL79" s="12">
        <f t="shared" ca="1" si="52"/>
        <v>0</v>
      </c>
      <c r="AN79" s="28"/>
      <c r="AO79" s="78" t="s">
        <v>483</v>
      </c>
      <c r="AP79" s="179"/>
      <c r="AQ79" s="181" t="s">
        <v>60</v>
      </c>
      <c r="AR79" s="166">
        <v>0</v>
      </c>
      <c r="AS79" s="166">
        <v>0</v>
      </c>
      <c r="AT79" s="178" t="s">
        <v>388</v>
      </c>
      <c r="AU79" s="157"/>
      <c r="AV79" s="157"/>
      <c r="AW79" s="157"/>
      <c r="AX79" s="157"/>
      <c r="AY79" s="157"/>
      <c r="AZ79" s="157"/>
      <c r="BA79" s="157"/>
      <c r="BB79" s="157"/>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row>
    <row r="80" spans="1:77" ht="15.75" customHeight="1" outlineLevel="1" x14ac:dyDescent="0.3">
      <c r="A80" s="45" t="s">
        <v>519</v>
      </c>
      <c r="C80" s="12">
        <f t="shared" si="19"/>
        <v>1</v>
      </c>
      <c r="D80" s="12" t="str">
        <f t="shared" si="20"/>
        <v>-</v>
      </c>
      <c r="E80" s="12" t="str">
        <f t="shared" si="21"/>
        <v>-</v>
      </c>
      <c r="F80" s="12" t="str">
        <f t="shared" si="22"/>
        <v>-</v>
      </c>
      <c r="G80" s="12" t="str">
        <f t="shared" si="23"/>
        <v>-</v>
      </c>
      <c r="H80" s="12" t="str">
        <f t="shared" si="24"/>
        <v>-</v>
      </c>
      <c r="I80" s="12" t="str">
        <f t="shared" si="25"/>
        <v>-</v>
      </c>
      <c r="J80" s="12" t="str">
        <f t="shared" si="26"/>
        <v>-</v>
      </c>
      <c r="K80" s="12" t="str">
        <f t="shared" si="27"/>
        <v>-</v>
      </c>
      <c r="L80" s="12" t="str">
        <f t="shared" si="28"/>
        <v>-</v>
      </c>
      <c r="M80" s="12" t="str">
        <f t="shared" si="29"/>
        <v>-</v>
      </c>
      <c r="N80" s="12" t="str">
        <f t="shared" si="30"/>
        <v>-</v>
      </c>
      <c r="O80" s="12" t="str">
        <f t="shared" si="31"/>
        <v>-</v>
      </c>
      <c r="P80" s="12" t="str">
        <f t="shared" si="32"/>
        <v>-</v>
      </c>
      <c r="Q80" s="12" t="str">
        <f t="shared" si="33"/>
        <v>-</v>
      </c>
      <c r="R80" s="12" t="str">
        <f t="shared" si="34"/>
        <v>-</v>
      </c>
      <c r="S80" s="12" t="str">
        <f t="shared" si="35"/>
        <v>-</v>
      </c>
      <c r="T80" s="12" t="str">
        <f t="shared" si="36"/>
        <v>-</v>
      </c>
      <c r="U80" s="12" t="str">
        <f t="shared" si="37"/>
        <v>-</v>
      </c>
      <c r="V80" s="12" t="str">
        <f t="shared" si="38"/>
        <v>-</v>
      </c>
      <c r="W80" s="12" t="str">
        <f t="shared" si="39"/>
        <v>-</v>
      </c>
      <c r="X80" s="12" t="str">
        <f t="shared" si="40"/>
        <v>-</v>
      </c>
      <c r="Y80" s="12" t="str">
        <f t="shared" si="41"/>
        <v>-</v>
      </c>
      <c r="Z80" s="12" t="str">
        <f t="shared" si="42"/>
        <v>-</v>
      </c>
      <c r="AA80" s="12" t="str">
        <f t="shared" si="43"/>
        <v>-</v>
      </c>
      <c r="AB80" s="12" t="str">
        <f t="shared" si="44"/>
        <v>-</v>
      </c>
      <c r="AC80" s="12" t="str">
        <f t="shared" si="45"/>
        <v>-</v>
      </c>
      <c r="AD80" s="12" t="str">
        <f t="shared" si="46"/>
        <v>-</v>
      </c>
      <c r="AE80" s="12" t="str">
        <f t="shared" si="47"/>
        <v>-</v>
      </c>
      <c r="AF80" s="12" t="str">
        <f t="shared" si="48"/>
        <v>-</v>
      </c>
      <c r="AG80" s="12" t="str">
        <f t="shared" si="49"/>
        <v>-</v>
      </c>
      <c r="AJ80" s="160">
        <f t="shared" ca="1" si="50"/>
        <v>0</v>
      </c>
      <c r="AK80" s="12">
        <f t="shared" ca="1" si="51"/>
        <v>0</v>
      </c>
      <c r="AL80" s="12">
        <f t="shared" ca="1" si="52"/>
        <v>0</v>
      </c>
      <c r="AN80" s="28"/>
      <c r="AO80" s="78" t="s">
        <v>484</v>
      </c>
      <c r="AP80" s="179"/>
      <c r="AQ80" s="181" t="s">
        <v>60</v>
      </c>
      <c r="AR80" s="166">
        <v>0</v>
      </c>
      <c r="AS80" s="166">
        <v>0</v>
      </c>
      <c r="AT80" s="178" t="s">
        <v>388</v>
      </c>
      <c r="AU80" s="157"/>
      <c r="AV80" s="157"/>
      <c r="AW80" s="157"/>
      <c r="AX80" s="157"/>
      <c r="AY80" s="157"/>
      <c r="AZ80" s="157"/>
      <c r="BA80" s="157"/>
      <c r="BB80" s="157"/>
      <c r="BC80" s="157"/>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row>
    <row r="81" spans="1:77" ht="15.75" customHeight="1" outlineLevel="1" x14ac:dyDescent="0.3">
      <c r="A81" s="45" t="s">
        <v>520</v>
      </c>
      <c r="C81" s="12">
        <f t="shared" si="19"/>
        <v>1</v>
      </c>
      <c r="D81" s="12" t="str">
        <f t="shared" si="20"/>
        <v>-</v>
      </c>
      <c r="E81" s="12" t="str">
        <f t="shared" si="21"/>
        <v>-</v>
      </c>
      <c r="F81" s="12" t="str">
        <f t="shared" si="22"/>
        <v>-</v>
      </c>
      <c r="G81" s="12" t="str">
        <f t="shared" si="23"/>
        <v>-</v>
      </c>
      <c r="H81" s="12" t="str">
        <f t="shared" si="24"/>
        <v>-</v>
      </c>
      <c r="I81" s="12" t="str">
        <f t="shared" si="25"/>
        <v>-</v>
      </c>
      <c r="J81" s="12" t="str">
        <f t="shared" si="26"/>
        <v>-</v>
      </c>
      <c r="K81" s="12" t="str">
        <f t="shared" si="27"/>
        <v>-</v>
      </c>
      <c r="L81" s="12" t="str">
        <f t="shared" si="28"/>
        <v>-</v>
      </c>
      <c r="M81" s="12" t="str">
        <f t="shared" si="29"/>
        <v>-</v>
      </c>
      <c r="N81" s="12" t="str">
        <f t="shared" si="30"/>
        <v>-</v>
      </c>
      <c r="O81" s="12" t="str">
        <f t="shared" si="31"/>
        <v>-</v>
      </c>
      <c r="P81" s="12" t="str">
        <f t="shared" si="32"/>
        <v>-</v>
      </c>
      <c r="Q81" s="12" t="str">
        <f t="shared" si="33"/>
        <v>-</v>
      </c>
      <c r="R81" s="12" t="str">
        <f t="shared" si="34"/>
        <v>-</v>
      </c>
      <c r="S81" s="12" t="str">
        <f t="shared" si="35"/>
        <v>-</v>
      </c>
      <c r="T81" s="12" t="str">
        <f t="shared" si="36"/>
        <v>-</v>
      </c>
      <c r="U81" s="12" t="str">
        <f t="shared" si="37"/>
        <v>-</v>
      </c>
      <c r="V81" s="12" t="str">
        <f t="shared" si="38"/>
        <v>-</v>
      </c>
      <c r="W81" s="12" t="str">
        <f t="shared" si="39"/>
        <v>-</v>
      </c>
      <c r="X81" s="12" t="str">
        <f t="shared" si="40"/>
        <v>-</v>
      </c>
      <c r="Y81" s="12" t="str">
        <f t="shared" si="41"/>
        <v>-</v>
      </c>
      <c r="Z81" s="12" t="str">
        <f t="shared" si="42"/>
        <v>-</v>
      </c>
      <c r="AA81" s="12" t="str">
        <f t="shared" si="43"/>
        <v>-</v>
      </c>
      <c r="AB81" s="12" t="str">
        <f t="shared" si="44"/>
        <v>-</v>
      </c>
      <c r="AC81" s="12" t="str">
        <f t="shared" si="45"/>
        <v>-</v>
      </c>
      <c r="AD81" s="12" t="str">
        <f t="shared" si="46"/>
        <v>-</v>
      </c>
      <c r="AE81" s="12" t="str">
        <f t="shared" si="47"/>
        <v>-</v>
      </c>
      <c r="AF81" s="12" t="str">
        <f t="shared" si="48"/>
        <v>-</v>
      </c>
      <c r="AG81" s="12" t="str">
        <f t="shared" si="49"/>
        <v>-</v>
      </c>
      <c r="AJ81" s="160">
        <f t="shared" ca="1" si="50"/>
        <v>0</v>
      </c>
      <c r="AK81" s="12">
        <f t="shared" ca="1" si="51"/>
        <v>0</v>
      </c>
      <c r="AL81" s="12">
        <f t="shared" ca="1" si="52"/>
        <v>0</v>
      </c>
      <c r="AN81" s="28"/>
      <c r="AO81" s="78" t="s">
        <v>485</v>
      </c>
      <c r="AP81" s="179"/>
      <c r="AQ81" s="181" t="s">
        <v>60</v>
      </c>
      <c r="AR81" s="166">
        <v>0</v>
      </c>
      <c r="AS81" s="166">
        <v>0</v>
      </c>
      <c r="AT81" s="178" t="s">
        <v>388</v>
      </c>
      <c r="AU81" s="157"/>
      <c r="AV81" s="157"/>
      <c r="AW81" s="157"/>
      <c r="AX81" s="157"/>
      <c r="AY81" s="157"/>
      <c r="AZ81" s="157"/>
      <c r="BA81" s="157"/>
      <c r="BB81" s="157"/>
      <c r="BC81" s="157"/>
      <c r="BD81" s="157"/>
      <c r="BE81" s="157"/>
      <c r="BF81" s="157"/>
      <c r="BG81" s="157"/>
      <c r="BH81" s="157"/>
      <c r="BI81" s="157"/>
      <c r="BJ81" s="157"/>
      <c r="BK81" s="157"/>
      <c r="BL81" s="157"/>
      <c r="BM81" s="157"/>
      <c r="BN81" s="157"/>
      <c r="BO81" s="157"/>
      <c r="BP81" s="157"/>
      <c r="BQ81" s="157"/>
      <c r="BR81" s="157"/>
      <c r="BS81" s="157"/>
      <c r="BT81" s="157"/>
      <c r="BU81" s="157"/>
      <c r="BV81" s="157"/>
      <c r="BW81" s="157"/>
      <c r="BX81" s="157"/>
      <c r="BY81" s="157"/>
    </row>
    <row r="82" spans="1:77" ht="15.75" customHeight="1" outlineLevel="1" x14ac:dyDescent="0.3">
      <c r="A82" s="45" t="s">
        <v>521</v>
      </c>
      <c r="C82" s="12">
        <f t="shared" si="19"/>
        <v>1</v>
      </c>
      <c r="D82" s="12" t="str">
        <f t="shared" si="20"/>
        <v>-</v>
      </c>
      <c r="E82" s="12" t="str">
        <f t="shared" si="21"/>
        <v>-</v>
      </c>
      <c r="F82" s="12" t="str">
        <f t="shared" si="22"/>
        <v>-</v>
      </c>
      <c r="G82" s="12" t="str">
        <f t="shared" si="23"/>
        <v>-</v>
      </c>
      <c r="H82" s="12" t="str">
        <f t="shared" si="24"/>
        <v>-</v>
      </c>
      <c r="I82" s="12" t="str">
        <f t="shared" si="25"/>
        <v>-</v>
      </c>
      <c r="J82" s="12" t="str">
        <f t="shared" si="26"/>
        <v>-</v>
      </c>
      <c r="K82" s="12" t="str">
        <f t="shared" si="27"/>
        <v>-</v>
      </c>
      <c r="L82" s="12" t="str">
        <f t="shared" si="28"/>
        <v>-</v>
      </c>
      <c r="M82" s="12" t="str">
        <f t="shared" si="29"/>
        <v>-</v>
      </c>
      <c r="N82" s="12" t="str">
        <f t="shared" si="30"/>
        <v>-</v>
      </c>
      <c r="O82" s="12" t="str">
        <f t="shared" si="31"/>
        <v>-</v>
      </c>
      <c r="P82" s="12" t="str">
        <f t="shared" si="32"/>
        <v>-</v>
      </c>
      <c r="Q82" s="12" t="str">
        <f t="shared" si="33"/>
        <v>-</v>
      </c>
      <c r="R82" s="12" t="str">
        <f t="shared" si="34"/>
        <v>-</v>
      </c>
      <c r="S82" s="12" t="str">
        <f t="shared" si="35"/>
        <v>-</v>
      </c>
      <c r="T82" s="12" t="str">
        <f t="shared" si="36"/>
        <v>-</v>
      </c>
      <c r="U82" s="12" t="str">
        <f t="shared" si="37"/>
        <v>-</v>
      </c>
      <c r="V82" s="12" t="str">
        <f t="shared" si="38"/>
        <v>-</v>
      </c>
      <c r="W82" s="12" t="str">
        <f t="shared" si="39"/>
        <v>-</v>
      </c>
      <c r="X82" s="12" t="str">
        <f t="shared" si="40"/>
        <v>-</v>
      </c>
      <c r="Y82" s="12" t="str">
        <f t="shared" si="41"/>
        <v>-</v>
      </c>
      <c r="Z82" s="12" t="str">
        <f t="shared" si="42"/>
        <v>-</v>
      </c>
      <c r="AA82" s="12" t="str">
        <f t="shared" si="43"/>
        <v>-</v>
      </c>
      <c r="AB82" s="12" t="str">
        <f t="shared" si="44"/>
        <v>-</v>
      </c>
      <c r="AC82" s="12" t="str">
        <f t="shared" si="45"/>
        <v>-</v>
      </c>
      <c r="AD82" s="12" t="str">
        <f t="shared" si="46"/>
        <v>-</v>
      </c>
      <c r="AE82" s="12" t="str">
        <f t="shared" si="47"/>
        <v>-</v>
      </c>
      <c r="AF82" s="12" t="str">
        <f t="shared" si="48"/>
        <v>-</v>
      </c>
      <c r="AG82" s="12" t="str">
        <f t="shared" si="49"/>
        <v>-</v>
      </c>
      <c r="AJ82" s="160">
        <f t="shared" ca="1" si="50"/>
        <v>0</v>
      </c>
      <c r="AK82" s="12">
        <f t="shared" ca="1" si="51"/>
        <v>0</v>
      </c>
      <c r="AL82" s="12">
        <f t="shared" ca="1" si="52"/>
        <v>0</v>
      </c>
      <c r="AN82" s="28"/>
      <c r="AO82" s="78" t="s">
        <v>486</v>
      </c>
      <c r="AP82" s="179"/>
      <c r="AQ82" s="181" t="s">
        <v>60</v>
      </c>
      <c r="AR82" s="166">
        <v>0</v>
      </c>
      <c r="AS82" s="166">
        <v>0</v>
      </c>
      <c r="AT82" s="178" t="s">
        <v>388</v>
      </c>
      <c r="AU82" s="157"/>
      <c r="AV82" s="157"/>
      <c r="AW82" s="157"/>
      <c r="AX82" s="157"/>
      <c r="AY82" s="157"/>
      <c r="AZ82" s="157"/>
      <c r="BA82" s="157"/>
      <c r="BB82" s="157"/>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row>
    <row r="83" spans="1:77" ht="15.75" customHeight="1" outlineLevel="1" x14ac:dyDescent="0.3">
      <c r="A83" s="45" t="s">
        <v>522</v>
      </c>
      <c r="C83" s="12">
        <f t="shared" si="19"/>
        <v>1</v>
      </c>
      <c r="D83" s="12" t="str">
        <f t="shared" si="20"/>
        <v>-</v>
      </c>
      <c r="E83" s="12" t="str">
        <f t="shared" si="21"/>
        <v>-</v>
      </c>
      <c r="F83" s="12" t="str">
        <f t="shared" si="22"/>
        <v>-</v>
      </c>
      <c r="G83" s="12" t="str">
        <f t="shared" si="23"/>
        <v>-</v>
      </c>
      <c r="H83" s="12" t="str">
        <f t="shared" si="24"/>
        <v>-</v>
      </c>
      <c r="I83" s="12" t="str">
        <f t="shared" si="25"/>
        <v>-</v>
      </c>
      <c r="J83" s="12" t="str">
        <f t="shared" si="26"/>
        <v>-</v>
      </c>
      <c r="K83" s="12" t="str">
        <f t="shared" si="27"/>
        <v>-</v>
      </c>
      <c r="L83" s="12" t="str">
        <f t="shared" si="28"/>
        <v>-</v>
      </c>
      <c r="M83" s="12" t="str">
        <f t="shared" si="29"/>
        <v>-</v>
      </c>
      <c r="N83" s="12" t="str">
        <f t="shared" si="30"/>
        <v>-</v>
      </c>
      <c r="O83" s="12" t="str">
        <f t="shared" si="31"/>
        <v>-</v>
      </c>
      <c r="P83" s="12" t="str">
        <f t="shared" si="32"/>
        <v>-</v>
      </c>
      <c r="Q83" s="12" t="str">
        <f t="shared" si="33"/>
        <v>-</v>
      </c>
      <c r="R83" s="12" t="str">
        <f t="shared" si="34"/>
        <v>-</v>
      </c>
      <c r="S83" s="12" t="str">
        <f t="shared" si="35"/>
        <v>-</v>
      </c>
      <c r="T83" s="12" t="str">
        <f t="shared" si="36"/>
        <v>-</v>
      </c>
      <c r="U83" s="12" t="str">
        <f t="shared" si="37"/>
        <v>-</v>
      </c>
      <c r="V83" s="12" t="str">
        <f t="shared" si="38"/>
        <v>-</v>
      </c>
      <c r="W83" s="12" t="str">
        <f t="shared" si="39"/>
        <v>-</v>
      </c>
      <c r="X83" s="12" t="str">
        <f t="shared" si="40"/>
        <v>-</v>
      </c>
      <c r="Y83" s="12" t="str">
        <f t="shared" si="41"/>
        <v>-</v>
      </c>
      <c r="Z83" s="12" t="str">
        <f t="shared" si="42"/>
        <v>-</v>
      </c>
      <c r="AA83" s="12" t="str">
        <f t="shared" si="43"/>
        <v>-</v>
      </c>
      <c r="AB83" s="12" t="str">
        <f t="shared" si="44"/>
        <v>-</v>
      </c>
      <c r="AC83" s="12" t="str">
        <f t="shared" si="45"/>
        <v>-</v>
      </c>
      <c r="AD83" s="12" t="str">
        <f t="shared" si="46"/>
        <v>-</v>
      </c>
      <c r="AE83" s="12" t="str">
        <f t="shared" si="47"/>
        <v>-</v>
      </c>
      <c r="AF83" s="12" t="str">
        <f t="shared" si="48"/>
        <v>-</v>
      </c>
      <c r="AG83" s="12" t="str">
        <f t="shared" si="49"/>
        <v>-</v>
      </c>
      <c r="AJ83" s="160">
        <f t="shared" ca="1" si="50"/>
        <v>0</v>
      </c>
      <c r="AK83" s="12">
        <f t="shared" ca="1" si="51"/>
        <v>0</v>
      </c>
      <c r="AL83" s="12">
        <f t="shared" ca="1" si="52"/>
        <v>0</v>
      </c>
      <c r="AN83" s="28"/>
      <c r="AO83" s="78" t="s">
        <v>487</v>
      </c>
      <c r="AP83" s="179"/>
      <c r="AQ83" s="181" t="s">
        <v>60</v>
      </c>
      <c r="AR83" s="166">
        <v>0</v>
      </c>
      <c r="AS83" s="166">
        <v>0</v>
      </c>
      <c r="AT83" s="178" t="s">
        <v>388</v>
      </c>
      <c r="AU83" s="157"/>
      <c r="AV83" s="157"/>
      <c r="AW83" s="157"/>
      <c r="AX83" s="157"/>
      <c r="AY83" s="157"/>
      <c r="AZ83" s="157"/>
      <c r="BA83" s="157"/>
      <c r="BB83" s="157"/>
      <c r="BC83" s="157"/>
      <c r="BD83" s="157"/>
      <c r="BE83" s="157"/>
      <c r="BF83" s="157"/>
      <c r="BG83" s="157"/>
      <c r="BH83" s="157"/>
      <c r="BI83" s="157"/>
      <c r="BJ83" s="157"/>
      <c r="BK83" s="157"/>
      <c r="BL83" s="157"/>
      <c r="BM83" s="157"/>
      <c r="BN83" s="157"/>
      <c r="BO83" s="157"/>
      <c r="BP83" s="157"/>
      <c r="BQ83" s="157"/>
      <c r="BR83" s="157"/>
      <c r="BS83" s="157"/>
      <c r="BT83" s="157"/>
      <c r="BU83" s="157"/>
      <c r="BV83" s="157"/>
      <c r="BW83" s="157"/>
      <c r="BX83" s="157"/>
      <c r="BY83" s="157"/>
    </row>
    <row r="84" spans="1:77" ht="15.75" customHeight="1" outlineLevel="1" x14ac:dyDescent="0.3">
      <c r="A84" s="45" t="s">
        <v>523</v>
      </c>
      <c r="C84" s="12">
        <f t="shared" si="19"/>
        <v>1</v>
      </c>
      <c r="D84" s="12" t="str">
        <f t="shared" si="20"/>
        <v>-</v>
      </c>
      <c r="E84" s="12" t="str">
        <f t="shared" si="21"/>
        <v>-</v>
      </c>
      <c r="F84" s="12" t="str">
        <f t="shared" si="22"/>
        <v>-</v>
      </c>
      <c r="G84" s="12" t="str">
        <f t="shared" si="23"/>
        <v>-</v>
      </c>
      <c r="H84" s="12" t="str">
        <f t="shared" si="24"/>
        <v>-</v>
      </c>
      <c r="I84" s="12" t="str">
        <f t="shared" si="25"/>
        <v>-</v>
      </c>
      <c r="J84" s="12" t="str">
        <f t="shared" si="26"/>
        <v>-</v>
      </c>
      <c r="K84" s="12" t="str">
        <f t="shared" si="27"/>
        <v>-</v>
      </c>
      <c r="L84" s="12" t="str">
        <f t="shared" si="28"/>
        <v>-</v>
      </c>
      <c r="M84" s="12" t="str">
        <f t="shared" si="29"/>
        <v>-</v>
      </c>
      <c r="N84" s="12" t="str">
        <f t="shared" si="30"/>
        <v>-</v>
      </c>
      <c r="O84" s="12" t="str">
        <f t="shared" si="31"/>
        <v>-</v>
      </c>
      <c r="P84" s="12" t="str">
        <f t="shared" si="32"/>
        <v>-</v>
      </c>
      <c r="Q84" s="12" t="str">
        <f t="shared" si="33"/>
        <v>-</v>
      </c>
      <c r="R84" s="12" t="str">
        <f t="shared" si="34"/>
        <v>-</v>
      </c>
      <c r="S84" s="12" t="str">
        <f t="shared" si="35"/>
        <v>-</v>
      </c>
      <c r="T84" s="12" t="str">
        <f t="shared" si="36"/>
        <v>-</v>
      </c>
      <c r="U84" s="12" t="str">
        <f t="shared" si="37"/>
        <v>-</v>
      </c>
      <c r="V84" s="12" t="str">
        <f t="shared" si="38"/>
        <v>-</v>
      </c>
      <c r="W84" s="12" t="str">
        <f t="shared" si="39"/>
        <v>-</v>
      </c>
      <c r="X84" s="12" t="str">
        <f t="shared" si="40"/>
        <v>-</v>
      </c>
      <c r="Y84" s="12" t="str">
        <f t="shared" si="41"/>
        <v>-</v>
      </c>
      <c r="Z84" s="12" t="str">
        <f t="shared" si="42"/>
        <v>-</v>
      </c>
      <c r="AA84" s="12" t="str">
        <f t="shared" si="43"/>
        <v>-</v>
      </c>
      <c r="AB84" s="12" t="str">
        <f t="shared" si="44"/>
        <v>-</v>
      </c>
      <c r="AC84" s="12" t="str">
        <f t="shared" si="45"/>
        <v>-</v>
      </c>
      <c r="AD84" s="12" t="str">
        <f t="shared" si="46"/>
        <v>-</v>
      </c>
      <c r="AE84" s="12" t="str">
        <f t="shared" si="47"/>
        <v>-</v>
      </c>
      <c r="AF84" s="12" t="str">
        <f t="shared" si="48"/>
        <v>-</v>
      </c>
      <c r="AG84" s="12" t="str">
        <f t="shared" si="49"/>
        <v>-</v>
      </c>
      <c r="AJ84" s="160">
        <f t="shared" ca="1" si="50"/>
        <v>0</v>
      </c>
      <c r="AK84" s="12">
        <f t="shared" ca="1" si="51"/>
        <v>0</v>
      </c>
      <c r="AL84" s="12">
        <f t="shared" ca="1" si="52"/>
        <v>0</v>
      </c>
      <c r="AN84" s="28"/>
      <c r="AO84" s="78" t="s">
        <v>488</v>
      </c>
      <c r="AP84" s="179"/>
      <c r="AQ84" s="181" t="s">
        <v>60</v>
      </c>
      <c r="AR84" s="166">
        <v>0</v>
      </c>
      <c r="AS84" s="166">
        <v>0</v>
      </c>
      <c r="AT84" s="178" t="s">
        <v>388</v>
      </c>
      <c r="AU84" s="157"/>
      <c r="AV84" s="157"/>
      <c r="AW84" s="157"/>
      <c r="AX84" s="157"/>
      <c r="AY84" s="157"/>
      <c r="AZ84" s="157"/>
      <c r="BA84" s="157"/>
      <c r="BB84" s="157"/>
      <c r="BC84" s="157"/>
      <c r="BD84" s="157"/>
      <c r="BE84" s="157"/>
      <c r="BF84" s="157"/>
      <c r="BG84" s="157"/>
      <c r="BH84" s="157"/>
      <c r="BI84" s="157"/>
      <c r="BJ84" s="157"/>
      <c r="BK84" s="157"/>
      <c r="BL84" s="157"/>
      <c r="BM84" s="157"/>
      <c r="BN84" s="157"/>
      <c r="BO84" s="157"/>
      <c r="BP84" s="157"/>
      <c r="BQ84" s="157"/>
      <c r="BR84" s="157"/>
      <c r="BS84" s="157"/>
      <c r="BT84" s="157"/>
      <c r="BU84" s="157"/>
      <c r="BV84" s="157"/>
      <c r="BW84" s="157"/>
      <c r="BX84" s="157"/>
      <c r="BY84" s="157"/>
    </row>
    <row r="85" spans="1:77" ht="15.75" customHeight="1" outlineLevel="1" x14ac:dyDescent="0.3">
      <c r="A85" s="45" t="s">
        <v>524</v>
      </c>
      <c r="C85" s="12">
        <f t="shared" si="19"/>
        <v>1</v>
      </c>
      <c r="D85" s="12" t="str">
        <f t="shared" si="20"/>
        <v>-</v>
      </c>
      <c r="E85" s="12" t="str">
        <f t="shared" si="21"/>
        <v>-</v>
      </c>
      <c r="F85" s="12" t="str">
        <f t="shared" si="22"/>
        <v>-</v>
      </c>
      <c r="G85" s="12" t="str">
        <f t="shared" si="23"/>
        <v>-</v>
      </c>
      <c r="H85" s="12" t="str">
        <f t="shared" si="24"/>
        <v>-</v>
      </c>
      <c r="I85" s="12" t="str">
        <f t="shared" si="25"/>
        <v>-</v>
      </c>
      <c r="J85" s="12" t="str">
        <f t="shared" si="26"/>
        <v>-</v>
      </c>
      <c r="K85" s="12" t="str">
        <f t="shared" si="27"/>
        <v>-</v>
      </c>
      <c r="L85" s="12" t="str">
        <f t="shared" si="28"/>
        <v>-</v>
      </c>
      <c r="M85" s="12" t="str">
        <f t="shared" si="29"/>
        <v>-</v>
      </c>
      <c r="N85" s="12" t="str">
        <f t="shared" si="30"/>
        <v>-</v>
      </c>
      <c r="O85" s="12" t="str">
        <f t="shared" si="31"/>
        <v>-</v>
      </c>
      <c r="P85" s="12" t="str">
        <f t="shared" si="32"/>
        <v>-</v>
      </c>
      <c r="Q85" s="12" t="str">
        <f t="shared" si="33"/>
        <v>-</v>
      </c>
      <c r="R85" s="12" t="str">
        <f t="shared" si="34"/>
        <v>-</v>
      </c>
      <c r="S85" s="12" t="str">
        <f t="shared" si="35"/>
        <v>-</v>
      </c>
      <c r="T85" s="12" t="str">
        <f t="shared" si="36"/>
        <v>-</v>
      </c>
      <c r="U85" s="12" t="str">
        <f t="shared" si="37"/>
        <v>-</v>
      </c>
      <c r="V85" s="12" t="str">
        <f t="shared" si="38"/>
        <v>-</v>
      </c>
      <c r="W85" s="12" t="str">
        <f t="shared" si="39"/>
        <v>-</v>
      </c>
      <c r="X85" s="12" t="str">
        <f t="shared" si="40"/>
        <v>-</v>
      </c>
      <c r="Y85" s="12" t="str">
        <f t="shared" si="41"/>
        <v>-</v>
      </c>
      <c r="Z85" s="12" t="str">
        <f t="shared" si="42"/>
        <v>-</v>
      </c>
      <c r="AA85" s="12" t="str">
        <f t="shared" si="43"/>
        <v>-</v>
      </c>
      <c r="AB85" s="12" t="str">
        <f t="shared" si="44"/>
        <v>-</v>
      </c>
      <c r="AC85" s="12" t="str">
        <f t="shared" si="45"/>
        <v>-</v>
      </c>
      <c r="AD85" s="12" t="str">
        <f t="shared" si="46"/>
        <v>-</v>
      </c>
      <c r="AE85" s="12" t="str">
        <f t="shared" si="47"/>
        <v>-</v>
      </c>
      <c r="AF85" s="12" t="str">
        <f t="shared" si="48"/>
        <v>-</v>
      </c>
      <c r="AG85" s="12" t="str">
        <f t="shared" si="49"/>
        <v>-</v>
      </c>
      <c r="AJ85" s="160">
        <f t="shared" ca="1" si="50"/>
        <v>0</v>
      </c>
      <c r="AK85" s="12">
        <f t="shared" ca="1" si="51"/>
        <v>0</v>
      </c>
      <c r="AL85" s="12">
        <f t="shared" ca="1" si="52"/>
        <v>0</v>
      </c>
      <c r="AN85" s="28"/>
      <c r="AO85" s="78" t="s">
        <v>489</v>
      </c>
      <c r="AP85" s="179"/>
      <c r="AQ85" s="181" t="s">
        <v>60</v>
      </c>
      <c r="AR85" s="166">
        <v>0</v>
      </c>
      <c r="AS85" s="166">
        <v>0</v>
      </c>
      <c r="AT85" s="178" t="s">
        <v>388</v>
      </c>
      <c r="AU85" s="157"/>
      <c r="AV85" s="157"/>
      <c r="AW85" s="157"/>
      <c r="AX85" s="157"/>
      <c r="AY85" s="157"/>
      <c r="AZ85" s="157"/>
      <c r="BA85" s="157"/>
      <c r="BB85" s="157"/>
      <c r="BC85" s="157"/>
      <c r="BD85" s="157"/>
      <c r="BE85" s="157"/>
      <c r="BF85" s="157"/>
      <c r="BG85" s="157"/>
      <c r="BH85" s="157"/>
      <c r="BI85" s="157"/>
      <c r="BJ85" s="157"/>
      <c r="BK85" s="157"/>
      <c r="BL85" s="157"/>
      <c r="BM85" s="157"/>
      <c r="BN85" s="157"/>
      <c r="BO85" s="157"/>
      <c r="BP85" s="157"/>
      <c r="BQ85" s="157"/>
      <c r="BR85" s="157"/>
      <c r="BS85" s="157"/>
      <c r="BT85" s="157"/>
      <c r="BU85" s="157"/>
      <c r="BV85" s="157"/>
      <c r="BW85" s="157"/>
      <c r="BX85" s="157"/>
      <c r="BY85" s="157"/>
    </row>
    <row r="86" spans="1:77" ht="15.75" customHeight="1" outlineLevel="1" x14ac:dyDescent="0.3">
      <c r="A86" s="45" t="s">
        <v>525</v>
      </c>
      <c r="C86" s="12">
        <f t="shared" si="19"/>
        <v>1</v>
      </c>
      <c r="D86" s="12" t="str">
        <f t="shared" si="20"/>
        <v>-</v>
      </c>
      <c r="E86" s="12" t="str">
        <f t="shared" si="21"/>
        <v>-</v>
      </c>
      <c r="F86" s="12" t="str">
        <f t="shared" si="22"/>
        <v>-</v>
      </c>
      <c r="G86" s="12" t="str">
        <f t="shared" si="23"/>
        <v>-</v>
      </c>
      <c r="H86" s="12" t="str">
        <f t="shared" si="24"/>
        <v>-</v>
      </c>
      <c r="I86" s="12" t="str">
        <f t="shared" si="25"/>
        <v>-</v>
      </c>
      <c r="J86" s="12" t="str">
        <f t="shared" si="26"/>
        <v>-</v>
      </c>
      <c r="K86" s="12" t="str">
        <f t="shared" si="27"/>
        <v>-</v>
      </c>
      <c r="L86" s="12" t="str">
        <f t="shared" si="28"/>
        <v>-</v>
      </c>
      <c r="M86" s="12" t="str">
        <f t="shared" si="29"/>
        <v>-</v>
      </c>
      <c r="N86" s="12" t="str">
        <f t="shared" si="30"/>
        <v>-</v>
      </c>
      <c r="O86" s="12" t="str">
        <f t="shared" si="31"/>
        <v>-</v>
      </c>
      <c r="P86" s="12" t="str">
        <f t="shared" si="32"/>
        <v>-</v>
      </c>
      <c r="Q86" s="12" t="str">
        <f t="shared" si="33"/>
        <v>-</v>
      </c>
      <c r="R86" s="12" t="str">
        <f t="shared" si="34"/>
        <v>-</v>
      </c>
      <c r="S86" s="12" t="str">
        <f t="shared" si="35"/>
        <v>-</v>
      </c>
      <c r="T86" s="12" t="str">
        <f t="shared" si="36"/>
        <v>-</v>
      </c>
      <c r="U86" s="12" t="str">
        <f t="shared" si="37"/>
        <v>-</v>
      </c>
      <c r="V86" s="12" t="str">
        <f t="shared" si="38"/>
        <v>-</v>
      </c>
      <c r="W86" s="12" t="str">
        <f t="shared" si="39"/>
        <v>-</v>
      </c>
      <c r="X86" s="12" t="str">
        <f t="shared" si="40"/>
        <v>-</v>
      </c>
      <c r="Y86" s="12" t="str">
        <f t="shared" si="41"/>
        <v>-</v>
      </c>
      <c r="Z86" s="12" t="str">
        <f t="shared" si="42"/>
        <v>-</v>
      </c>
      <c r="AA86" s="12" t="str">
        <f t="shared" si="43"/>
        <v>-</v>
      </c>
      <c r="AB86" s="12" t="str">
        <f t="shared" si="44"/>
        <v>-</v>
      </c>
      <c r="AC86" s="12" t="str">
        <f t="shared" si="45"/>
        <v>-</v>
      </c>
      <c r="AD86" s="12" t="str">
        <f t="shared" si="46"/>
        <v>-</v>
      </c>
      <c r="AE86" s="12" t="str">
        <f t="shared" si="47"/>
        <v>-</v>
      </c>
      <c r="AF86" s="12" t="str">
        <f t="shared" si="48"/>
        <v>-</v>
      </c>
      <c r="AG86" s="12" t="str">
        <f t="shared" si="49"/>
        <v>-</v>
      </c>
      <c r="AJ86" s="160">
        <f t="shared" ca="1" si="50"/>
        <v>0</v>
      </c>
      <c r="AK86" s="12">
        <f t="shared" ca="1" si="51"/>
        <v>0</v>
      </c>
      <c r="AL86" s="12">
        <f t="shared" ca="1" si="52"/>
        <v>0</v>
      </c>
      <c r="AN86" s="28"/>
      <c r="AO86" s="78" t="s">
        <v>490</v>
      </c>
      <c r="AP86" s="179"/>
      <c r="AQ86" s="181" t="s">
        <v>60</v>
      </c>
      <c r="AR86" s="166">
        <v>0</v>
      </c>
      <c r="AS86" s="166">
        <v>0</v>
      </c>
      <c r="AT86" s="178" t="s">
        <v>388</v>
      </c>
      <c r="AU86" s="157"/>
      <c r="AV86" s="157"/>
      <c r="AW86" s="157"/>
      <c r="AX86" s="157"/>
      <c r="AY86" s="157"/>
      <c r="AZ86" s="157"/>
      <c r="BA86" s="157"/>
      <c r="BB86" s="157"/>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row>
    <row r="87" spans="1:77" ht="15.75" customHeight="1" outlineLevel="1" x14ac:dyDescent="0.3">
      <c r="A87" s="45" t="s">
        <v>526</v>
      </c>
      <c r="C87" s="12">
        <f t="shared" si="19"/>
        <v>1</v>
      </c>
      <c r="D87" s="12" t="str">
        <f t="shared" si="20"/>
        <v>-</v>
      </c>
      <c r="E87" s="12" t="str">
        <f t="shared" si="21"/>
        <v>-</v>
      </c>
      <c r="F87" s="12" t="str">
        <f t="shared" si="22"/>
        <v>-</v>
      </c>
      <c r="G87" s="12" t="str">
        <f t="shared" si="23"/>
        <v>-</v>
      </c>
      <c r="H87" s="12" t="str">
        <f t="shared" si="24"/>
        <v>-</v>
      </c>
      <c r="I87" s="12" t="str">
        <f t="shared" si="25"/>
        <v>-</v>
      </c>
      <c r="J87" s="12" t="str">
        <f t="shared" si="26"/>
        <v>-</v>
      </c>
      <c r="K87" s="12" t="str">
        <f t="shared" si="27"/>
        <v>-</v>
      </c>
      <c r="L87" s="12" t="str">
        <f t="shared" si="28"/>
        <v>-</v>
      </c>
      <c r="M87" s="12" t="str">
        <f t="shared" si="29"/>
        <v>-</v>
      </c>
      <c r="N87" s="12" t="str">
        <f t="shared" si="30"/>
        <v>-</v>
      </c>
      <c r="O87" s="12" t="str">
        <f t="shared" si="31"/>
        <v>-</v>
      </c>
      <c r="P87" s="12" t="str">
        <f t="shared" si="32"/>
        <v>-</v>
      </c>
      <c r="Q87" s="12" t="str">
        <f t="shared" si="33"/>
        <v>-</v>
      </c>
      <c r="R87" s="12" t="str">
        <f t="shared" si="34"/>
        <v>-</v>
      </c>
      <c r="S87" s="12" t="str">
        <f t="shared" si="35"/>
        <v>-</v>
      </c>
      <c r="T87" s="12" t="str">
        <f t="shared" si="36"/>
        <v>-</v>
      </c>
      <c r="U87" s="12" t="str">
        <f t="shared" si="37"/>
        <v>-</v>
      </c>
      <c r="V87" s="12" t="str">
        <f t="shared" si="38"/>
        <v>-</v>
      </c>
      <c r="W87" s="12" t="str">
        <f t="shared" si="39"/>
        <v>-</v>
      </c>
      <c r="X87" s="12" t="str">
        <f t="shared" si="40"/>
        <v>-</v>
      </c>
      <c r="Y87" s="12" t="str">
        <f t="shared" si="41"/>
        <v>-</v>
      </c>
      <c r="Z87" s="12" t="str">
        <f t="shared" si="42"/>
        <v>-</v>
      </c>
      <c r="AA87" s="12" t="str">
        <f t="shared" si="43"/>
        <v>-</v>
      </c>
      <c r="AB87" s="12" t="str">
        <f t="shared" si="44"/>
        <v>-</v>
      </c>
      <c r="AC87" s="12" t="str">
        <f t="shared" si="45"/>
        <v>-</v>
      </c>
      <c r="AD87" s="12" t="str">
        <f t="shared" si="46"/>
        <v>-</v>
      </c>
      <c r="AE87" s="12" t="str">
        <f t="shared" si="47"/>
        <v>-</v>
      </c>
      <c r="AF87" s="12" t="str">
        <f t="shared" si="48"/>
        <v>-</v>
      </c>
      <c r="AG87" s="12" t="str">
        <f t="shared" si="49"/>
        <v>-</v>
      </c>
      <c r="AJ87" s="160">
        <f t="shared" ca="1" si="50"/>
        <v>0</v>
      </c>
      <c r="AK87" s="12">
        <f t="shared" ca="1" si="51"/>
        <v>0</v>
      </c>
      <c r="AL87" s="12">
        <f t="shared" ca="1" si="52"/>
        <v>0</v>
      </c>
      <c r="AN87" s="28"/>
      <c r="AO87" s="78" t="s">
        <v>491</v>
      </c>
      <c r="AP87" s="179"/>
      <c r="AQ87" s="181" t="s">
        <v>60</v>
      </c>
      <c r="AR87" s="166">
        <v>0</v>
      </c>
      <c r="AS87" s="166">
        <v>0</v>
      </c>
      <c r="AT87" s="178" t="s">
        <v>388</v>
      </c>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7"/>
      <c r="BR87" s="157"/>
      <c r="BS87" s="157"/>
      <c r="BT87" s="157"/>
      <c r="BU87" s="157"/>
      <c r="BV87" s="157"/>
      <c r="BW87" s="157"/>
      <c r="BX87" s="157"/>
      <c r="BY87" s="157"/>
    </row>
    <row r="88" spans="1:77" ht="15.75" customHeight="1" outlineLevel="1" x14ac:dyDescent="0.3">
      <c r="A88" s="45" t="s">
        <v>527</v>
      </c>
      <c r="C88" s="12">
        <f t="shared" si="19"/>
        <v>1</v>
      </c>
      <c r="D88" s="12" t="str">
        <f t="shared" si="20"/>
        <v>-</v>
      </c>
      <c r="E88" s="12" t="str">
        <f t="shared" si="21"/>
        <v>-</v>
      </c>
      <c r="F88" s="12" t="str">
        <f t="shared" si="22"/>
        <v>-</v>
      </c>
      <c r="G88" s="12" t="str">
        <f t="shared" si="23"/>
        <v>-</v>
      </c>
      <c r="H88" s="12" t="str">
        <f t="shared" si="24"/>
        <v>-</v>
      </c>
      <c r="I88" s="12" t="str">
        <f t="shared" si="25"/>
        <v>-</v>
      </c>
      <c r="J88" s="12" t="str">
        <f t="shared" si="26"/>
        <v>-</v>
      </c>
      <c r="K88" s="12" t="str">
        <f t="shared" si="27"/>
        <v>-</v>
      </c>
      <c r="L88" s="12" t="str">
        <f t="shared" si="28"/>
        <v>-</v>
      </c>
      <c r="M88" s="12" t="str">
        <f t="shared" si="29"/>
        <v>-</v>
      </c>
      <c r="N88" s="12" t="str">
        <f t="shared" si="30"/>
        <v>-</v>
      </c>
      <c r="O88" s="12" t="str">
        <f t="shared" si="31"/>
        <v>-</v>
      </c>
      <c r="P88" s="12" t="str">
        <f t="shared" si="32"/>
        <v>-</v>
      </c>
      <c r="Q88" s="12" t="str">
        <f t="shared" si="33"/>
        <v>-</v>
      </c>
      <c r="R88" s="12" t="str">
        <f t="shared" si="34"/>
        <v>-</v>
      </c>
      <c r="S88" s="12" t="str">
        <f t="shared" si="35"/>
        <v>-</v>
      </c>
      <c r="T88" s="12" t="str">
        <f t="shared" si="36"/>
        <v>-</v>
      </c>
      <c r="U88" s="12" t="str">
        <f t="shared" si="37"/>
        <v>-</v>
      </c>
      <c r="V88" s="12" t="str">
        <f t="shared" si="38"/>
        <v>-</v>
      </c>
      <c r="W88" s="12" t="str">
        <f t="shared" si="39"/>
        <v>-</v>
      </c>
      <c r="X88" s="12" t="str">
        <f t="shared" si="40"/>
        <v>-</v>
      </c>
      <c r="Y88" s="12" t="str">
        <f t="shared" si="41"/>
        <v>-</v>
      </c>
      <c r="Z88" s="12" t="str">
        <f t="shared" si="42"/>
        <v>-</v>
      </c>
      <c r="AA88" s="12" t="str">
        <f t="shared" si="43"/>
        <v>-</v>
      </c>
      <c r="AB88" s="12" t="str">
        <f t="shared" si="44"/>
        <v>-</v>
      </c>
      <c r="AC88" s="12" t="str">
        <f t="shared" si="45"/>
        <v>-</v>
      </c>
      <c r="AD88" s="12" t="str">
        <f t="shared" si="46"/>
        <v>-</v>
      </c>
      <c r="AE88" s="12" t="str">
        <f t="shared" si="47"/>
        <v>-</v>
      </c>
      <c r="AF88" s="12" t="str">
        <f t="shared" si="48"/>
        <v>-</v>
      </c>
      <c r="AG88" s="12" t="str">
        <f t="shared" si="49"/>
        <v>-</v>
      </c>
      <c r="AJ88" s="160">
        <f t="shared" ca="1" si="50"/>
        <v>0</v>
      </c>
      <c r="AK88" s="12">
        <f t="shared" ca="1" si="51"/>
        <v>0</v>
      </c>
      <c r="AL88" s="12">
        <f t="shared" ca="1" si="52"/>
        <v>0</v>
      </c>
      <c r="AN88" s="28"/>
      <c r="AO88" s="78" t="s">
        <v>492</v>
      </c>
      <c r="AP88" s="179"/>
      <c r="AQ88" s="181" t="s">
        <v>60</v>
      </c>
      <c r="AR88" s="166">
        <v>0</v>
      </c>
      <c r="AS88" s="166">
        <v>0</v>
      </c>
      <c r="AT88" s="178" t="s">
        <v>388</v>
      </c>
      <c r="AU88" s="157"/>
      <c r="AV88" s="157"/>
      <c r="AW88" s="157"/>
      <c r="AX88" s="157"/>
      <c r="AY88" s="157"/>
      <c r="AZ88" s="157"/>
      <c r="BA88" s="157"/>
      <c r="BB88" s="157"/>
      <c r="BC88" s="157"/>
      <c r="BD88" s="157"/>
      <c r="BE88" s="157"/>
      <c r="BF88" s="157"/>
      <c r="BG88" s="157"/>
      <c r="BH88" s="157"/>
      <c r="BI88" s="157"/>
      <c r="BJ88" s="157"/>
      <c r="BK88" s="157"/>
      <c r="BL88" s="157"/>
      <c r="BM88" s="157"/>
      <c r="BN88" s="157"/>
      <c r="BO88" s="157"/>
      <c r="BP88" s="157"/>
      <c r="BQ88" s="157"/>
      <c r="BR88" s="157"/>
      <c r="BS88" s="157"/>
      <c r="BT88" s="157"/>
      <c r="BU88" s="157"/>
      <c r="BV88" s="157"/>
      <c r="BW88" s="157"/>
      <c r="BX88" s="157"/>
      <c r="BY88" s="157"/>
    </row>
    <row r="89" spans="1:77" ht="4.5" customHeight="1" outlineLevel="1" x14ac:dyDescent="0.3">
      <c r="A89" s="45" t="s">
        <v>200</v>
      </c>
      <c r="AN89" s="28"/>
      <c r="AO89" s="27"/>
      <c r="AP89" s="27"/>
      <c r="AQ89" s="27"/>
      <c r="AR89" s="27"/>
      <c r="AS89" s="27"/>
      <c r="AT89" s="2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row>
    <row r="90" spans="1:77" ht="15.75" customHeight="1" x14ac:dyDescent="0.3">
      <c r="A90" s="45" t="s">
        <v>201</v>
      </c>
      <c r="AJ90" s="160">
        <f ca="1">SUM(AJ28:AJ88)</f>
        <v>0</v>
      </c>
      <c r="AK90" s="12">
        <f ca="1">SUM(AK28:AK88)</f>
        <v>0</v>
      </c>
      <c r="AL90" s="12">
        <f ca="1">SUM(AL28:AL88)</f>
        <v>0</v>
      </c>
      <c r="AN90" s="28"/>
      <c r="AO90" s="153" t="str">
        <f>INDEX(g_lang_val,MATCH("le_2_2",g_lang_key,0))</f>
        <v xml:space="preserve">Total </v>
      </c>
      <c r="AP90" s="37"/>
      <c r="AQ90" s="37"/>
      <c r="AR90" s="46"/>
      <c r="AS90" s="46"/>
      <c r="AT90" s="37"/>
      <c r="AU90" s="70">
        <f t="shared" ref="AU90" ca="1" si="53">IF(AU$22="","",AU27+AU38)</f>
        <v>0</v>
      </c>
      <c r="AV90" s="70">
        <f t="shared" ref="AV90:BY90" ca="1" si="54">IF(AV$22="","",AV27+AV38)</f>
        <v>0</v>
      </c>
      <c r="AW90" s="70">
        <f t="shared" ca="1" si="54"/>
        <v>0</v>
      </c>
      <c r="AX90" s="70">
        <f t="shared" ca="1" si="54"/>
        <v>0</v>
      </c>
      <c r="AY90" s="70" t="str">
        <f t="shared" ca="1" si="54"/>
        <v/>
      </c>
      <c r="AZ90" s="70" t="str">
        <f t="shared" ca="1" si="54"/>
        <v/>
      </c>
      <c r="BA90" s="70" t="str">
        <f t="shared" ca="1" si="54"/>
        <v/>
      </c>
      <c r="BB90" s="70" t="str">
        <f t="shared" ca="1" si="54"/>
        <v/>
      </c>
      <c r="BC90" s="70" t="str">
        <f t="shared" ca="1" si="54"/>
        <v/>
      </c>
      <c r="BD90" s="70" t="str">
        <f t="shared" ca="1" si="54"/>
        <v/>
      </c>
      <c r="BE90" s="70" t="str">
        <f t="shared" ca="1" si="54"/>
        <v/>
      </c>
      <c r="BF90" s="70" t="str">
        <f t="shared" ca="1" si="54"/>
        <v/>
      </c>
      <c r="BG90" s="70" t="str">
        <f t="shared" ca="1" si="54"/>
        <v/>
      </c>
      <c r="BH90" s="70" t="str">
        <f t="shared" ca="1" si="54"/>
        <v/>
      </c>
      <c r="BI90" s="70" t="str">
        <f t="shared" ca="1" si="54"/>
        <v/>
      </c>
      <c r="BJ90" s="70" t="str">
        <f t="shared" ca="1" si="54"/>
        <v/>
      </c>
      <c r="BK90" s="70" t="str">
        <f t="shared" ca="1" si="54"/>
        <v/>
      </c>
      <c r="BL90" s="70" t="str">
        <f t="shared" ca="1" si="54"/>
        <v/>
      </c>
      <c r="BM90" s="70" t="str">
        <f t="shared" ca="1" si="54"/>
        <v/>
      </c>
      <c r="BN90" s="70" t="str">
        <f t="shared" ca="1" si="54"/>
        <v/>
      </c>
      <c r="BO90" s="70" t="str">
        <f t="shared" ca="1" si="54"/>
        <v/>
      </c>
      <c r="BP90" s="70" t="str">
        <f t="shared" ca="1" si="54"/>
        <v/>
      </c>
      <c r="BQ90" s="70" t="str">
        <f t="shared" ca="1" si="54"/>
        <v/>
      </c>
      <c r="BR90" s="70" t="str">
        <f t="shared" ca="1" si="54"/>
        <v/>
      </c>
      <c r="BS90" s="70" t="str">
        <f t="shared" ca="1" si="54"/>
        <v/>
      </c>
      <c r="BT90" s="70" t="str">
        <f t="shared" ca="1" si="54"/>
        <v/>
      </c>
      <c r="BU90" s="70" t="str">
        <f t="shared" ca="1" si="54"/>
        <v/>
      </c>
      <c r="BV90" s="70" t="str">
        <f t="shared" ca="1" si="54"/>
        <v/>
      </c>
      <c r="BW90" s="70" t="str">
        <f t="shared" ca="1" si="54"/>
        <v/>
      </c>
      <c r="BX90" s="70" t="str">
        <f t="shared" ca="1" si="54"/>
        <v/>
      </c>
      <c r="BY90" s="70" t="str">
        <f t="shared" ca="1" si="54"/>
        <v/>
      </c>
    </row>
    <row r="91" spans="1:77" ht="4.5" customHeight="1" x14ac:dyDescent="0.3">
      <c r="A91" s="45" t="s">
        <v>202</v>
      </c>
      <c r="AN91" s="28"/>
      <c r="AO91" s="27"/>
      <c r="AP91" s="27"/>
      <c r="AQ91" s="27"/>
      <c r="AR91" s="27"/>
      <c r="AS91" s="27"/>
      <c r="AT91" s="2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row>
    <row r="92" spans="1:77" ht="4.5" customHeight="1" x14ac:dyDescent="0.3">
      <c r="A92" s="45" t="s">
        <v>203</v>
      </c>
      <c r="AN92" s="28"/>
      <c r="AO92" s="24"/>
      <c r="AP92" s="24"/>
      <c r="AQ92" s="24"/>
      <c r="AR92" s="24"/>
      <c r="AS92" s="24"/>
      <c r="AT92" s="24"/>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35"/>
      <c r="BT92" s="35"/>
      <c r="BU92" s="35"/>
      <c r="BV92" s="35"/>
      <c r="BW92" s="35"/>
      <c r="BX92" s="35"/>
      <c r="BY92" s="35"/>
    </row>
    <row r="93" spans="1:77" ht="4.5" customHeight="1" x14ac:dyDescent="0.3">
      <c r="A93" s="45" t="s">
        <v>204</v>
      </c>
      <c r="AN93" s="28"/>
      <c r="AO93" s="247"/>
      <c r="AP93" s="247"/>
      <c r="AQ93" s="247"/>
      <c r="AR93" s="247"/>
      <c r="AS93" s="247"/>
      <c r="AT93" s="242"/>
      <c r="AU93" s="186"/>
      <c r="AV93" s="186"/>
      <c r="AW93" s="186"/>
      <c r="AX93" s="186"/>
      <c r="AY93" s="186"/>
      <c r="AZ93" s="186"/>
      <c r="BA93" s="186"/>
      <c r="BB93" s="186"/>
      <c r="BC93" s="186"/>
      <c r="BD93" s="186"/>
      <c r="BE93" s="186"/>
      <c r="BF93" s="186"/>
      <c r="BG93" s="186"/>
      <c r="BH93" s="186"/>
      <c r="BI93" s="186"/>
      <c r="BJ93" s="186"/>
      <c r="BK93" s="186"/>
      <c r="BL93" s="186"/>
      <c r="BM93" s="186"/>
      <c r="BN93" s="186"/>
      <c r="BO93" s="186"/>
      <c r="BP93" s="186"/>
      <c r="BQ93" s="186"/>
      <c r="BR93" s="186"/>
      <c r="BS93" s="186"/>
      <c r="BT93" s="186"/>
      <c r="BU93" s="186"/>
      <c r="BV93" s="186"/>
      <c r="BW93" s="186"/>
      <c r="BX93" s="186"/>
      <c r="BY93" s="186"/>
    </row>
    <row r="94" spans="1:77" ht="15.5" x14ac:dyDescent="0.3">
      <c r="A94" s="45" t="s">
        <v>205</v>
      </c>
      <c r="AN94" s="28"/>
      <c r="AO94" s="44" t="str">
        <f>INDEX(g_lang_val,MATCH("so_4_1_1",g_lang_key,0))</f>
        <v>Indtastningsår</v>
      </c>
      <c r="AP94" s="29"/>
      <c r="AQ94" s="29"/>
      <c r="AR94" s="29"/>
      <c r="AS94" s="29"/>
      <c r="AT94" s="29"/>
      <c r="AU94" s="187">
        <f>Stamoplysninger!$L$95</f>
        <v>2025</v>
      </c>
      <c r="AV94" s="187">
        <f>Stamoplysninger!$L$95</f>
        <v>2025</v>
      </c>
      <c r="AW94" s="187">
        <f>Stamoplysninger!$L$95</f>
        <v>2025</v>
      </c>
      <c r="AX94" s="187">
        <f>Stamoplysninger!$L$95</f>
        <v>2025</v>
      </c>
      <c r="AY94" s="187">
        <f>Stamoplysninger!$L$95</f>
        <v>2025</v>
      </c>
      <c r="AZ94" s="187">
        <f>Stamoplysninger!$L$95</f>
        <v>2025</v>
      </c>
      <c r="BA94" s="187">
        <f>Stamoplysninger!$L$95</f>
        <v>2025</v>
      </c>
      <c r="BB94" s="187">
        <f>Stamoplysninger!$L$95</f>
        <v>2025</v>
      </c>
      <c r="BC94" s="187">
        <f>Stamoplysninger!$L$95</f>
        <v>2025</v>
      </c>
      <c r="BD94" s="187">
        <f>Stamoplysninger!$L$95</f>
        <v>2025</v>
      </c>
      <c r="BE94" s="187">
        <f>Stamoplysninger!$L$95</f>
        <v>2025</v>
      </c>
      <c r="BF94" s="187">
        <f>Stamoplysninger!$L$95</f>
        <v>2025</v>
      </c>
      <c r="BG94" s="187">
        <f>Stamoplysninger!$L$95</f>
        <v>2025</v>
      </c>
      <c r="BH94" s="187">
        <f>Stamoplysninger!$L$95</f>
        <v>2025</v>
      </c>
      <c r="BI94" s="187">
        <f>Stamoplysninger!$L$95</f>
        <v>2025</v>
      </c>
      <c r="BJ94" s="187">
        <f>Stamoplysninger!$L$95</f>
        <v>2025</v>
      </c>
      <c r="BK94" s="187">
        <f>Stamoplysninger!$L$95</f>
        <v>2025</v>
      </c>
      <c r="BL94" s="187">
        <f>Stamoplysninger!$L$95</f>
        <v>2025</v>
      </c>
      <c r="BM94" s="187">
        <f>Stamoplysninger!$L$95</f>
        <v>2025</v>
      </c>
      <c r="BN94" s="187">
        <f>Stamoplysninger!$L$95</f>
        <v>2025</v>
      </c>
      <c r="BO94" s="187">
        <f>Stamoplysninger!$L$95</f>
        <v>2025</v>
      </c>
      <c r="BP94" s="187">
        <f>Stamoplysninger!$L$95</f>
        <v>2025</v>
      </c>
      <c r="BQ94" s="187">
        <f>Stamoplysninger!$L$95</f>
        <v>2025</v>
      </c>
      <c r="BR94" s="187">
        <f>Stamoplysninger!$L$95</f>
        <v>2025</v>
      </c>
      <c r="BS94" s="187">
        <f>Stamoplysninger!$L$95</f>
        <v>2025</v>
      </c>
      <c r="BT94" s="187">
        <f>Stamoplysninger!$L$95</f>
        <v>2025</v>
      </c>
      <c r="BU94" s="187">
        <f>Stamoplysninger!$L$95</f>
        <v>2025</v>
      </c>
      <c r="BV94" s="187">
        <f>Stamoplysninger!$L$95</f>
        <v>2025</v>
      </c>
      <c r="BW94" s="187">
        <f>Stamoplysninger!$L$95</f>
        <v>2025</v>
      </c>
      <c r="BX94" s="187">
        <f>Stamoplysninger!$L$95</f>
        <v>2025</v>
      </c>
      <c r="BY94" s="187">
        <f>Stamoplysninger!$L$95</f>
        <v>2025</v>
      </c>
    </row>
    <row r="95" spans="1:77" ht="4.5" customHeight="1" x14ac:dyDescent="0.3">
      <c r="A95" s="45" t="s">
        <v>206</v>
      </c>
      <c r="AN95" s="28"/>
      <c r="AO95" s="241"/>
      <c r="AP95" s="242"/>
      <c r="AQ95" s="242"/>
      <c r="AR95" s="242"/>
      <c r="AS95" s="242"/>
      <c r="AT95" s="242"/>
      <c r="AU95" s="185">
        <f t="shared" ref="AU95" ca="1" si="55">IF(AU$22="","",IF(INDEX(AU93:AU95,2,1)&lt;&gt;0,INDEX(AU93:AU95,2,1),g_pl_year))</f>
        <v>2025</v>
      </c>
      <c r="AV95" s="185">
        <f t="shared" ref="AV95:BY95" ca="1" si="56">IF(AV$22="","",IF(INDEX(AV93:AV95,2,1)&lt;&gt;0,INDEX(AV93:AV95,2,1),g_pl_year))</f>
        <v>2025</v>
      </c>
      <c r="AW95" s="185">
        <f t="shared" ca="1" si="56"/>
        <v>2025</v>
      </c>
      <c r="AX95" s="185">
        <f t="shared" ca="1" si="56"/>
        <v>2025</v>
      </c>
      <c r="AY95" s="185" t="str">
        <f t="shared" ca="1" si="56"/>
        <v/>
      </c>
      <c r="AZ95" s="185" t="str">
        <f t="shared" ca="1" si="56"/>
        <v/>
      </c>
      <c r="BA95" s="185" t="str">
        <f t="shared" ca="1" si="56"/>
        <v/>
      </c>
      <c r="BB95" s="185" t="str">
        <f t="shared" ca="1" si="56"/>
        <v/>
      </c>
      <c r="BC95" s="185" t="str">
        <f t="shared" ca="1" si="56"/>
        <v/>
      </c>
      <c r="BD95" s="185" t="str">
        <f t="shared" ca="1" si="56"/>
        <v/>
      </c>
      <c r="BE95" s="185" t="str">
        <f t="shared" ca="1" si="56"/>
        <v/>
      </c>
      <c r="BF95" s="185" t="str">
        <f t="shared" ca="1" si="56"/>
        <v/>
      </c>
      <c r="BG95" s="185" t="str">
        <f t="shared" ca="1" si="56"/>
        <v/>
      </c>
      <c r="BH95" s="185" t="str">
        <f t="shared" ca="1" si="56"/>
        <v/>
      </c>
      <c r="BI95" s="185" t="str">
        <f t="shared" ca="1" si="56"/>
        <v/>
      </c>
      <c r="BJ95" s="185" t="str">
        <f t="shared" ca="1" si="56"/>
        <v/>
      </c>
      <c r="BK95" s="185" t="str">
        <f t="shared" ca="1" si="56"/>
        <v/>
      </c>
      <c r="BL95" s="185" t="str">
        <f t="shared" ca="1" si="56"/>
        <v/>
      </c>
      <c r="BM95" s="185" t="str">
        <f t="shared" ca="1" si="56"/>
        <v/>
      </c>
      <c r="BN95" s="185" t="str">
        <f t="shared" ca="1" si="56"/>
        <v/>
      </c>
      <c r="BO95" s="185" t="str">
        <f t="shared" ca="1" si="56"/>
        <v/>
      </c>
      <c r="BP95" s="185" t="str">
        <f t="shared" ca="1" si="56"/>
        <v/>
      </c>
      <c r="BQ95" s="185" t="str">
        <f t="shared" ca="1" si="56"/>
        <v/>
      </c>
      <c r="BR95" s="185" t="str">
        <f t="shared" ca="1" si="56"/>
        <v/>
      </c>
      <c r="BS95" s="185" t="str">
        <f t="shared" ca="1" si="56"/>
        <v/>
      </c>
      <c r="BT95" s="185" t="str">
        <f t="shared" ca="1" si="56"/>
        <v/>
      </c>
      <c r="BU95" s="185" t="str">
        <f t="shared" ca="1" si="56"/>
        <v/>
      </c>
      <c r="BV95" s="185" t="str">
        <f t="shared" ca="1" si="56"/>
        <v/>
      </c>
      <c r="BW95" s="185" t="str">
        <f t="shared" ca="1" si="56"/>
        <v/>
      </c>
      <c r="BX95" s="185" t="str">
        <f t="shared" ca="1" si="56"/>
        <v/>
      </c>
      <c r="BY95" s="185" t="str">
        <f t="shared" ca="1" si="56"/>
        <v/>
      </c>
    </row>
    <row r="96" spans="1:77" s="40" customFormat="1" ht="21" customHeight="1" x14ac:dyDescent="0.3">
      <c r="A96" s="39" t="s">
        <v>207</v>
      </c>
      <c r="AK96" s="12"/>
      <c r="AN96" s="28"/>
      <c r="AO96" s="41"/>
      <c r="AP96" s="42"/>
      <c r="AQ96" s="42"/>
      <c r="AR96" s="42"/>
      <c r="AS96" s="42"/>
      <c r="AT96" s="143" t="str">
        <f>INDEX(g_lang_val,MATCH("le_2_3",g_lang_key,0))</f>
        <v>pl-faktor:</v>
      </c>
      <c r="AU96" s="177">
        <f t="shared" ref="AU96" ca="1" si="57">IF(AU22="","",INDEX(g_pl_factors,(g_reporting_year-g_pl_years_start)*(g_pl_years_end-g_pl_years_start+1)+(AU95-g_pl_years_start+1)))</f>
        <v>1</v>
      </c>
      <c r="AV96" s="177">
        <f t="shared" ref="AV96:BY96" ca="1" si="58">IF(AV22="","",INDEX(g_pl_factors,(g_reporting_year-g_pl_years_start)*(g_pl_years_end-g_pl_years_start+1)+(AV95-g_pl_years_start+1)))</f>
        <v>1</v>
      </c>
      <c r="AW96" s="177">
        <f t="shared" ca="1" si="58"/>
        <v>1</v>
      </c>
      <c r="AX96" s="177">
        <f t="shared" ca="1" si="58"/>
        <v>1</v>
      </c>
      <c r="AY96" s="177" t="str">
        <f t="shared" ca="1" si="58"/>
        <v/>
      </c>
      <c r="AZ96" s="177" t="str">
        <f t="shared" ca="1" si="58"/>
        <v/>
      </c>
      <c r="BA96" s="177" t="str">
        <f t="shared" ca="1" si="58"/>
        <v/>
      </c>
      <c r="BB96" s="177" t="str">
        <f t="shared" ca="1" si="58"/>
        <v/>
      </c>
      <c r="BC96" s="177" t="str">
        <f t="shared" ca="1" si="58"/>
        <v/>
      </c>
      <c r="BD96" s="177" t="str">
        <f t="shared" ca="1" si="58"/>
        <v/>
      </c>
      <c r="BE96" s="177" t="str">
        <f t="shared" ca="1" si="58"/>
        <v/>
      </c>
      <c r="BF96" s="177" t="str">
        <f t="shared" ca="1" si="58"/>
        <v/>
      </c>
      <c r="BG96" s="177" t="str">
        <f t="shared" ca="1" si="58"/>
        <v/>
      </c>
      <c r="BH96" s="177" t="str">
        <f t="shared" ca="1" si="58"/>
        <v/>
      </c>
      <c r="BI96" s="177" t="str">
        <f t="shared" ca="1" si="58"/>
        <v/>
      </c>
      <c r="BJ96" s="177" t="str">
        <f t="shared" ca="1" si="58"/>
        <v/>
      </c>
      <c r="BK96" s="177" t="str">
        <f t="shared" ca="1" si="58"/>
        <v/>
      </c>
      <c r="BL96" s="177" t="str">
        <f t="shared" ca="1" si="58"/>
        <v/>
      </c>
      <c r="BM96" s="177" t="str">
        <f t="shared" ca="1" si="58"/>
        <v/>
      </c>
      <c r="BN96" s="177" t="str">
        <f t="shared" ca="1" si="58"/>
        <v/>
      </c>
      <c r="BO96" s="177" t="str">
        <f t="shared" ca="1" si="58"/>
        <v/>
      </c>
      <c r="BP96" s="177" t="str">
        <f t="shared" ca="1" si="58"/>
        <v/>
      </c>
      <c r="BQ96" s="177" t="str">
        <f t="shared" ca="1" si="58"/>
        <v/>
      </c>
      <c r="BR96" s="177" t="str">
        <f t="shared" ca="1" si="58"/>
        <v/>
      </c>
      <c r="BS96" s="177" t="str">
        <f t="shared" ca="1" si="58"/>
        <v/>
      </c>
      <c r="BT96" s="177" t="str">
        <f t="shared" ca="1" si="58"/>
        <v/>
      </c>
      <c r="BU96" s="177" t="str">
        <f t="shared" ca="1" si="58"/>
        <v/>
      </c>
      <c r="BV96" s="177" t="str">
        <f t="shared" ca="1" si="58"/>
        <v/>
      </c>
      <c r="BW96" s="177" t="str">
        <f t="shared" ca="1" si="58"/>
        <v/>
      </c>
      <c r="BX96" s="177" t="str">
        <f t="shared" ca="1" si="58"/>
        <v/>
      </c>
      <c r="BY96" s="177" t="str">
        <f t="shared" ca="1" si="58"/>
        <v/>
      </c>
    </row>
    <row r="97" spans="1:77" ht="15.75" customHeight="1" x14ac:dyDescent="0.3">
      <c r="A97" s="45" t="s">
        <v>208</v>
      </c>
      <c r="AN97" s="28"/>
      <c r="AO97" s="153" t="str">
        <f>INDEX(g_lang_val,MATCH("le_2_2",g_lang_key,0))&amp;INDEX(g_lang_val,MATCH("le_2_6_1",g_lang_key,0))</f>
        <v xml:space="preserve">Total pl-justeret </v>
      </c>
      <c r="AP97" s="43"/>
      <c r="AQ97" s="43"/>
      <c r="AR97" s="46"/>
      <c r="AS97" s="46"/>
      <c r="AT97" s="43"/>
      <c r="AU97" s="70">
        <f ca="1">IF(AU$22="","",AU90*AU96)</f>
        <v>0</v>
      </c>
      <c r="AV97" s="70">
        <f t="shared" ref="AV97:BY97" ca="1" si="59">IF(AV$22="","",AV90*AV96)</f>
        <v>0</v>
      </c>
      <c r="AW97" s="70">
        <f t="shared" ca="1" si="59"/>
        <v>0</v>
      </c>
      <c r="AX97" s="70">
        <f t="shared" ca="1" si="59"/>
        <v>0</v>
      </c>
      <c r="AY97" s="70" t="str">
        <f t="shared" ca="1" si="59"/>
        <v/>
      </c>
      <c r="AZ97" s="70" t="str">
        <f t="shared" ca="1" si="59"/>
        <v/>
      </c>
      <c r="BA97" s="70" t="str">
        <f t="shared" ca="1" si="59"/>
        <v/>
      </c>
      <c r="BB97" s="70" t="str">
        <f t="shared" ca="1" si="59"/>
        <v/>
      </c>
      <c r="BC97" s="70" t="str">
        <f t="shared" ca="1" si="59"/>
        <v/>
      </c>
      <c r="BD97" s="70" t="str">
        <f t="shared" ca="1" si="59"/>
        <v/>
      </c>
      <c r="BE97" s="70" t="str">
        <f t="shared" ca="1" si="59"/>
        <v/>
      </c>
      <c r="BF97" s="70" t="str">
        <f t="shared" ca="1" si="59"/>
        <v/>
      </c>
      <c r="BG97" s="70" t="str">
        <f t="shared" ca="1" si="59"/>
        <v/>
      </c>
      <c r="BH97" s="70" t="str">
        <f t="shared" ca="1" si="59"/>
        <v/>
      </c>
      <c r="BI97" s="70" t="str">
        <f t="shared" ca="1" si="59"/>
        <v/>
      </c>
      <c r="BJ97" s="70" t="str">
        <f t="shared" ca="1" si="59"/>
        <v/>
      </c>
      <c r="BK97" s="70" t="str">
        <f t="shared" ca="1" si="59"/>
        <v/>
      </c>
      <c r="BL97" s="70" t="str">
        <f t="shared" ca="1" si="59"/>
        <v/>
      </c>
      <c r="BM97" s="70" t="str">
        <f t="shared" ca="1" si="59"/>
        <v/>
      </c>
      <c r="BN97" s="70" t="str">
        <f t="shared" ca="1" si="59"/>
        <v/>
      </c>
      <c r="BO97" s="70" t="str">
        <f t="shared" ca="1" si="59"/>
        <v/>
      </c>
      <c r="BP97" s="70" t="str">
        <f t="shared" ca="1" si="59"/>
        <v/>
      </c>
      <c r="BQ97" s="70" t="str">
        <f t="shared" ca="1" si="59"/>
        <v/>
      </c>
      <c r="BR97" s="70" t="str">
        <f t="shared" ca="1" si="59"/>
        <v/>
      </c>
      <c r="BS97" s="70" t="str">
        <f t="shared" ca="1" si="59"/>
        <v/>
      </c>
      <c r="BT97" s="70" t="str">
        <f t="shared" ca="1" si="59"/>
        <v/>
      </c>
      <c r="BU97" s="70" t="str">
        <f t="shared" ca="1" si="59"/>
        <v/>
      </c>
      <c r="BV97" s="70" t="str">
        <f t="shared" ca="1" si="59"/>
        <v/>
      </c>
      <c r="BW97" s="70" t="str">
        <f t="shared" ca="1" si="59"/>
        <v/>
      </c>
      <c r="BX97" s="70" t="str">
        <f t="shared" ca="1" si="59"/>
        <v/>
      </c>
      <c r="BY97" s="70" t="str">
        <f t="shared" ca="1" si="59"/>
        <v/>
      </c>
    </row>
    <row r="98" spans="1:77" ht="4.5" customHeight="1" x14ac:dyDescent="0.3">
      <c r="A98" s="45" t="s">
        <v>209</v>
      </c>
      <c r="AN98" s="28"/>
      <c r="AO98" s="27"/>
      <c r="AP98" s="27"/>
      <c r="AQ98" s="27"/>
      <c r="AR98" s="27"/>
      <c r="AS98" s="27"/>
      <c r="AT98" s="2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77"/>
      <c r="BS98" s="77"/>
      <c r="BT98" s="77"/>
      <c r="BU98" s="77"/>
      <c r="BV98" s="77"/>
      <c r="BW98" s="77"/>
      <c r="BX98" s="77"/>
      <c r="BY98" s="77"/>
    </row>
    <row r="99" spans="1:77" ht="4.5" customHeight="1" x14ac:dyDescent="0.3">
      <c r="A99" s="45" t="s">
        <v>210</v>
      </c>
      <c r="AN99" s="28"/>
      <c r="AO99" s="24"/>
      <c r="AP99" s="24"/>
      <c r="AQ99" s="24"/>
      <c r="AR99" s="24"/>
      <c r="AS99" s="24"/>
      <c r="AT99" s="24"/>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row>
    <row r="100" spans="1:77" ht="4.5" customHeight="1" x14ac:dyDescent="0.3">
      <c r="A100" s="45" t="s">
        <v>211</v>
      </c>
      <c r="AN100" s="28"/>
      <c r="AO100" s="241"/>
      <c r="AP100" s="242"/>
      <c r="AQ100" s="242"/>
      <c r="AR100" s="242"/>
      <c r="AS100" s="242"/>
      <c r="AT100" s="242"/>
      <c r="AU100" s="184"/>
      <c r="AV100" s="184"/>
      <c r="AW100" s="184"/>
      <c r="AX100" s="184"/>
      <c r="AY100" s="184"/>
      <c r="AZ100" s="184"/>
      <c r="BA100" s="184"/>
      <c r="BB100" s="184"/>
      <c r="BC100" s="184"/>
      <c r="BD100" s="184"/>
      <c r="BE100" s="184"/>
      <c r="BF100" s="184"/>
      <c r="BG100" s="184"/>
      <c r="BH100" s="184"/>
      <c r="BI100" s="184"/>
      <c r="BJ100" s="184"/>
      <c r="BK100" s="184"/>
      <c r="BL100" s="184"/>
      <c r="BM100" s="184"/>
      <c r="BN100" s="184"/>
      <c r="BO100" s="184"/>
      <c r="BP100" s="184"/>
      <c r="BQ100" s="184"/>
      <c r="BR100" s="184"/>
      <c r="BS100" s="184"/>
      <c r="BT100" s="184"/>
      <c r="BU100" s="184"/>
      <c r="BV100" s="184"/>
      <c r="BW100" s="184"/>
      <c r="BX100" s="184"/>
      <c r="BY100" s="184"/>
    </row>
    <row r="101" spans="1:77" ht="15.75" customHeight="1" x14ac:dyDescent="0.3">
      <c r="A101" s="45" t="s">
        <v>212</v>
      </c>
      <c r="AN101" s="28"/>
      <c r="AO101" s="49" t="str">
        <f>INDEX(g_lang_val,MATCH("le_2_5",g_lang_key,0))</f>
        <v>Risikopulje</v>
      </c>
      <c r="AP101" s="29"/>
      <c r="AQ101" s="29"/>
      <c r="AR101" s="29"/>
      <c r="AS101" s="202"/>
      <c r="AT101" s="87" t="str">
        <f>INDEX(g_lang_val,MATCH("le_2_5_1",g_lang_key,0))</f>
        <v>Indplacering af risikopuljen (pct.):</v>
      </c>
      <c r="AU101" s="215"/>
      <c r="AV101" s="215"/>
      <c r="AW101" s="215"/>
      <c r="AX101" s="215"/>
      <c r="AY101" s="215"/>
      <c r="AZ101" s="215"/>
      <c r="BA101" s="215"/>
      <c r="BB101" s="215"/>
      <c r="BC101" s="215"/>
      <c r="BD101" s="215"/>
      <c r="BE101" s="215"/>
      <c r="BF101" s="215"/>
      <c r="BG101" s="215"/>
      <c r="BH101" s="215"/>
      <c r="BI101" s="215"/>
      <c r="BJ101" s="215"/>
      <c r="BK101" s="215"/>
      <c r="BL101" s="215"/>
      <c r="BM101" s="215"/>
      <c r="BN101" s="215"/>
      <c r="BO101" s="215"/>
      <c r="BP101" s="215"/>
      <c r="BQ101" s="215"/>
      <c r="BR101" s="215"/>
      <c r="BS101" s="215"/>
      <c r="BT101" s="215"/>
      <c r="BU101" s="215"/>
      <c r="BV101" s="215"/>
      <c r="BW101" s="215"/>
      <c r="BX101" s="215"/>
      <c r="BY101" s="215"/>
    </row>
    <row r="102" spans="1:77" ht="4.5" customHeight="1" x14ac:dyDescent="0.3">
      <c r="A102" s="45" t="s">
        <v>213</v>
      </c>
      <c r="AN102" s="28"/>
      <c r="AO102" s="241"/>
      <c r="AP102" s="242"/>
      <c r="AQ102" s="242"/>
      <c r="AR102" s="242"/>
      <c r="AS102" s="242"/>
      <c r="AT102" s="242"/>
      <c r="AU102" s="184"/>
      <c r="AV102" s="184"/>
      <c r="AW102" s="184"/>
      <c r="AX102" s="184"/>
      <c r="AY102" s="184"/>
      <c r="AZ102" s="184"/>
      <c r="BA102" s="184"/>
      <c r="BB102" s="184"/>
      <c r="BC102" s="184"/>
      <c r="BD102" s="184"/>
      <c r="BE102" s="184"/>
      <c r="BF102" s="184"/>
      <c r="BG102" s="184"/>
      <c r="BH102" s="184"/>
      <c r="BI102" s="184"/>
      <c r="BJ102" s="184"/>
      <c r="BK102" s="184"/>
      <c r="BL102" s="184"/>
      <c r="BM102" s="184"/>
      <c r="BN102" s="184"/>
      <c r="BO102" s="184"/>
      <c r="BP102" s="184"/>
      <c r="BQ102" s="184"/>
      <c r="BR102" s="184"/>
      <c r="BS102" s="184"/>
      <c r="BT102" s="184"/>
      <c r="BU102" s="184"/>
      <c r="BV102" s="184"/>
      <c r="BW102" s="184"/>
      <c r="BX102" s="184"/>
      <c r="BY102" s="184"/>
    </row>
    <row r="103" spans="1:77" ht="4.5" customHeight="1" x14ac:dyDescent="0.3">
      <c r="A103" s="45" t="s">
        <v>183</v>
      </c>
      <c r="AN103" s="28"/>
      <c r="AO103" s="27"/>
      <c r="AP103" s="27"/>
      <c r="AQ103" s="27"/>
      <c r="AR103" s="27"/>
      <c r="AS103" s="27"/>
      <c r="AT103" s="2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row>
    <row r="104" spans="1:77" ht="15.75" customHeight="1" x14ac:dyDescent="0.3">
      <c r="A104" s="45" t="s">
        <v>212</v>
      </c>
      <c r="AN104" s="28"/>
      <c r="AO104" s="152" t="str">
        <f>INDEX(g_lang_val,MATCH("le_2_6",g_lang_key,0))&amp;INDEX(g_lang_val,MATCH("le_2_6_1",g_lang_key,0))</f>
        <v xml:space="preserve">Riskopulje pl-justeret </v>
      </c>
      <c r="AP104" s="31"/>
      <c r="AQ104" s="30"/>
      <c r="AR104" s="31"/>
      <c r="AS104" s="47"/>
      <c r="AT104" s="31"/>
      <c r="AU104" s="201">
        <f ca="1">IF(AU$22="","",($AS$101*AU101)*AU96)</f>
        <v>0</v>
      </c>
      <c r="AV104" s="201">
        <f t="shared" ref="AV104:BY104" ca="1" si="60">IF(AV$22="","",($AS$101*AV101)*AV96)</f>
        <v>0</v>
      </c>
      <c r="AW104" s="201">
        <f t="shared" ca="1" si="60"/>
        <v>0</v>
      </c>
      <c r="AX104" s="201">
        <f t="shared" ca="1" si="60"/>
        <v>0</v>
      </c>
      <c r="AY104" s="201" t="str">
        <f t="shared" ca="1" si="60"/>
        <v/>
      </c>
      <c r="AZ104" s="201" t="str">
        <f t="shared" ca="1" si="60"/>
        <v/>
      </c>
      <c r="BA104" s="201" t="str">
        <f t="shared" ca="1" si="60"/>
        <v/>
      </c>
      <c r="BB104" s="201" t="str">
        <f t="shared" ca="1" si="60"/>
        <v/>
      </c>
      <c r="BC104" s="201" t="str">
        <f t="shared" ca="1" si="60"/>
        <v/>
      </c>
      <c r="BD104" s="201" t="str">
        <f t="shared" ca="1" si="60"/>
        <v/>
      </c>
      <c r="BE104" s="201" t="str">
        <f t="shared" ca="1" si="60"/>
        <v/>
      </c>
      <c r="BF104" s="201" t="str">
        <f t="shared" ca="1" si="60"/>
        <v/>
      </c>
      <c r="BG104" s="201" t="str">
        <f t="shared" ca="1" si="60"/>
        <v/>
      </c>
      <c r="BH104" s="201" t="str">
        <f t="shared" ca="1" si="60"/>
        <v/>
      </c>
      <c r="BI104" s="201" t="str">
        <f t="shared" ca="1" si="60"/>
        <v/>
      </c>
      <c r="BJ104" s="201" t="str">
        <f t="shared" ca="1" si="60"/>
        <v/>
      </c>
      <c r="BK104" s="201" t="str">
        <f t="shared" ca="1" si="60"/>
        <v/>
      </c>
      <c r="BL104" s="201" t="str">
        <f t="shared" ca="1" si="60"/>
        <v/>
      </c>
      <c r="BM104" s="201" t="str">
        <f t="shared" ca="1" si="60"/>
        <v/>
      </c>
      <c r="BN104" s="201" t="str">
        <f t="shared" ca="1" si="60"/>
        <v/>
      </c>
      <c r="BO104" s="201" t="str">
        <f t="shared" ca="1" si="60"/>
        <v/>
      </c>
      <c r="BP104" s="201" t="str">
        <f t="shared" ca="1" si="60"/>
        <v/>
      </c>
      <c r="BQ104" s="201" t="str">
        <f t="shared" ca="1" si="60"/>
        <v/>
      </c>
      <c r="BR104" s="201" t="str">
        <f t="shared" ca="1" si="60"/>
        <v/>
      </c>
      <c r="BS104" s="201" t="str">
        <f t="shared" ca="1" si="60"/>
        <v/>
      </c>
      <c r="BT104" s="201" t="str">
        <f t="shared" ca="1" si="60"/>
        <v/>
      </c>
      <c r="BU104" s="201" t="str">
        <f t="shared" ca="1" si="60"/>
        <v/>
      </c>
      <c r="BV104" s="201" t="str">
        <f t="shared" ca="1" si="60"/>
        <v/>
      </c>
      <c r="BW104" s="201" t="str">
        <f t="shared" ca="1" si="60"/>
        <v/>
      </c>
      <c r="BX104" s="201" t="str">
        <f t="shared" ca="1" si="60"/>
        <v/>
      </c>
      <c r="BY104" s="201" t="str">
        <f t="shared" ca="1" si="60"/>
        <v/>
      </c>
    </row>
    <row r="105" spans="1:77" ht="4.5" customHeight="1" thickBot="1" x14ac:dyDescent="0.35">
      <c r="A105" s="45" t="s">
        <v>213</v>
      </c>
      <c r="AN105" s="28"/>
      <c r="AO105" s="27"/>
      <c r="AP105" s="27"/>
      <c r="AQ105" s="27"/>
      <c r="AR105" s="27"/>
      <c r="AS105" s="27"/>
      <c r="AT105" s="2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row>
    <row r="106" spans="1:77" ht="15.75" customHeight="1" thickTop="1" x14ac:dyDescent="0.3">
      <c r="A106" s="45" t="s">
        <v>214</v>
      </c>
      <c r="AN106" s="28"/>
      <c r="AO106" s="153" t="str">
        <f>INDEX(g_lang_val,MATCH("le_2_2",g_lang_key,0))&amp;INDEX(g_lang_val,MATCH("le_2_7",g_lang_key,0))</f>
        <v>Total pl-justeret, inkl. risikopulje</v>
      </c>
      <c r="AP106" s="37"/>
      <c r="AQ106" s="37"/>
      <c r="AR106" s="46"/>
      <c r="AS106" s="46"/>
      <c r="AT106" s="37"/>
      <c r="AU106" s="63">
        <f ca="1">IF(AU$22="","",AU97+AU104)</f>
        <v>0</v>
      </c>
      <c r="AV106" s="63">
        <f t="shared" ref="AV106:BY106" ca="1" si="61">IF(AV$22="","",AV97+AV104)</f>
        <v>0</v>
      </c>
      <c r="AW106" s="63">
        <f t="shared" ca="1" si="61"/>
        <v>0</v>
      </c>
      <c r="AX106" s="63">
        <f t="shared" ca="1" si="61"/>
        <v>0</v>
      </c>
      <c r="AY106" s="63" t="str">
        <f t="shared" ca="1" si="61"/>
        <v/>
      </c>
      <c r="AZ106" s="63" t="str">
        <f t="shared" ca="1" si="61"/>
        <v/>
      </c>
      <c r="BA106" s="63" t="str">
        <f t="shared" ca="1" si="61"/>
        <v/>
      </c>
      <c r="BB106" s="63" t="str">
        <f t="shared" ca="1" si="61"/>
        <v/>
      </c>
      <c r="BC106" s="63" t="str">
        <f t="shared" ca="1" si="61"/>
        <v/>
      </c>
      <c r="BD106" s="63" t="str">
        <f t="shared" ca="1" si="61"/>
        <v/>
      </c>
      <c r="BE106" s="63" t="str">
        <f t="shared" ca="1" si="61"/>
        <v/>
      </c>
      <c r="BF106" s="63" t="str">
        <f t="shared" ca="1" si="61"/>
        <v/>
      </c>
      <c r="BG106" s="63" t="str">
        <f t="shared" ca="1" si="61"/>
        <v/>
      </c>
      <c r="BH106" s="63" t="str">
        <f t="shared" ca="1" si="61"/>
        <v/>
      </c>
      <c r="BI106" s="63" t="str">
        <f t="shared" ca="1" si="61"/>
        <v/>
      </c>
      <c r="BJ106" s="63" t="str">
        <f t="shared" ca="1" si="61"/>
        <v/>
      </c>
      <c r="BK106" s="63" t="str">
        <f t="shared" ca="1" si="61"/>
        <v/>
      </c>
      <c r="BL106" s="63" t="str">
        <f t="shared" ca="1" si="61"/>
        <v/>
      </c>
      <c r="BM106" s="63" t="str">
        <f t="shared" ca="1" si="61"/>
        <v/>
      </c>
      <c r="BN106" s="63" t="str">
        <f t="shared" ca="1" si="61"/>
        <v/>
      </c>
      <c r="BO106" s="63" t="str">
        <f t="shared" ca="1" si="61"/>
        <v/>
      </c>
      <c r="BP106" s="63" t="str">
        <f t="shared" ca="1" si="61"/>
        <v/>
      </c>
      <c r="BQ106" s="63" t="str">
        <f t="shared" ca="1" si="61"/>
        <v/>
      </c>
      <c r="BR106" s="63" t="str">
        <f t="shared" ca="1" si="61"/>
        <v/>
      </c>
      <c r="BS106" s="63" t="str">
        <f t="shared" ca="1" si="61"/>
        <v/>
      </c>
      <c r="BT106" s="63" t="str">
        <f t="shared" ca="1" si="61"/>
        <v/>
      </c>
      <c r="BU106" s="63" t="str">
        <f t="shared" ca="1" si="61"/>
        <v/>
      </c>
      <c r="BV106" s="63" t="str">
        <f t="shared" ca="1" si="61"/>
        <v/>
      </c>
      <c r="BW106" s="63" t="str">
        <f t="shared" ca="1" si="61"/>
        <v/>
      </c>
      <c r="BX106" s="63" t="str">
        <f t="shared" ca="1" si="61"/>
        <v/>
      </c>
      <c r="BY106" s="63" t="str">
        <f t="shared" ca="1" si="61"/>
        <v/>
      </c>
    </row>
    <row r="107" spans="1:77" ht="4.5" customHeight="1" x14ac:dyDescent="0.3">
      <c r="A107" s="45" t="s">
        <v>215</v>
      </c>
      <c r="AN107" s="28"/>
      <c r="AO107" s="27"/>
      <c r="AP107" s="27"/>
      <c r="AQ107" s="27"/>
      <c r="AR107" s="27"/>
      <c r="AS107" s="27"/>
      <c r="AT107" s="2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row>
    <row r="108" spans="1:77" ht="4.5" customHeight="1" x14ac:dyDescent="0.3">
      <c r="A108" s="45" t="s">
        <v>175</v>
      </c>
      <c r="AN108" s="28"/>
      <c r="AO108" s="24"/>
      <c r="AP108" s="24"/>
      <c r="AQ108" s="24"/>
      <c r="AR108" s="24"/>
      <c r="AS108" s="24"/>
      <c r="AT108" s="24"/>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row>
    <row r="110" spans="1:77" s="13" customFormat="1" ht="29.15" customHeight="1" x14ac:dyDescent="0.3">
      <c r="A110" s="45" t="s">
        <v>216</v>
      </c>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98" t="str">
        <f>INDEX(g_lang_val,MATCH("le_3",g_lang_key,0))</f>
        <v>Afledte økonomiske omkostninger i tusinde kroner (t. kr.)</v>
      </c>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row>
    <row r="111" spans="1:77" ht="4.5" customHeight="1" x14ac:dyDescent="0.3">
      <c r="A111" s="45" t="s">
        <v>217</v>
      </c>
      <c r="AN111" s="195"/>
      <c r="AO111" s="24"/>
      <c r="AP111" s="24"/>
      <c r="AQ111" s="24"/>
      <c r="AR111" s="24"/>
      <c r="AS111" s="24"/>
      <c r="AT111" s="24"/>
      <c r="AU111" s="35">
        <f t="shared" ref="AU111:BY111" ca="1" si="62">IF(INDEX(g_sc_1_opex,2)+COLUMN()-47&lt;=INDEX(g_sc_1_opex,3),INDEX(g_sc_1_opex,2)+COLUMN()-47,"")</f>
        <v>2025</v>
      </c>
      <c r="AV111" s="35">
        <f t="shared" ca="1" si="62"/>
        <v>2026</v>
      </c>
      <c r="AW111" s="35">
        <f t="shared" ca="1" si="62"/>
        <v>2027</v>
      </c>
      <c r="AX111" s="35">
        <f t="shared" ca="1" si="62"/>
        <v>2028</v>
      </c>
      <c r="AY111" s="35" t="str">
        <f t="shared" ca="1" si="62"/>
        <v/>
      </c>
      <c r="AZ111" s="35" t="str">
        <f t="shared" ca="1" si="62"/>
        <v/>
      </c>
      <c r="BA111" s="35" t="str">
        <f t="shared" ca="1" si="62"/>
        <v/>
      </c>
      <c r="BB111" s="35" t="str">
        <f t="shared" ca="1" si="62"/>
        <v/>
      </c>
      <c r="BC111" s="35" t="str">
        <f t="shared" ca="1" si="62"/>
        <v/>
      </c>
      <c r="BD111" s="35" t="str">
        <f t="shared" ca="1" si="62"/>
        <v/>
      </c>
      <c r="BE111" s="35" t="str">
        <f t="shared" ca="1" si="62"/>
        <v/>
      </c>
      <c r="BF111" s="35" t="str">
        <f t="shared" ca="1" si="62"/>
        <v/>
      </c>
      <c r="BG111" s="35" t="str">
        <f t="shared" ca="1" si="62"/>
        <v/>
      </c>
      <c r="BH111" s="35" t="str">
        <f t="shared" ca="1" si="62"/>
        <v/>
      </c>
      <c r="BI111" s="35" t="str">
        <f t="shared" ca="1" si="62"/>
        <v/>
      </c>
      <c r="BJ111" s="35" t="str">
        <f t="shared" ca="1" si="62"/>
        <v/>
      </c>
      <c r="BK111" s="35" t="str">
        <f t="shared" ca="1" si="62"/>
        <v/>
      </c>
      <c r="BL111" s="35" t="str">
        <f t="shared" ca="1" si="62"/>
        <v/>
      </c>
      <c r="BM111" s="35" t="str">
        <f t="shared" ca="1" si="62"/>
        <v/>
      </c>
      <c r="BN111" s="35" t="str">
        <f t="shared" ca="1" si="62"/>
        <v/>
      </c>
      <c r="BO111" s="35" t="str">
        <f t="shared" ca="1" si="62"/>
        <v/>
      </c>
      <c r="BP111" s="35" t="str">
        <f t="shared" ca="1" si="62"/>
        <v/>
      </c>
      <c r="BQ111" s="35" t="str">
        <f t="shared" ca="1" si="62"/>
        <v/>
      </c>
      <c r="BR111" s="35" t="str">
        <f t="shared" ca="1" si="62"/>
        <v/>
      </c>
      <c r="BS111" s="35" t="str">
        <f t="shared" ca="1" si="62"/>
        <v/>
      </c>
      <c r="BT111" s="35" t="str">
        <f t="shared" ca="1" si="62"/>
        <v/>
      </c>
      <c r="BU111" s="35" t="str">
        <f t="shared" ca="1" si="62"/>
        <v/>
      </c>
      <c r="BV111" s="35" t="str">
        <f t="shared" ca="1" si="62"/>
        <v/>
      </c>
      <c r="BW111" s="35" t="str">
        <f t="shared" ca="1" si="62"/>
        <v/>
      </c>
      <c r="BX111" s="35" t="str">
        <f t="shared" ca="1" si="62"/>
        <v/>
      </c>
      <c r="BY111" s="35" t="str">
        <f t="shared" ca="1" si="62"/>
        <v/>
      </c>
    </row>
    <row r="112" spans="1:77" ht="17.25" customHeight="1" x14ac:dyDescent="0.3">
      <c r="A112" s="45" t="s">
        <v>169</v>
      </c>
      <c r="AN112" s="195"/>
      <c r="AO112" s="246" t="str">
        <f>INDEX(g_lang_val,MATCH("le_1",g_lang_key,0))</f>
        <v>Vigtigt:</v>
      </c>
      <c r="AP112" s="238"/>
      <c r="AQ112" s="238"/>
      <c r="AR112" s="238"/>
      <c r="AS112" s="238"/>
      <c r="AT112" s="238"/>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row>
    <row r="113" spans="1:77" ht="50.15" customHeight="1" x14ac:dyDescent="0.3">
      <c r="A113" s="45" t="s">
        <v>170</v>
      </c>
      <c r="AN113" s="195"/>
      <c r="AO113" s="36"/>
      <c r="AP113" s="240" t="str">
        <f>INDEX(g_lang_val,MATCH("le_3_1",g_lang_key,0))</f>
        <v>1) I denne tabel indtastes alene de kommende drifts-, vedligeholds- og udviklingsomkostninger.
2) Der henvises til Model for porteføljestyring af statslige it-systemer for definition af drifts-, vedligeholds- og udviklingsomkostninger, som kan findes på Økonomistyrelsens hjemmeside oes.dk.</v>
      </c>
      <c r="AQ113" s="240"/>
      <c r="AR113" s="240"/>
      <c r="AS113" s="240"/>
      <c r="AT113" s="240"/>
      <c r="AU113" s="77"/>
      <c r="AV113" s="77"/>
      <c r="AW113" s="77"/>
      <c r="AX113" s="77"/>
      <c r="AY113" s="77"/>
      <c r="AZ113" s="77"/>
      <c r="BA113" s="77"/>
      <c r="BB113" s="77"/>
      <c r="BC113" s="77"/>
      <c r="BD113" s="77"/>
      <c r="BE113" s="77"/>
      <c r="BF113" s="77"/>
      <c r="BG113" s="77"/>
      <c r="BH113" s="77"/>
      <c r="BI113" s="77"/>
      <c r="BJ113" s="77"/>
      <c r="BK113" s="77"/>
      <c r="BL113" s="77"/>
      <c r="BM113" s="77"/>
      <c r="BN113" s="77"/>
      <c r="BO113" s="77"/>
      <c r="BP113" s="77"/>
      <c r="BQ113" s="77"/>
      <c r="BR113" s="77"/>
      <c r="BS113" s="77"/>
      <c r="BT113" s="77"/>
      <c r="BU113" s="77"/>
      <c r="BV113" s="77"/>
      <c r="BW113" s="77"/>
      <c r="BX113" s="77"/>
      <c r="BY113" s="77"/>
    </row>
    <row r="114" spans="1:77" s="13" customFormat="1" ht="51.75" customHeight="1" x14ac:dyDescent="0.3">
      <c r="A114" s="45" t="s">
        <v>218</v>
      </c>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95"/>
      <c r="AO114" s="245" t="str">
        <f>INDEX(g_lang_val,MATCH("le_3_2",g_lang_key,0))</f>
        <v>Drifts-, vedligeholds- og udviklingsomkostninger</v>
      </c>
      <c r="AP114" s="245"/>
      <c r="AQ114" s="245"/>
      <c r="AR114" s="245"/>
      <c r="AS114" s="245"/>
      <c r="AT114" s="193" t="str">
        <f>INDEX(g_lang_val,MATCH("le_2_1_5",g_lang_key,0))</f>
        <v>Grundlag for estimat</v>
      </c>
      <c r="AU114" s="194">
        <f t="shared" ref="AU114" ca="1" si="63">AU111</f>
        <v>2025</v>
      </c>
      <c r="AV114" s="194">
        <f t="shared" ref="AV114:BY114" ca="1" si="64">AV111</f>
        <v>2026</v>
      </c>
      <c r="AW114" s="194">
        <f t="shared" ca="1" si="64"/>
        <v>2027</v>
      </c>
      <c r="AX114" s="194">
        <f t="shared" ca="1" si="64"/>
        <v>2028</v>
      </c>
      <c r="AY114" s="194" t="str">
        <f t="shared" ca="1" si="64"/>
        <v/>
      </c>
      <c r="AZ114" s="194" t="str">
        <f t="shared" ca="1" si="64"/>
        <v/>
      </c>
      <c r="BA114" s="194" t="str">
        <f t="shared" ca="1" si="64"/>
        <v/>
      </c>
      <c r="BB114" s="194" t="str">
        <f t="shared" ca="1" si="64"/>
        <v/>
      </c>
      <c r="BC114" s="194" t="str">
        <f t="shared" ca="1" si="64"/>
        <v/>
      </c>
      <c r="BD114" s="194" t="str">
        <f t="shared" ca="1" si="64"/>
        <v/>
      </c>
      <c r="BE114" s="194" t="str">
        <f t="shared" ca="1" si="64"/>
        <v/>
      </c>
      <c r="BF114" s="194" t="str">
        <f t="shared" ca="1" si="64"/>
        <v/>
      </c>
      <c r="BG114" s="194" t="str">
        <f t="shared" ca="1" si="64"/>
        <v/>
      </c>
      <c r="BH114" s="194" t="str">
        <f t="shared" ca="1" si="64"/>
        <v/>
      </c>
      <c r="BI114" s="194" t="str">
        <f t="shared" ca="1" si="64"/>
        <v/>
      </c>
      <c r="BJ114" s="194" t="str">
        <f t="shared" ca="1" si="64"/>
        <v/>
      </c>
      <c r="BK114" s="194" t="str">
        <f t="shared" ca="1" si="64"/>
        <v/>
      </c>
      <c r="BL114" s="194" t="str">
        <f t="shared" ca="1" si="64"/>
        <v/>
      </c>
      <c r="BM114" s="194" t="str">
        <f t="shared" ca="1" si="64"/>
        <v/>
      </c>
      <c r="BN114" s="194" t="str">
        <f t="shared" ca="1" si="64"/>
        <v/>
      </c>
      <c r="BO114" s="194" t="str">
        <f t="shared" ca="1" si="64"/>
        <v/>
      </c>
      <c r="BP114" s="194" t="str">
        <f t="shared" ca="1" si="64"/>
        <v/>
      </c>
      <c r="BQ114" s="194" t="str">
        <f t="shared" ca="1" si="64"/>
        <v/>
      </c>
      <c r="BR114" s="194" t="str">
        <f t="shared" ca="1" si="64"/>
        <v/>
      </c>
      <c r="BS114" s="194" t="str">
        <f t="shared" ca="1" si="64"/>
        <v/>
      </c>
      <c r="BT114" s="194" t="str">
        <f t="shared" ca="1" si="64"/>
        <v/>
      </c>
      <c r="BU114" s="194" t="str">
        <f t="shared" ca="1" si="64"/>
        <v/>
      </c>
      <c r="BV114" s="194" t="str">
        <f t="shared" ca="1" si="64"/>
        <v/>
      </c>
      <c r="BW114" s="194" t="str">
        <f t="shared" ca="1" si="64"/>
        <v/>
      </c>
      <c r="BX114" s="194" t="str">
        <f t="shared" ca="1" si="64"/>
        <v/>
      </c>
      <c r="BY114" s="194" t="str">
        <f t="shared" ca="1" si="64"/>
        <v/>
      </c>
    </row>
    <row r="115" spans="1:77" s="13" customFormat="1" ht="4.5" customHeight="1" x14ac:dyDescent="0.3">
      <c r="A115" s="45" t="s">
        <v>219</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95"/>
      <c r="AO115" s="27"/>
      <c r="AP115" s="27"/>
      <c r="AQ115" s="27"/>
      <c r="AR115" s="27"/>
      <c r="AS115" s="27"/>
      <c r="AT115" s="27"/>
      <c r="AU115" s="77"/>
      <c r="AV115" s="77"/>
      <c r="AW115" s="77"/>
      <c r="AX115" s="77"/>
      <c r="AY115" s="77"/>
      <c r="AZ115" s="77"/>
      <c r="BA115" s="77"/>
      <c r="BB115" s="77"/>
      <c r="BC115" s="77"/>
      <c r="BD115" s="77"/>
      <c r="BE115" s="77"/>
      <c r="BF115" s="77"/>
      <c r="BG115" s="77"/>
      <c r="BH115" s="77"/>
      <c r="BI115" s="77"/>
      <c r="BJ115" s="77"/>
      <c r="BK115" s="77"/>
      <c r="BL115" s="77"/>
      <c r="BM115" s="77"/>
      <c r="BN115" s="77"/>
      <c r="BO115" s="77"/>
      <c r="BP115" s="77"/>
      <c r="BQ115" s="77"/>
      <c r="BR115" s="77"/>
      <c r="BS115" s="77"/>
      <c r="BT115" s="77"/>
      <c r="BU115" s="77"/>
      <c r="BV115" s="77"/>
      <c r="BW115" s="77"/>
      <c r="BX115" s="77"/>
      <c r="BY115" s="77"/>
    </row>
    <row r="116" spans="1:77" s="13" customFormat="1" ht="15.75" customHeight="1" x14ac:dyDescent="0.3">
      <c r="A116" s="45" t="s">
        <v>220</v>
      </c>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95"/>
      <c r="AO116" s="78" t="s">
        <v>228</v>
      </c>
      <c r="AP116" s="182"/>
      <c r="AQ116" s="62"/>
      <c r="AR116" s="62"/>
      <c r="AS116" s="62"/>
      <c r="AT116" s="178" t="s">
        <v>388</v>
      </c>
      <c r="AU116" s="157"/>
      <c r="AV116" s="157"/>
      <c r="AW116" s="157"/>
      <c r="AX116" s="157"/>
      <c r="AY116" s="157"/>
      <c r="AZ116" s="157"/>
      <c r="BA116" s="157"/>
      <c r="BB116" s="157"/>
      <c r="BC116" s="157"/>
      <c r="BD116" s="157"/>
      <c r="BE116" s="157"/>
      <c r="BF116" s="157"/>
      <c r="BG116" s="157"/>
      <c r="BH116" s="157"/>
      <c r="BI116" s="157"/>
      <c r="BJ116" s="157"/>
      <c r="BK116" s="157"/>
      <c r="BL116" s="157"/>
      <c r="BM116" s="157"/>
      <c r="BN116" s="157"/>
      <c r="BO116" s="157"/>
      <c r="BP116" s="157"/>
      <c r="BQ116" s="157"/>
      <c r="BR116" s="157"/>
      <c r="BS116" s="157"/>
      <c r="BT116" s="157"/>
      <c r="BU116" s="157"/>
      <c r="BV116" s="157"/>
      <c r="BW116" s="157"/>
      <c r="BX116" s="157"/>
      <c r="BY116" s="157"/>
    </row>
    <row r="117" spans="1:77" s="13" customFormat="1" ht="15.75" customHeight="1" x14ac:dyDescent="0.3">
      <c r="A117" s="45" t="s">
        <v>221</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95"/>
      <c r="AO117" s="78" t="s">
        <v>229</v>
      </c>
      <c r="AP117" s="182"/>
      <c r="AQ117" s="62"/>
      <c r="AR117" s="62"/>
      <c r="AS117" s="62"/>
      <c r="AT117" s="178" t="s">
        <v>388</v>
      </c>
      <c r="AU117" s="157"/>
      <c r="AV117" s="157"/>
      <c r="AW117" s="157"/>
      <c r="AX117" s="157"/>
      <c r="AY117" s="157"/>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57"/>
      <c r="BU117" s="157"/>
      <c r="BV117" s="157"/>
      <c r="BW117" s="157"/>
      <c r="BX117" s="157"/>
      <c r="BY117" s="157"/>
    </row>
    <row r="118" spans="1:77" s="13" customFormat="1" ht="15.75" customHeight="1" x14ac:dyDescent="0.3">
      <c r="A118" s="45" t="s">
        <v>222</v>
      </c>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95"/>
      <c r="AO118" s="78" t="s">
        <v>230</v>
      </c>
      <c r="AP118" s="182"/>
      <c r="AQ118" s="62"/>
      <c r="AR118" s="62"/>
      <c r="AS118" s="62"/>
      <c r="AT118" s="178" t="s">
        <v>388</v>
      </c>
      <c r="AU118" s="157"/>
      <c r="AV118" s="157"/>
      <c r="AW118" s="157"/>
      <c r="AX118" s="157"/>
      <c r="AY118" s="157"/>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57"/>
      <c r="BU118" s="157"/>
      <c r="BV118" s="157"/>
      <c r="BW118" s="157"/>
      <c r="BX118" s="157"/>
      <c r="BY118" s="157"/>
    </row>
    <row r="119" spans="1:77" s="13" customFormat="1" ht="15.75" customHeight="1" x14ac:dyDescent="0.3">
      <c r="A119" s="45" t="s">
        <v>223</v>
      </c>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95"/>
      <c r="AO119" s="78" t="s">
        <v>231</v>
      </c>
      <c r="AP119" s="182"/>
      <c r="AQ119" s="62"/>
      <c r="AR119" s="62"/>
      <c r="AS119" s="62"/>
      <c r="AT119" s="178" t="s">
        <v>388</v>
      </c>
      <c r="AU119" s="157"/>
      <c r="AV119" s="157"/>
      <c r="AW119" s="157"/>
      <c r="AX119" s="157"/>
      <c r="AY119" s="157"/>
      <c r="AZ119" s="157"/>
      <c r="BA119" s="157"/>
      <c r="BB119" s="157"/>
      <c r="BC119" s="157"/>
      <c r="BD119" s="157"/>
      <c r="BE119" s="157"/>
      <c r="BF119" s="157"/>
      <c r="BG119" s="157"/>
      <c r="BH119" s="157"/>
      <c r="BI119" s="157"/>
      <c r="BJ119" s="157"/>
      <c r="BK119" s="157"/>
      <c r="BL119" s="157"/>
      <c r="BM119" s="157"/>
      <c r="BN119" s="157"/>
      <c r="BO119" s="157"/>
      <c r="BP119" s="157"/>
      <c r="BQ119" s="157"/>
      <c r="BR119" s="157"/>
      <c r="BS119" s="157"/>
      <c r="BT119" s="157"/>
      <c r="BU119" s="157"/>
      <c r="BV119" s="157"/>
      <c r="BW119" s="157"/>
      <c r="BX119" s="157"/>
      <c r="BY119" s="157"/>
    </row>
    <row r="120" spans="1:77" s="13" customFormat="1" ht="15.75" customHeight="1" x14ac:dyDescent="0.3">
      <c r="A120" s="45" t="s">
        <v>224</v>
      </c>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95"/>
      <c r="AO120" s="78" t="s">
        <v>232</v>
      </c>
      <c r="AP120" s="182"/>
      <c r="AQ120" s="62"/>
      <c r="AR120" s="62"/>
      <c r="AS120" s="62"/>
      <c r="AT120" s="178" t="s">
        <v>388</v>
      </c>
      <c r="AU120" s="157"/>
      <c r="AV120" s="157"/>
      <c r="AW120" s="157"/>
      <c r="AX120" s="157"/>
      <c r="AY120" s="157"/>
      <c r="AZ120" s="157"/>
      <c r="BA120" s="157"/>
      <c r="BB120" s="157"/>
      <c r="BC120" s="157"/>
      <c r="BD120" s="157"/>
      <c r="BE120" s="157"/>
      <c r="BF120" s="157"/>
      <c r="BG120" s="157"/>
      <c r="BH120" s="157"/>
      <c r="BI120" s="157"/>
      <c r="BJ120" s="157"/>
      <c r="BK120" s="157"/>
      <c r="BL120" s="157"/>
      <c r="BM120" s="157"/>
      <c r="BN120" s="157"/>
      <c r="BO120" s="157"/>
      <c r="BP120" s="157"/>
      <c r="BQ120" s="157"/>
      <c r="BR120" s="157"/>
      <c r="BS120" s="157"/>
      <c r="BT120" s="157"/>
      <c r="BU120" s="157"/>
      <c r="BV120" s="157"/>
      <c r="BW120" s="157"/>
      <c r="BX120" s="157"/>
      <c r="BY120" s="157"/>
    </row>
    <row r="121" spans="1:77" s="13" customFormat="1" ht="15.75" hidden="1" customHeight="1" outlineLevel="1" x14ac:dyDescent="0.3">
      <c r="A121" s="45" t="s">
        <v>543</v>
      </c>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95"/>
      <c r="AO121" s="78" t="s">
        <v>528</v>
      </c>
      <c r="AP121" s="182"/>
      <c r="AQ121" s="62"/>
      <c r="AR121" s="62"/>
      <c r="AS121" s="62"/>
      <c r="AT121" s="178" t="s">
        <v>388</v>
      </c>
      <c r="AU121" s="157"/>
      <c r="AV121" s="157"/>
      <c r="AW121" s="157"/>
      <c r="AX121" s="157"/>
      <c r="AY121" s="157"/>
      <c r="AZ121" s="157"/>
      <c r="BA121" s="157"/>
      <c r="BB121" s="157"/>
      <c r="BC121" s="157"/>
      <c r="BD121" s="157"/>
      <c r="BE121" s="157"/>
      <c r="BF121" s="157"/>
      <c r="BG121" s="157"/>
      <c r="BH121" s="157"/>
      <c r="BI121" s="157"/>
      <c r="BJ121" s="157"/>
      <c r="BK121" s="157"/>
      <c r="BL121" s="157"/>
      <c r="BM121" s="157"/>
      <c r="BN121" s="157"/>
      <c r="BO121" s="157"/>
      <c r="BP121" s="157"/>
      <c r="BQ121" s="157"/>
      <c r="BR121" s="157"/>
      <c r="BS121" s="157"/>
      <c r="BT121" s="157"/>
      <c r="BU121" s="157"/>
      <c r="BV121" s="157"/>
      <c r="BW121" s="157"/>
      <c r="BX121" s="157"/>
      <c r="BY121" s="157"/>
    </row>
    <row r="122" spans="1:77" s="13" customFormat="1" ht="15.75" hidden="1" customHeight="1" outlineLevel="1" x14ac:dyDescent="0.3">
      <c r="A122" s="45" t="s">
        <v>544</v>
      </c>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95"/>
      <c r="AO122" s="78" t="s">
        <v>529</v>
      </c>
      <c r="AP122" s="182"/>
      <c r="AQ122" s="62"/>
      <c r="AR122" s="62"/>
      <c r="AS122" s="62"/>
      <c r="AT122" s="178" t="s">
        <v>388</v>
      </c>
      <c r="AU122" s="157"/>
      <c r="AV122" s="157"/>
      <c r="AW122" s="157"/>
      <c r="AX122" s="157"/>
      <c r="AY122" s="157"/>
      <c r="AZ122" s="157"/>
      <c r="BA122" s="157"/>
      <c r="BB122" s="157"/>
      <c r="BC122" s="157"/>
      <c r="BD122" s="157"/>
      <c r="BE122" s="157"/>
      <c r="BF122" s="157"/>
      <c r="BG122" s="157"/>
      <c r="BH122" s="157"/>
      <c r="BI122" s="157"/>
      <c r="BJ122" s="157"/>
      <c r="BK122" s="157"/>
      <c r="BL122" s="157"/>
      <c r="BM122" s="157"/>
      <c r="BN122" s="157"/>
      <c r="BO122" s="157"/>
      <c r="BP122" s="157"/>
      <c r="BQ122" s="157"/>
      <c r="BR122" s="157"/>
      <c r="BS122" s="157"/>
      <c r="BT122" s="157"/>
      <c r="BU122" s="157"/>
      <c r="BV122" s="157"/>
      <c r="BW122" s="157"/>
      <c r="BX122" s="157"/>
      <c r="BY122" s="157"/>
    </row>
    <row r="123" spans="1:77" s="13" customFormat="1" ht="15.75" hidden="1" customHeight="1" outlineLevel="1" x14ac:dyDescent="0.3">
      <c r="A123" s="45" t="s">
        <v>545</v>
      </c>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95"/>
      <c r="AO123" s="78" t="s">
        <v>530</v>
      </c>
      <c r="AP123" s="182"/>
      <c r="AQ123" s="62"/>
      <c r="AR123" s="62"/>
      <c r="AS123" s="62"/>
      <c r="AT123" s="178" t="s">
        <v>388</v>
      </c>
      <c r="AU123" s="157"/>
      <c r="AV123" s="157"/>
      <c r="AW123" s="157"/>
      <c r="AX123" s="157"/>
      <c r="AY123" s="157"/>
      <c r="AZ123" s="157"/>
      <c r="BA123" s="157"/>
      <c r="BB123" s="157"/>
      <c r="BC123" s="157"/>
      <c r="BD123" s="157"/>
      <c r="BE123" s="157"/>
      <c r="BF123" s="157"/>
      <c r="BG123" s="157"/>
      <c r="BH123" s="157"/>
      <c r="BI123" s="157"/>
      <c r="BJ123" s="157"/>
      <c r="BK123" s="157"/>
      <c r="BL123" s="157"/>
      <c r="BM123" s="157"/>
      <c r="BN123" s="157"/>
      <c r="BO123" s="157"/>
      <c r="BP123" s="157"/>
      <c r="BQ123" s="157"/>
      <c r="BR123" s="157"/>
      <c r="BS123" s="157"/>
      <c r="BT123" s="157"/>
      <c r="BU123" s="157"/>
      <c r="BV123" s="157"/>
      <c r="BW123" s="157"/>
      <c r="BX123" s="157"/>
      <c r="BY123" s="157"/>
    </row>
    <row r="124" spans="1:77" s="13" customFormat="1" ht="15.75" hidden="1" customHeight="1" outlineLevel="1" x14ac:dyDescent="0.3">
      <c r="A124" s="45" t="s">
        <v>546</v>
      </c>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95"/>
      <c r="AO124" s="78" t="s">
        <v>531</v>
      </c>
      <c r="AP124" s="182"/>
      <c r="AQ124" s="62"/>
      <c r="AR124" s="62"/>
      <c r="AS124" s="62"/>
      <c r="AT124" s="178" t="s">
        <v>388</v>
      </c>
      <c r="AU124" s="157"/>
      <c r="AV124" s="157"/>
      <c r="AW124" s="157"/>
      <c r="AX124" s="157"/>
      <c r="AY124" s="157"/>
      <c r="AZ124" s="157"/>
      <c r="BA124" s="157"/>
      <c r="BB124" s="157"/>
      <c r="BC124" s="157"/>
      <c r="BD124" s="157"/>
      <c r="BE124" s="157"/>
      <c r="BF124" s="157"/>
      <c r="BG124" s="157"/>
      <c r="BH124" s="157"/>
      <c r="BI124" s="157"/>
      <c r="BJ124" s="157"/>
      <c r="BK124" s="157"/>
      <c r="BL124" s="157"/>
      <c r="BM124" s="157"/>
      <c r="BN124" s="157"/>
      <c r="BO124" s="157"/>
      <c r="BP124" s="157"/>
      <c r="BQ124" s="157"/>
      <c r="BR124" s="157"/>
      <c r="BS124" s="157"/>
      <c r="BT124" s="157"/>
      <c r="BU124" s="157"/>
      <c r="BV124" s="157"/>
      <c r="BW124" s="157"/>
      <c r="BX124" s="157"/>
      <c r="BY124" s="157"/>
    </row>
    <row r="125" spans="1:77" s="13" customFormat="1" ht="15.75" hidden="1" customHeight="1" outlineLevel="1" x14ac:dyDescent="0.3">
      <c r="A125" s="45" t="s">
        <v>547</v>
      </c>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95"/>
      <c r="AO125" s="78" t="s">
        <v>532</v>
      </c>
      <c r="AP125" s="182"/>
      <c r="AQ125" s="62"/>
      <c r="AR125" s="62"/>
      <c r="AS125" s="62"/>
      <c r="AT125" s="178" t="s">
        <v>388</v>
      </c>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7"/>
      <c r="BR125" s="157"/>
      <c r="BS125" s="157"/>
      <c r="BT125" s="157"/>
      <c r="BU125" s="157"/>
      <c r="BV125" s="157"/>
      <c r="BW125" s="157"/>
      <c r="BX125" s="157"/>
      <c r="BY125" s="157"/>
    </row>
    <row r="126" spans="1:77" s="13" customFormat="1" ht="15.75" hidden="1" customHeight="1" outlineLevel="1" x14ac:dyDescent="0.3">
      <c r="A126" s="45" t="s">
        <v>548</v>
      </c>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95"/>
      <c r="AO126" s="78" t="s">
        <v>533</v>
      </c>
      <c r="AP126" s="182"/>
      <c r="AQ126" s="62"/>
      <c r="AR126" s="62"/>
      <c r="AS126" s="62"/>
      <c r="AT126" s="178" t="s">
        <v>388</v>
      </c>
      <c r="AU126" s="157"/>
      <c r="AV126" s="15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57"/>
      <c r="BU126" s="157"/>
      <c r="BV126" s="157"/>
      <c r="BW126" s="157"/>
      <c r="BX126" s="157"/>
      <c r="BY126" s="157"/>
    </row>
    <row r="127" spans="1:77" s="13" customFormat="1" ht="15.75" hidden="1" customHeight="1" outlineLevel="1" x14ac:dyDescent="0.3">
      <c r="A127" s="45" t="s">
        <v>549</v>
      </c>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95"/>
      <c r="AO127" s="78" t="s">
        <v>534</v>
      </c>
      <c r="AP127" s="182"/>
      <c r="AQ127" s="62"/>
      <c r="AR127" s="62"/>
      <c r="AS127" s="62"/>
      <c r="AT127" s="178" t="s">
        <v>388</v>
      </c>
      <c r="AU127" s="157"/>
      <c r="AV127" s="157"/>
      <c r="AW127" s="157"/>
      <c r="AX127" s="157"/>
      <c r="AY127" s="157"/>
      <c r="AZ127" s="157"/>
      <c r="BA127" s="157"/>
      <c r="BB127" s="157"/>
      <c r="BC127" s="157"/>
      <c r="BD127" s="157"/>
      <c r="BE127" s="157"/>
      <c r="BF127" s="157"/>
      <c r="BG127" s="157"/>
      <c r="BH127" s="157"/>
      <c r="BI127" s="157"/>
      <c r="BJ127" s="157"/>
      <c r="BK127" s="157"/>
      <c r="BL127" s="157"/>
      <c r="BM127" s="157"/>
      <c r="BN127" s="157"/>
      <c r="BO127" s="157"/>
      <c r="BP127" s="157"/>
      <c r="BQ127" s="157"/>
      <c r="BR127" s="157"/>
      <c r="BS127" s="157"/>
      <c r="BT127" s="157"/>
      <c r="BU127" s="157"/>
      <c r="BV127" s="157"/>
      <c r="BW127" s="157"/>
      <c r="BX127" s="157"/>
      <c r="BY127" s="157"/>
    </row>
    <row r="128" spans="1:77" s="13" customFormat="1" ht="15.75" hidden="1" customHeight="1" outlineLevel="1" x14ac:dyDescent="0.3">
      <c r="A128" s="45" t="s">
        <v>550</v>
      </c>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95"/>
      <c r="AO128" s="78" t="s">
        <v>535</v>
      </c>
      <c r="AP128" s="182"/>
      <c r="AQ128" s="62"/>
      <c r="AR128" s="62"/>
      <c r="AS128" s="62"/>
      <c r="AT128" s="178" t="s">
        <v>388</v>
      </c>
      <c r="AU128" s="157"/>
      <c r="AV128" s="157"/>
      <c r="AW128" s="157"/>
      <c r="AX128" s="157"/>
      <c r="AY128" s="157"/>
      <c r="AZ128" s="157"/>
      <c r="BA128" s="157"/>
      <c r="BB128" s="157"/>
      <c r="BC128" s="157"/>
      <c r="BD128" s="157"/>
      <c r="BE128" s="157"/>
      <c r="BF128" s="157"/>
      <c r="BG128" s="157"/>
      <c r="BH128" s="157"/>
      <c r="BI128" s="157"/>
      <c r="BJ128" s="157"/>
      <c r="BK128" s="157"/>
      <c r="BL128" s="157"/>
      <c r="BM128" s="157"/>
      <c r="BN128" s="157"/>
      <c r="BO128" s="157"/>
      <c r="BP128" s="157"/>
      <c r="BQ128" s="157"/>
      <c r="BR128" s="157"/>
      <c r="BS128" s="157"/>
      <c r="BT128" s="157"/>
      <c r="BU128" s="157"/>
      <c r="BV128" s="157"/>
      <c r="BW128" s="157"/>
      <c r="BX128" s="157"/>
      <c r="BY128" s="157"/>
    </row>
    <row r="129" spans="1:77" s="13" customFormat="1" ht="15.75" hidden="1" customHeight="1" outlineLevel="1" x14ac:dyDescent="0.3">
      <c r="A129" s="45" t="s">
        <v>551</v>
      </c>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95"/>
      <c r="AO129" s="78" t="s">
        <v>536</v>
      </c>
      <c r="AP129" s="182"/>
      <c r="AQ129" s="62"/>
      <c r="AR129" s="62"/>
      <c r="AS129" s="62"/>
      <c r="AT129" s="178" t="s">
        <v>388</v>
      </c>
      <c r="AU129" s="157"/>
      <c r="AV129" s="157"/>
      <c r="AW129" s="157"/>
      <c r="AX129" s="157"/>
      <c r="AY129" s="157"/>
      <c r="AZ129" s="157"/>
      <c r="BA129" s="157"/>
      <c r="BB129" s="157"/>
      <c r="BC129" s="157"/>
      <c r="BD129" s="157"/>
      <c r="BE129" s="157"/>
      <c r="BF129" s="157"/>
      <c r="BG129" s="157"/>
      <c r="BH129" s="157"/>
      <c r="BI129" s="157"/>
      <c r="BJ129" s="157"/>
      <c r="BK129" s="157"/>
      <c r="BL129" s="157"/>
      <c r="BM129" s="157"/>
      <c r="BN129" s="157"/>
      <c r="BO129" s="157"/>
      <c r="BP129" s="157"/>
      <c r="BQ129" s="157"/>
      <c r="BR129" s="157"/>
      <c r="BS129" s="157"/>
      <c r="BT129" s="157"/>
      <c r="BU129" s="157"/>
      <c r="BV129" s="157"/>
      <c r="BW129" s="157"/>
      <c r="BX129" s="157"/>
      <c r="BY129" s="157"/>
    </row>
    <row r="130" spans="1:77" s="13" customFormat="1" ht="15.75" hidden="1" customHeight="1" outlineLevel="1" x14ac:dyDescent="0.3">
      <c r="A130" s="45" t="s">
        <v>552</v>
      </c>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95"/>
      <c r="AO130" s="78" t="s">
        <v>537</v>
      </c>
      <c r="AP130" s="182"/>
      <c r="AQ130" s="62"/>
      <c r="AR130" s="62"/>
      <c r="AS130" s="62"/>
      <c r="AT130" s="178" t="s">
        <v>388</v>
      </c>
      <c r="AU130" s="157"/>
      <c r="AV130" s="157"/>
      <c r="AW130" s="157"/>
      <c r="AX130" s="157"/>
      <c r="AY130" s="157"/>
      <c r="AZ130" s="157"/>
      <c r="BA130" s="157"/>
      <c r="BB130" s="157"/>
      <c r="BC130" s="157"/>
      <c r="BD130" s="157"/>
      <c r="BE130" s="157"/>
      <c r="BF130" s="157"/>
      <c r="BG130" s="157"/>
      <c r="BH130" s="157"/>
      <c r="BI130" s="157"/>
      <c r="BJ130" s="157"/>
      <c r="BK130" s="157"/>
      <c r="BL130" s="157"/>
      <c r="BM130" s="157"/>
      <c r="BN130" s="157"/>
      <c r="BO130" s="157"/>
      <c r="BP130" s="157"/>
      <c r="BQ130" s="157"/>
      <c r="BR130" s="157"/>
      <c r="BS130" s="157"/>
      <c r="BT130" s="157"/>
      <c r="BU130" s="157"/>
      <c r="BV130" s="157"/>
      <c r="BW130" s="157"/>
      <c r="BX130" s="157"/>
      <c r="BY130" s="157"/>
    </row>
    <row r="131" spans="1:77" s="13" customFormat="1" ht="15.75" hidden="1" customHeight="1" outlineLevel="1" x14ac:dyDescent="0.3">
      <c r="A131" s="45" t="s">
        <v>553</v>
      </c>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95"/>
      <c r="AO131" s="78" t="s">
        <v>538</v>
      </c>
      <c r="AP131" s="182"/>
      <c r="AQ131" s="62"/>
      <c r="AR131" s="62"/>
      <c r="AS131" s="62"/>
      <c r="AT131" s="178" t="s">
        <v>388</v>
      </c>
      <c r="AU131" s="157"/>
      <c r="AV131" s="157"/>
      <c r="AW131" s="157"/>
      <c r="AX131" s="157"/>
      <c r="AY131" s="157"/>
      <c r="AZ131" s="157"/>
      <c r="BA131" s="157"/>
      <c r="BB131" s="157"/>
      <c r="BC131" s="157"/>
      <c r="BD131" s="157"/>
      <c r="BE131" s="157"/>
      <c r="BF131" s="157"/>
      <c r="BG131" s="157"/>
      <c r="BH131" s="157"/>
      <c r="BI131" s="157"/>
      <c r="BJ131" s="157"/>
      <c r="BK131" s="157"/>
      <c r="BL131" s="157"/>
      <c r="BM131" s="157"/>
      <c r="BN131" s="157"/>
      <c r="BO131" s="157"/>
      <c r="BP131" s="157"/>
      <c r="BQ131" s="157"/>
      <c r="BR131" s="157"/>
      <c r="BS131" s="157"/>
      <c r="BT131" s="157"/>
      <c r="BU131" s="157"/>
      <c r="BV131" s="157"/>
      <c r="BW131" s="157"/>
      <c r="BX131" s="157"/>
      <c r="BY131" s="157"/>
    </row>
    <row r="132" spans="1:77" s="13" customFormat="1" ht="15.75" hidden="1" customHeight="1" outlineLevel="1" x14ac:dyDescent="0.3">
      <c r="A132" s="45" t="s">
        <v>554</v>
      </c>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95"/>
      <c r="AO132" s="78" t="s">
        <v>539</v>
      </c>
      <c r="AP132" s="182"/>
      <c r="AQ132" s="62"/>
      <c r="AR132" s="62"/>
      <c r="AS132" s="62"/>
      <c r="AT132" s="178" t="s">
        <v>388</v>
      </c>
      <c r="AU132" s="157"/>
      <c r="AV132" s="157"/>
      <c r="AW132" s="157"/>
      <c r="AX132" s="157"/>
      <c r="AY132" s="157"/>
      <c r="AZ132" s="157"/>
      <c r="BA132" s="157"/>
      <c r="BB132" s="157"/>
      <c r="BC132" s="157"/>
      <c r="BD132" s="157"/>
      <c r="BE132" s="157"/>
      <c r="BF132" s="157"/>
      <c r="BG132" s="157"/>
      <c r="BH132" s="157"/>
      <c r="BI132" s="157"/>
      <c r="BJ132" s="157"/>
      <c r="BK132" s="157"/>
      <c r="BL132" s="157"/>
      <c r="BM132" s="157"/>
      <c r="BN132" s="157"/>
      <c r="BO132" s="157"/>
      <c r="BP132" s="157"/>
      <c r="BQ132" s="157"/>
      <c r="BR132" s="157"/>
      <c r="BS132" s="157"/>
      <c r="BT132" s="157"/>
      <c r="BU132" s="157"/>
      <c r="BV132" s="157"/>
      <c r="BW132" s="157"/>
      <c r="BX132" s="157"/>
      <c r="BY132" s="157"/>
    </row>
    <row r="133" spans="1:77" s="13" customFormat="1" ht="15.75" hidden="1" customHeight="1" outlineLevel="1" x14ac:dyDescent="0.3">
      <c r="A133" s="45" t="s">
        <v>555</v>
      </c>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95"/>
      <c r="AO133" s="78" t="s">
        <v>540</v>
      </c>
      <c r="AP133" s="182"/>
      <c r="AQ133" s="62"/>
      <c r="AR133" s="62"/>
      <c r="AS133" s="62"/>
      <c r="AT133" s="178" t="s">
        <v>388</v>
      </c>
      <c r="AU133" s="157"/>
      <c r="AV133" s="157"/>
      <c r="AW133" s="157"/>
      <c r="AX133" s="157"/>
      <c r="AY133" s="157"/>
      <c r="AZ133" s="157"/>
      <c r="BA133" s="157"/>
      <c r="BB133" s="157"/>
      <c r="BC133" s="157"/>
      <c r="BD133" s="157"/>
      <c r="BE133" s="157"/>
      <c r="BF133" s="157"/>
      <c r="BG133" s="157"/>
      <c r="BH133" s="157"/>
      <c r="BI133" s="157"/>
      <c r="BJ133" s="157"/>
      <c r="BK133" s="157"/>
      <c r="BL133" s="157"/>
      <c r="BM133" s="157"/>
      <c r="BN133" s="157"/>
      <c r="BO133" s="157"/>
      <c r="BP133" s="157"/>
      <c r="BQ133" s="157"/>
      <c r="BR133" s="157"/>
      <c r="BS133" s="157"/>
      <c r="BT133" s="157"/>
      <c r="BU133" s="157"/>
      <c r="BV133" s="157"/>
      <c r="BW133" s="157"/>
      <c r="BX133" s="157"/>
      <c r="BY133" s="157"/>
    </row>
    <row r="134" spans="1:77" s="13" customFormat="1" ht="15.75" hidden="1" customHeight="1" outlineLevel="1" x14ac:dyDescent="0.3">
      <c r="A134" s="45" t="s">
        <v>556</v>
      </c>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95"/>
      <c r="AO134" s="78" t="s">
        <v>541</v>
      </c>
      <c r="AP134" s="182"/>
      <c r="AQ134" s="62"/>
      <c r="AR134" s="62"/>
      <c r="AS134" s="62"/>
      <c r="AT134" s="178" t="s">
        <v>388</v>
      </c>
      <c r="AU134" s="157"/>
      <c r="AV134" s="157"/>
      <c r="AW134" s="157"/>
      <c r="AX134" s="157"/>
      <c r="AY134" s="157"/>
      <c r="AZ134" s="157"/>
      <c r="BA134" s="157"/>
      <c r="BB134" s="157"/>
      <c r="BC134" s="157"/>
      <c r="BD134" s="157"/>
      <c r="BE134" s="157"/>
      <c r="BF134" s="157"/>
      <c r="BG134" s="157"/>
      <c r="BH134" s="157"/>
      <c r="BI134" s="157"/>
      <c r="BJ134" s="157"/>
      <c r="BK134" s="157"/>
      <c r="BL134" s="157"/>
      <c r="BM134" s="157"/>
      <c r="BN134" s="157"/>
      <c r="BO134" s="157"/>
      <c r="BP134" s="157"/>
      <c r="BQ134" s="157"/>
      <c r="BR134" s="157"/>
      <c r="BS134" s="157"/>
      <c r="BT134" s="157"/>
      <c r="BU134" s="157"/>
      <c r="BV134" s="157"/>
      <c r="BW134" s="157"/>
      <c r="BX134" s="157"/>
      <c r="BY134" s="157"/>
    </row>
    <row r="135" spans="1:77" s="13" customFormat="1" ht="15.75" hidden="1" customHeight="1" outlineLevel="1" x14ac:dyDescent="0.3">
      <c r="A135" s="45" t="s">
        <v>557</v>
      </c>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95"/>
      <c r="AO135" s="78" t="s">
        <v>542</v>
      </c>
      <c r="AP135" s="182"/>
      <c r="AQ135" s="62"/>
      <c r="AR135" s="62"/>
      <c r="AS135" s="62"/>
      <c r="AT135" s="178" t="s">
        <v>388</v>
      </c>
      <c r="AU135" s="157"/>
      <c r="AV135" s="157"/>
      <c r="AW135" s="157"/>
      <c r="AX135" s="157"/>
      <c r="AY135" s="157"/>
      <c r="AZ135" s="157"/>
      <c r="BA135" s="157"/>
      <c r="BB135" s="157"/>
      <c r="BC135" s="157"/>
      <c r="BD135" s="157"/>
      <c r="BE135" s="157"/>
      <c r="BF135" s="157"/>
      <c r="BG135" s="157"/>
      <c r="BH135" s="157"/>
      <c r="BI135" s="157"/>
      <c r="BJ135" s="157"/>
      <c r="BK135" s="157"/>
      <c r="BL135" s="157"/>
      <c r="BM135" s="157"/>
      <c r="BN135" s="157"/>
      <c r="BO135" s="157"/>
      <c r="BP135" s="157"/>
      <c r="BQ135" s="157"/>
      <c r="BR135" s="157"/>
      <c r="BS135" s="157"/>
      <c r="BT135" s="157"/>
      <c r="BU135" s="157"/>
      <c r="BV135" s="157"/>
      <c r="BW135" s="157"/>
      <c r="BX135" s="157"/>
      <c r="BY135" s="157"/>
    </row>
    <row r="136" spans="1:77" s="13" customFormat="1" ht="4.5" hidden="1" customHeight="1" outlineLevel="1" x14ac:dyDescent="0.3">
      <c r="A136" s="45" t="s">
        <v>225</v>
      </c>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95"/>
      <c r="AO136" s="27"/>
      <c r="AP136" s="27"/>
      <c r="AQ136" s="27"/>
      <c r="AR136" s="27"/>
      <c r="AS136" s="27"/>
      <c r="AT136" s="27"/>
      <c r="AU136" s="77"/>
      <c r="AV136" s="77"/>
      <c r="AW136" s="77"/>
      <c r="AX136" s="77"/>
      <c r="AY136" s="77"/>
      <c r="AZ136" s="77"/>
      <c r="BA136" s="77"/>
      <c r="BB136" s="77"/>
      <c r="BC136" s="77"/>
      <c r="BD136" s="77"/>
      <c r="BE136" s="77"/>
      <c r="BF136" s="77"/>
      <c r="BG136" s="77"/>
      <c r="BH136" s="77"/>
      <c r="BI136" s="77"/>
      <c r="BJ136" s="77"/>
      <c r="BK136" s="77"/>
      <c r="BL136" s="77"/>
      <c r="BM136" s="77"/>
      <c r="BN136" s="77"/>
      <c r="BO136" s="77"/>
      <c r="BP136" s="77"/>
      <c r="BQ136" s="77"/>
      <c r="BR136" s="77"/>
      <c r="BS136" s="77"/>
      <c r="BT136" s="77"/>
      <c r="BU136" s="77"/>
      <c r="BV136" s="77"/>
      <c r="BW136" s="77"/>
      <c r="BX136" s="77"/>
      <c r="BY136" s="77"/>
    </row>
    <row r="137" spans="1:77" s="13" customFormat="1" ht="15.75" customHeight="1" collapsed="1" x14ac:dyDescent="0.3">
      <c r="A137" s="45" t="s">
        <v>226</v>
      </c>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95"/>
      <c r="AO137" s="153" t="str">
        <f>INDEX(g_lang_val,MATCH("le_2_2",g_lang_key,0))</f>
        <v xml:space="preserve">Total </v>
      </c>
      <c r="AP137" s="154"/>
      <c r="AQ137" s="154"/>
      <c r="AR137" s="154"/>
      <c r="AS137" s="154"/>
      <c r="AT137" s="154"/>
      <c r="AU137" s="196">
        <f t="shared" ref="AU137" ca="1" si="65">IF(AU111="","",SUM(AU115:AU136))</f>
        <v>0</v>
      </c>
      <c r="AV137" s="196">
        <f t="shared" ref="AV137:BY137" ca="1" si="66">IF(AV111="","",SUM(AV115:AV136))</f>
        <v>0</v>
      </c>
      <c r="AW137" s="196">
        <f t="shared" ca="1" si="66"/>
        <v>0</v>
      </c>
      <c r="AX137" s="196">
        <f t="shared" ca="1" si="66"/>
        <v>0</v>
      </c>
      <c r="AY137" s="196" t="str">
        <f t="shared" ca="1" si="66"/>
        <v/>
      </c>
      <c r="AZ137" s="196" t="str">
        <f t="shared" ca="1" si="66"/>
        <v/>
      </c>
      <c r="BA137" s="196" t="str">
        <f t="shared" ca="1" si="66"/>
        <v/>
      </c>
      <c r="BB137" s="196" t="str">
        <f t="shared" ca="1" si="66"/>
        <v/>
      </c>
      <c r="BC137" s="196" t="str">
        <f t="shared" ca="1" si="66"/>
        <v/>
      </c>
      <c r="BD137" s="196" t="str">
        <f t="shared" ca="1" si="66"/>
        <v/>
      </c>
      <c r="BE137" s="196" t="str">
        <f t="shared" ca="1" si="66"/>
        <v/>
      </c>
      <c r="BF137" s="196" t="str">
        <f t="shared" ca="1" si="66"/>
        <v/>
      </c>
      <c r="BG137" s="196" t="str">
        <f t="shared" ca="1" si="66"/>
        <v/>
      </c>
      <c r="BH137" s="196" t="str">
        <f t="shared" ca="1" si="66"/>
        <v/>
      </c>
      <c r="BI137" s="196" t="str">
        <f t="shared" ca="1" si="66"/>
        <v/>
      </c>
      <c r="BJ137" s="196" t="str">
        <f t="shared" ca="1" si="66"/>
        <v/>
      </c>
      <c r="BK137" s="196" t="str">
        <f t="shared" ca="1" si="66"/>
        <v/>
      </c>
      <c r="BL137" s="196" t="str">
        <f t="shared" ca="1" si="66"/>
        <v/>
      </c>
      <c r="BM137" s="196" t="str">
        <f t="shared" ca="1" si="66"/>
        <v/>
      </c>
      <c r="BN137" s="196" t="str">
        <f t="shared" ca="1" si="66"/>
        <v/>
      </c>
      <c r="BO137" s="196" t="str">
        <f t="shared" ca="1" si="66"/>
        <v/>
      </c>
      <c r="BP137" s="196" t="str">
        <f t="shared" ca="1" si="66"/>
        <v/>
      </c>
      <c r="BQ137" s="196" t="str">
        <f t="shared" ca="1" si="66"/>
        <v/>
      </c>
      <c r="BR137" s="196" t="str">
        <f t="shared" ca="1" si="66"/>
        <v/>
      </c>
      <c r="BS137" s="196" t="str">
        <f t="shared" ca="1" si="66"/>
        <v/>
      </c>
      <c r="BT137" s="196" t="str">
        <f t="shared" ca="1" si="66"/>
        <v/>
      </c>
      <c r="BU137" s="196" t="str">
        <f t="shared" ca="1" si="66"/>
        <v/>
      </c>
      <c r="BV137" s="196" t="str">
        <f t="shared" ca="1" si="66"/>
        <v/>
      </c>
      <c r="BW137" s="196" t="str">
        <f t="shared" ca="1" si="66"/>
        <v/>
      </c>
      <c r="BX137" s="196" t="str">
        <f t="shared" ca="1" si="66"/>
        <v/>
      </c>
      <c r="BY137" s="196" t="str">
        <f t="shared" ca="1" si="66"/>
        <v/>
      </c>
    </row>
    <row r="138" spans="1:77" s="13" customFormat="1" ht="4.5" customHeight="1" x14ac:dyDescent="0.3">
      <c r="A138" s="45" t="s">
        <v>227</v>
      </c>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95"/>
      <c r="AO138" s="27"/>
      <c r="AP138" s="27"/>
      <c r="AQ138" s="27"/>
      <c r="AR138" s="27"/>
      <c r="AS138" s="27"/>
      <c r="AT138" s="27"/>
      <c r="AU138" s="77"/>
      <c r="AV138" s="77"/>
      <c r="AW138" s="77"/>
      <c r="AX138" s="77"/>
      <c r="AY138" s="77"/>
      <c r="AZ138" s="77"/>
      <c r="BA138" s="77"/>
      <c r="BB138" s="77"/>
      <c r="BC138" s="77"/>
      <c r="BD138" s="77"/>
      <c r="BE138" s="77"/>
      <c r="BF138" s="77"/>
      <c r="BG138" s="77"/>
      <c r="BH138" s="77"/>
      <c r="BI138" s="77"/>
      <c r="BJ138" s="77"/>
      <c r="BK138" s="77"/>
      <c r="BL138" s="77"/>
      <c r="BM138" s="77"/>
      <c r="BN138" s="77"/>
      <c r="BO138" s="77"/>
      <c r="BP138" s="77"/>
      <c r="BQ138" s="77"/>
      <c r="BR138" s="77"/>
      <c r="BS138" s="77"/>
      <c r="BT138" s="77"/>
      <c r="BU138" s="77"/>
      <c r="BV138" s="77"/>
      <c r="BW138" s="77"/>
      <c r="BX138" s="77"/>
      <c r="BY138" s="77"/>
    </row>
    <row r="139" spans="1:77" ht="4.5" customHeight="1" x14ac:dyDescent="0.3">
      <c r="A139" s="45" t="s">
        <v>203</v>
      </c>
      <c r="AN139" s="195"/>
      <c r="AO139" s="24"/>
      <c r="AP139" s="24"/>
      <c r="AQ139" s="24"/>
      <c r="AR139" s="24"/>
      <c r="AS139" s="24"/>
      <c r="AT139" s="24"/>
      <c r="AU139" s="35"/>
      <c r="AV139" s="35"/>
      <c r="AW139" s="35"/>
      <c r="AX139" s="35"/>
      <c r="AY139" s="35"/>
      <c r="AZ139" s="35"/>
      <c r="BA139" s="35"/>
      <c r="BB139" s="35"/>
      <c r="BC139" s="35"/>
      <c r="BD139" s="35"/>
      <c r="BE139" s="35"/>
      <c r="BF139" s="35"/>
      <c r="BG139" s="35"/>
      <c r="BH139" s="35"/>
      <c r="BI139" s="35"/>
      <c r="BJ139" s="35"/>
      <c r="BK139" s="35"/>
      <c r="BL139" s="35"/>
      <c r="BM139" s="35"/>
      <c r="BN139" s="35"/>
      <c r="BO139" s="35"/>
      <c r="BP139" s="35"/>
      <c r="BQ139" s="35"/>
      <c r="BR139" s="35"/>
      <c r="BS139" s="35"/>
      <c r="BT139" s="35"/>
      <c r="BU139" s="35"/>
      <c r="BV139" s="35"/>
      <c r="BW139" s="35"/>
      <c r="BX139" s="35"/>
      <c r="BY139" s="35"/>
    </row>
    <row r="140" spans="1:77" ht="4.5" customHeight="1" x14ac:dyDescent="0.3">
      <c r="A140" s="45" t="s">
        <v>204</v>
      </c>
      <c r="AN140" s="195"/>
      <c r="AO140" s="249"/>
      <c r="AP140" s="249"/>
      <c r="AQ140" s="249"/>
      <c r="AR140" s="249"/>
      <c r="AS140" s="249"/>
      <c r="AT140" s="250"/>
      <c r="AU140" s="192"/>
      <c r="AV140" s="224"/>
      <c r="AW140" s="224"/>
      <c r="AX140" s="224"/>
      <c r="AY140" s="224"/>
      <c r="AZ140" s="224"/>
      <c r="BA140" s="224"/>
      <c r="BB140" s="224"/>
      <c r="BC140" s="224"/>
      <c r="BD140" s="224"/>
      <c r="BE140" s="224"/>
      <c r="BF140" s="224"/>
      <c r="BG140" s="224"/>
      <c r="BH140" s="224"/>
      <c r="BI140" s="224"/>
      <c r="BJ140" s="224"/>
      <c r="BK140" s="224"/>
      <c r="BL140" s="224"/>
      <c r="BM140" s="224"/>
      <c r="BN140" s="224"/>
      <c r="BO140" s="224"/>
      <c r="BP140" s="224"/>
      <c r="BQ140" s="224"/>
      <c r="BR140" s="224"/>
      <c r="BS140" s="224"/>
      <c r="BT140" s="224"/>
      <c r="BU140" s="224"/>
      <c r="BV140" s="224"/>
      <c r="BW140" s="224"/>
      <c r="BX140" s="224"/>
      <c r="BY140" s="224"/>
    </row>
    <row r="141" spans="1:77" ht="15.5" x14ac:dyDescent="0.3">
      <c r="A141" s="45" t="s">
        <v>205</v>
      </c>
      <c r="AN141" s="195"/>
      <c r="AO141" s="249" t="str">
        <f>INDEX(g_lang_val,MATCH("so_4_1_1",g_lang_key,0))</f>
        <v>Indtastningsår</v>
      </c>
      <c r="AP141" s="249"/>
      <c r="AQ141" s="249"/>
      <c r="AR141" s="249"/>
      <c r="AS141" s="249"/>
      <c r="AT141" s="249"/>
      <c r="AU141" s="183">
        <f>Stamoplysninger!$L$95</f>
        <v>2025</v>
      </c>
      <c r="AV141" s="183">
        <v>2025</v>
      </c>
      <c r="AW141" s="183">
        <f>Stamoplysninger!$L$95</f>
        <v>2025</v>
      </c>
      <c r="AX141" s="183">
        <f>Stamoplysninger!$L$95</f>
        <v>2025</v>
      </c>
      <c r="AY141" s="183">
        <f>Stamoplysninger!$L$95</f>
        <v>2025</v>
      </c>
      <c r="AZ141" s="183">
        <f>Stamoplysninger!$L$95</f>
        <v>2025</v>
      </c>
      <c r="BA141" s="183">
        <f>Stamoplysninger!$L$95</f>
        <v>2025</v>
      </c>
      <c r="BB141" s="183">
        <f>Stamoplysninger!$L$95</f>
        <v>2025</v>
      </c>
      <c r="BC141" s="183">
        <f>Stamoplysninger!$L$95</f>
        <v>2025</v>
      </c>
      <c r="BD141" s="183">
        <f>Stamoplysninger!$L$95</f>
        <v>2025</v>
      </c>
      <c r="BE141" s="183">
        <f>Stamoplysninger!$L$95</f>
        <v>2025</v>
      </c>
      <c r="BF141" s="183">
        <f>Stamoplysninger!$L$95</f>
        <v>2025</v>
      </c>
      <c r="BG141" s="183">
        <f>Stamoplysninger!$L$95</f>
        <v>2025</v>
      </c>
      <c r="BH141" s="183">
        <f>Stamoplysninger!$L$95</f>
        <v>2025</v>
      </c>
      <c r="BI141" s="183">
        <f>Stamoplysninger!$L$95</f>
        <v>2025</v>
      </c>
      <c r="BJ141" s="183">
        <f>Stamoplysninger!$L$95</f>
        <v>2025</v>
      </c>
      <c r="BK141" s="183">
        <f>Stamoplysninger!$L$95</f>
        <v>2025</v>
      </c>
      <c r="BL141" s="183">
        <f>Stamoplysninger!$L$95</f>
        <v>2025</v>
      </c>
      <c r="BM141" s="183">
        <f>Stamoplysninger!$L$95</f>
        <v>2025</v>
      </c>
      <c r="BN141" s="183">
        <f>Stamoplysninger!$L$95</f>
        <v>2025</v>
      </c>
      <c r="BO141" s="183">
        <f>Stamoplysninger!$L$95</f>
        <v>2025</v>
      </c>
      <c r="BP141" s="183">
        <f>Stamoplysninger!$L$95</f>
        <v>2025</v>
      </c>
      <c r="BQ141" s="183">
        <f>Stamoplysninger!$L$95</f>
        <v>2025</v>
      </c>
      <c r="BR141" s="183">
        <f>Stamoplysninger!$L$95</f>
        <v>2025</v>
      </c>
      <c r="BS141" s="183">
        <f>Stamoplysninger!$L$95</f>
        <v>2025</v>
      </c>
      <c r="BT141" s="183">
        <f>Stamoplysninger!$L$95</f>
        <v>2025</v>
      </c>
      <c r="BU141" s="183">
        <f>Stamoplysninger!$L$95</f>
        <v>2025</v>
      </c>
      <c r="BV141" s="183">
        <f>Stamoplysninger!$L$95</f>
        <v>2025</v>
      </c>
      <c r="BW141" s="183">
        <f>Stamoplysninger!$L$95</f>
        <v>2025</v>
      </c>
      <c r="BX141" s="183">
        <f>Stamoplysninger!$L$95</f>
        <v>2025</v>
      </c>
      <c r="BY141" s="183">
        <f>Stamoplysninger!$L$95</f>
        <v>2025</v>
      </c>
    </row>
    <row r="142" spans="1:77" ht="4.5" customHeight="1" x14ac:dyDescent="0.3">
      <c r="A142" s="45" t="s">
        <v>206</v>
      </c>
      <c r="AN142" s="195"/>
      <c r="AO142" s="251"/>
      <c r="AP142" s="251"/>
      <c r="AQ142" s="251"/>
      <c r="AR142" s="251"/>
      <c r="AS142" s="251"/>
      <c r="AT142" s="252"/>
      <c r="AU142" s="203">
        <f t="shared" ref="AU142" ca="1" si="67">IF(AU$111="","",IF(INDEX(AU140:AU142,2,1)&lt;&gt;0,INDEX(AU140:AU142,2,1),g_pl_year))</f>
        <v>2025</v>
      </c>
      <c r="AV142" s="203">
        <f t="shared" ref="AV142:BY142" ca="1" si="68">IF(AV$111="","",IF(INDEX(AV140:AV142,2,1)&lt;&gt;0,INDEX(AV140:AV142,2,1),g_pl_year))</f>
        <v>2025</v>
      </c>
      <c r="AW142" s="203">
        <f t="shared" ca="1" si="68"/>
        <v>2025</v>
      </c>
      <c r="AX142" s="203">
        <f t="shared" ca="1" si="68"/>
        <v>2025</v>
      </c>
      <c r="AY142" s="203" t="str">
        <f t="shared" ca="1" si="68"/>
        <v/>
      </c>
      <c r="AZ142" s="203" t="str">
        <f t="shared" ca="1" si="68"/>
        <v/>
      </c>
      <c r="BA142" s="203" t="str">
        <f t="shared" ca="1" si="68"/>
        <v/>
      </c>
      <c r="BB142" s="203" t="str">
        <f t="shared" ca="1" si="68"/>
        <v/>
      </c>
      <c r="BC142" s="203" t="str">
        <f t="shared" ca="1" si="68"/>
        <v/>
      </c>
      <c r="BD142" s="203" t="str">
        <f t="shared" ca="1" si="68"/>
        <v/>
      </c>
      <c r="BE142" s="203" t="str">
        <f t="shared" ca="1" si="68"/>
        <v/>
      </c>
      <c r="BF142" s="203" t="str">
        <f t="shared" ca="1" si="68"/>
        <v/>
      </c>
      <c r="BG142" s="203" t="str">
        <f t="shared" ca="1" si="68"/>
        <v/>
      </c>
      <c r="BH142" s="203" t="str">
        <f t="shared" ca="1" si="68"/>
        <v/>
      </c>
      <c r="BI142" s="203" t="str">
        <f t="shared" ca="1" si="68"/>
        <v/>
      </c>
      <c r="BJ142" s="203" t="str">
        <f t="shared" ca="1" si="68"/>
        <v/>
      </c>
      <c r="BK142" s="203" t="str">
        <f t="shared" ca="1" si="68"/>
        <v/>
      </c>
      <c r="BL142" s="203" t="str">
        <f t="shared" ca="1" si="68"/>
        <v/>
      </c>
      <c r="BM142" s="203" t="str">
        <f t="shared" ca="1" si="68"/>
        <v/>
      </c>
      <c r="BN142" s="203" t="str">
        <f t="shared" ca="1" si="68"/>
        <v/>
      </c>
      <c r="BO142" s="203" t="str">
        <f t="shared" ca="1" si="68"/>
        <v/>
      </c>
      <c r="BP142" s="203" t="str">
        <f t="shared" ca="1" si="68"/>
        <v/>
      </c>
      <c r="BQ142" s="203" t="str">
        <f t="shared" ca="1" si="68"/>
        <v/>
      </c>
      <c r="BR142" s="203" t="str">
        <f t="shared" ca="1" si="68"/>
        <v/>
      </c>
      <c r="BS142" s="203" t="str">
        <f t="shared" ca="1" si="68"/>
        <v/>
      </c>
      <c r="BT142" s="203" t="str">
        <f t="shared" ca="1" si="68"/>
        <v/>
      </c>
      <c r="BU142" s="203" t="str">
        <f t="shared" ca="1" si="68"/>
        <v/>
      </c>
      <c r="BV142" s="203" t="str">
        <f t="shared" ca="1" si="68"/>
        <v/>
      </c>
      <c r="BW142" s="203" t="str">
        <f t="shared" ca="1" si="68"/>
        <v/>
      </c>
      <c r="BX142" s="203" t="str">
        <f t="shared" ca="1" si="68"/>
        <v/>
      </c>
      <c r="BY142" s="203" t="str">
        <f t="shared" ca="1" si="68"/>
        <v/>
      </c>
    </row>
    <row r="143" spans="1:77" s="40" customFormat="1" ht="21" customHeight="1" x14ac:dyDescent="0.3">
      <c r="A143" s="39" t="s">
        <v>207</v>
      </c>
      <c r="AK143" s="12"/>
      <c r="AN143" s="195"/>
      <c r="AO143" s="41"/>
      <c r="AP143" s="42"/>
      <c r="AQ143" s="42"/>
      <c r="AR143" s="42"/>
      <c r="AS143" s="42"/>
      <c r="AT143" s="143" t="str">
        <f>INDEX(g_lang_val,MATCH("le_2_3",g_lang_key,0))</f>
        <v>pl-faktor:</v>
      </c>
      <c r="AU143" s="177">
        <f t="shared" ref="AU143" ca="1" si="69">IF(AU$111="","",INDEX(g_pl_factors,(g_reporting_year-g_pl_years_start)*(g_pl_years_end-g_pl_years_start+1)+(AU142-g_pl_years_start+1)))</f>
        <v>1</v>
      </c>
      <c r="AV143" s="177">
        <f t="shared" ref="AV143:BY143" ca="1" si="70">IF(AV$111="","",INDEX(g_pl_factors,(g_reporting_year-g_pl_years_start)*(g_pl_years_end-g_pl_years_start+1)+(AV142-g_pl_years_start+1)))</f>
        <v>1</v>
      </c>
      <c r="AW143" s="177">
        <f t="shared" ca="1" si="70"/>
        <v>1</v>
      </c>
      <c r="AX143" s="177">
        <f t="shared" ca="1" si="70"/>
        <v>1</v>
      </c>
      <c r="AY143" s="177" t="str">
        <f t="shared" ca="1" si="70"/>
        <v/>
      </c>
      <c r="AZ143" s="177" t="str">
        <f t="shared" ca="1" si="70"/>
        <v/>
      </c>
      <c r="BA143" s="177" t="str">
        <f t="shared" ca="1" si="70"/>
        <v/>
      </c>
      <c r="BB143" s="177" t="str">
        <f t="shared" ca="1" si="70"/>
        <v/>
      </c>
      <c r="BC143" s="177" t="str">
        <f t="shared" ca="1" si="70"/>
        <v/>
      </c>
      <c r="BD143" s="177" t="str">
        <f t="shared" ca="1" si="70"/>
        <v/>
      </c>
      <c r="BE143" s="177" t="str">
        <f t="shared" ca="1" si="70"/>
        <v/>
      </c>
      <c r="BF143" s="177" t="str">
        <f t="shared" ca="1" si="70"/>
        <v/>
      </c>
      <c r="BG143" s="177" t="str">
        <f t="shared" ca="1" si="70"/>
        <v/>
      </c>
      <c r="BH143" s="177" t="str">
        <f t="shared" ca="1" si="70"/>
        <v/>
      </c>
      <c r="BI143" s="177" t="str">
        <f t="shared" ca="1" si="70"/>
        <v/>
      </c>
      <c r="BJ143" s="177" t="str">
        <f t="shared" ca="1" si="70"/>
        <v/>
      </c>
      <c r="BK143" s="177" t="str">
        <f t="shared" ca="1" si="70"/>
        <v/>
      </c>
      <c r="BL143" s="177" t="str">
        <f t="shared" ca="1" si="70"/>
        <v/>
      </c>
      <c r="BM143" s="177" t="str">
        <f t="shared" ca="1" si="70"/>
        <v/>
      </c>
      <c r="BN143" s="177" t="str">
        <f t="shared" ca="1" si="70"/>
        <v/>
      </c>
      <c r="BO143" s="177" t="str">
        <f t="shared" ca="1" si="70"/>
        <v/>
      </c>
      <c r="BP143" s="177" t="str">
        <f t="shared" ca="1" si="70"/>
        <v/>
      </c>
      <c r="BQ143" s="177" t="str">
        <f t="shared" ca="1" si="70"/>
        <v/>
      </c>
      <c r="BR143" s="177" t="str">
        <f t="shared" ca="1" si="70"/>
        <v/>
      </c>
      <c r="BS143" s="177" t="str">
        <f t="shared" ca="1" si="70"/>
        <v/>
      </c>
      <c r="BT143" s="177" t="str">
        <f t="shared" ca="1" si="70"/>
        <v/>
      </c>
      <c r="BU143" s="177" t="str">
        <f t="shared" ca="1" si="70"/>
        <v/>
      </c>
      <c r="BV143" s="177" t="str">
        <f t="shared" ca="1" si="70"/>
        <v/>
      </c>
      <c r="BW143" s="177" t="str">
        <f t="shared" ca="1" si="70"/>
        <v/>
      </c>
      <c r="BX143" s="177" t="str">
        <f t="shared" ca="1" si="70"/>
        <v/>
      </c>
      <c r="BY143" s="177" t="str">
        <f t="shared" ca="1" si="70"/>
        <v/>
      </c>
    </row>
    <row r="144" spans="1:77" ht="15.75" customHeight="1" x14ac:dyDescent="0.3">
      <c r="A144" s="45" t="s">
        <v>208</v>
      </c>
      <c r="AN144" s="195"/>
      <c r="AO144" s="153" t="str">
        <f>INDEX(g_lang_val,MATCH("le_2_2",g_lang_key,0))&amp;INDEX(g_lang_val,MATCH("le_2_6_1",g_lang_key,0))</f>
        <v xml:space="preserve">Total pl-justeret </v>
      </c>
      <c r="AP144" s="88"/>
      <c r="AQ144" s="88"/>
      <c r="AR144" s="88"/>
      <c r="AS144" s="88"/>
      <c r="AT144" s="88"/>
      <c r="AU144" s="196">
        <f ca="1">IF(AU$111="","",AU137*AU143)</f>
        <v>0</v>
      </c>
      <c r="AV144" s="196">
        <f t="shared" ref="AV144:BY144" ca="1" si="71">IF(AV$111="","",AV137*AV143)</f>
        <v>0</v>
      </c>
      <c r="AW144" s="196">
        <f t="shared" ca="1" si="71"/>
        <v>0</v>
      </c>
      <c r="AX144" s="196">
        <f t="shared" ca="1" si="71"/>
        <v>0</v>
      </c>
      <c r="AY144" s="196" t="str">
        <f t="shared" ca="1" si="71"/>
        <v/>
      </c>
      <c r="AZ144" s="196" t="str">
        <f t="shared" ca="1" si="71"/>
        <v/>
      </c>
      <c r="BA144" s="196" t="str">
        <f t="shared" ca="1" si="71"/>
        <v/>
      </c>
      <c r="BB144" s="196" t="str">
        <f t="shared" ca="1" si="71"/>
        <v/>
      </c>
      <c r="BC144" s="196" t="str">
        <f t="shared" ca="1" si="71"/>
        <v/>
      </c>
      <c r="BD144" s="196" t="str">
        <f t="shared" ca="1" si="71"/>
        <v/>
      </c>
      <c r="BE144" s="196" t="str">
        <f t="shared" ca="1" si="71"/>
        <v/>
      </c>
      <c r="BF144" s="196" t="str">
        <f t="shared" ca="1" si="71"/>
        <v/>
      </c>
      <c r="BG144" s="196" t="str">
        <f t="shared" ca="1" si="71"/>
        <v/>
      </c>
      <c r="BH144" s="196" t="str">
        <f t="shared" ca="1" si="71"/>
        <v/>
      </c>
      <c r="BI144" s="196" t="str">
        <f t="shared" ca="1" si="71"/>
        <v/>
      </c>
      <c r="BJ144" s="196" t="str">
        <f t="shared" ca="1" si="71"/>
        <v/>
      </c>
      <c r="BK144" s="196" t="str">
        <f t="shared" ca="1" si="71"/>
        <v/>
      </c>
      <c r="BL144" s="196" t="str">
        <f t="shared" ca="1" si="71"/>
        <v/>
      </c>
      <c r="BM144" s="196" t="str">
        <f t="shared" ca="1" si="71"/>
        <v/>
      </c>
      <c r="BN144" s="196" t="str">
        <f t="shared" ca="1" si="71"/>
        <v/>
      </c>
      <c r="BO144" s="196" t="str">
        <f t="shared" ca="1" si="71"/>
        <v/>
      </c>
      <c r="BP144" s="196" t="str">
        <f t="shared" ca="1" si="71"/>
        <v/>
      </c>
      <c r="BQ144" s="196" t="str">
        <f t="shared" ca="1" si="71"/>
        <v/>
      </c>
      <c r="BR144" s="196" t="str">
        <f t="shared" ca="1" si="71"/>
        <v/>
      </c>
      <c r="BS144" s="196" t="str">
        <f t="shared" ca="1" si="71"/>
        <v/>
      </c>
      <c r="BT144" s="196" t="str">
        <f t="shared" ca="1" si="71"/>
        <v/>
      </c>
      <c r="BU144" s="196" t="str">
        <f t="shared" ca="1" si="71"/>
        <v/>
      </c>
      <c r="BV144" s="196" t="str">
        <f t="shared" ca="1" si="71"/>
        <v/>
      </c>
      <c r="BW144" s="196" t="str">
        <f t="shared" ca="1" si="71"/>
        <v/>
      </c>
      <c r="BX144" s="196" t="str">
        <f t="shared" ca="1" si="71"/>
        <v/>
      </c>
      <c r="BY144" s="196" t="str">
        <f t="shared" ca="1" si="71"/>
        <v/>
      </c>
    </row>
    <row r="145" spans="1:77" ht="4.5" customHeight="1" x14ac:dyDescent="0.3">
      <c r="A145" s="45" t="s">
        <v>209</v>
      </c>
      <c r="AN145" s="195"/>
      <c r="AO145" s="27"/>
      <c r="AP145" s="27"/>
      <c r="AQ145" s="27"/>
      <c r="AR145" s="27"/>
      <c r="AS145" s="27"/>
      <c r="AT145" s="27"/>
      <c r="AU145" s="77"/>
      <c r="AV145" s="77"/>
      <c r="AW145" s="77"/>
      <c r="AX145" s="77"/>
      <c r="AY145" s="77"/>
      <c r="AZ145" s="77"/>
      <c r="BA145" s="77"/>
      <c r="BB145" s="77"/>
      <c r="BC145" s="77"/>
      <c r="BD145" s="77"/>
      <c r="BE145" s="77"/>
      <c r="BF145" s="77"/>
      <c r="BG145" s="77"/>
      <c r="BH145" s="77"/>
      <c r="BI145" s="77"/>
      <c r="BJ145" s="77"/>
      <c r="BK145" s="77"/>
      <c r="BL145" s="77"/>
      <c r="BM145" s="77"/>
      <c r="BN145" s="77"/>
      <c r="BO145" s="77"/>
      <c r="BP145" s="77"/>
      <c r="BQ145" s="77"/>
      <c r="BR145" s="77"/>
      <c r="BS145" s="77"/>
      <c r="BT145" s="77"/>
      <c r="BU145" s="77"/>
      <c r="BV145" s="77"/>
      <c r="BW145" s="77"/>
      <c r="BX145" s="77"/>
      <c r="BY145" s="77"/>
    </row>
    <row r="146" spans="1:77" ht="4.5" customHeight="1" x14ac:dyDescent="0.3">
      <c r="A146" s="45" t="s">
        <v>210</v>
      </c>
      <c r="AN146" s="195"/>
      <c r="AO146" s="24"/>
      <c r="AP146" s="24"/>
      <c r="AQ146" s="24"/>
      <c r="AR146" s="24"/>
      <c r="AS146" s="24"/>
      <c r="AT146" s="24"/>
      <c r="AU146" s="35"/>
      <c r="AV146" s="35"/>
      <c r="AW146" s="35"/>
      <c r="AX146" s="35"/>
      <c r="AY146" s="35"/>
      <c r="AZ146" s="35"/>
      <c r="BA146" s="35"/>
      <c r="BB146" s="35"/>
      <c r="BC146" s="35"/>
      <c r="BD146" s="35"/>
      <c r="BE146" s="35"/>
      <c r="BF146" s="35"/>
      <c r="BG146" s="35"/>
      <c r="BH146" s="35"/>
      <c r="BI146" s="35"/>
      <c r="BJ146" s="35"/>
      <c r="BK146" s="35"/>
      <c r="BL146" s="35"/>
      <c r="BM146" s="35"/>
      <c r="BN146" s="35"/>
      <c r="BO146" s="35"/>
      <c r="BP146" s="35"/>
      <c r="BQ146" s="35"/>
      <c r="BR146" s="35"/>
      <c r="BS146" s="35"/>
      <c r="BT146" s="35"/>
      <c r="BU146" s="35"/>
      <c r="BV146" s="35"/>
      <c r="BW146" s="35"/>
      <c r="BX146" s="35"/>
      <c r="BY146" s="35"/>
    </row>
    <row r="148" spans="1:77" s="13" customFormat="1" ht="28.5" customHeight="1" x14ac:dyDescent="0.3">
      <c r="A148" s="45"/>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99" t="str">
        <f>INDEX(g_lang_val,MATCH("le_4",g_lang_key,0))</f>
        <v>Afledt driftseffekt i tusinde kroner (t. kr.)</v>
      </c>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row>
    <row r="149" spans="1:77" ht="4.5" customHeight="1" x14ac:dyDescent="0.3">
      <c r="A149" s="45"/>
      <c r="AN149" s="200"/>
      <c r="AO149" s="24"/>
      <c r="AP149" s="24"/>
      <c r="AQ149" s="24"/>
      <c r="AR149" s="24"/>
      <c r="AS149" s="24"/>
      <c r="AT149" s="24"/>
      <c r="AU149" s="35">
        <f t="shared" ref="AU149:BY149" ca="1" si="72">IF(INDEX(g_sc_1_opex,2)+COLUMN()-47&lt;=INDEX(g_sc_1_opex,3),INDEX(g_sc_1_opex,2)+COLUMN()-47,"")</f>
        <v>2025</v>
      </c>
      <c r="AV149" s="35">
        <f t="shared" ca="1" si="72"/>
        <v>2026</v>
      </c>
      <c r="AW149" s="35">
        <f t="shared" ca="1" si="72"/>
        <v>2027</v>
      </c>
      <c r="AX149" s="35">
        <f t="shared" ca="1" si="72"/>
        <v>2028</v>
      </c>
      <c r="AY149" s="35" t="str">
        <f t="shared" ca="1" si="72"/>
        <v/>
      </c>
      <c r="AZ149" s="35" t="str">
        <f t="shared" ca="1" si="72"/>
        <v/>
      </c>
      <c r="BA149" s="35" t="str">
        <f t="shared" ca="1" si="72"/>
        <v/>
      </c>
      <c r="BB149" s="35" t="str">
        <f t="shared" ca="1" si="72"/>
        <v/>
      </c>
      <c r="BC149" s="35" t="str">
        <f t="shared" ca="1" si="72"/>
        <v/>
      </c>
      <c r="BD149" s="35" t="str">
        <f t="shared" ca="1" si="72"/>
        <v/>
      </c>
      <c r="BE149" s="35" t="str">
        <f t="shared" ca="1" si="72"/>
        <v/>
      </c>
      <c r="BF149" s="35" t="str">
        <f t="shared" ca="1" si="72"/>
        <v/>
      </c>
      <c r="BG149" s="35" t="str">
        <f t="shared" ca="1" si="72"/>
        <v/>
      </c>
      <c r="BH149" s="35" t="str">
        <f t="shared" ca="1" si="72"/>
        <v/>
      </c>
      <c r="BI149" s="35" t="str">
        <f t="shared" ca="1" si="72"/>
        <v/>
      </c>
      <c r="BJ149" s="35" t="str">
        <f t="shared" ca="1" si="72"/>
        <v/>
      </c>
      <c r="BK149" s="35" t="str">
        <f t="shared" ca="1" si="72"/>
        <v/>
      </c>
      <c r="BL149" s="35" t="str">
        <f t="shared" ca="1" si="72"/>
        <v/>
      </c>
      <c r="BM149" s="35" t="str">
        <f t="shared" ca="1" si="72"/>
        <v/>
      </c>
      <c r="BN149" s="35" t="str">
        <f t="shared" ca="1" si="72"/>
        <v/>
      </c>
      <c r="BO149" s="35" t="str">
        <f t="shared" ca="1" si="72"/>
        <v/>
      </c>
      <c r="BP149" s="35" t="str">
        <f t="shared" ca="1" si="72"/>
        <v/>
      </c>
      <c r="BQ149" s="35" t="str">
        <f t="shared" ca="1" si="72"/>
        <v/>
      </c>
      <c r="BR149" s="35" t="str">
        <f t="shared" ca="1" si="72"/>
        <v/>
      </c>
      <c r="BS149" s="35" t="str">
        <f t="shared" ca="1" si="72"/>
        <v/>
      </c>
      <c r="BT149" s="35" t="str">
        <f t="shared" ca="1" si="72"/>
        <v/>
      </c>
      <c r="BU149" s="35" t="str">
        <f t="shared" ca="1" si="72"/>
        <v/>
      </c>
      <c r="BV149" s="35" t="str">
        <f t="shared" ca="1" si="72"/>
        <v/>
      </c>
      <c r="BW149" s="35" t="str">
        <f t="shared" ca="1" si="72"/>
        <v/>
      </c>
      <c r="BX149" s="35" t="str">
        <f t="shared" ca="1" si="72"/>
        <v/>
      </c>
      <c r="BY149" s="35" t="str">
        <f t="shared" ca="1" si="72"/>
        <v/>
      </c>
    </row>
    <row r="150" spans="1:77" ht="17.25" customHeight="1" x14ac:dyDescent="0.3">
      <c r="A150" s="45" t="s">
        <v>169</v>
      </c>
      <c r="AN150" s="200"/>
      <c r="AO150" s="246" t="str">
        <f>INDEX(g_lang_val,MATCH("le_1",g_lang_key,0))</f>
        <v>Vigtigt:</v>
      </c>
      <c r="AP150" s="238"/>
      <c r="AQ150" s="238"/>
      <c r="AR150" s="238"/>
      <c r="AS150" s="238"/>
      <c r="AT150" s="238"/>
      <c r="AU150" s="77"/>
      <c r="AV150" s="77"/>
      <c r="AW150" s="77"/>
      <c r="AX150" s="77"/>
      <c r="AY150" s="77"/>
      <c r="AZ150" s="77"/>
      <c r="BA150" s="77"/>
      <c r="BB150" s="77"/>
      <c r="BC150" s="77"/>
      <c r="BD150" s="77"/>
      <c r="BE150" s="77"/>
      <c r="BF150" s="77"/>
      <c r="BG150" s="77"/>
      <c r="BH150" s="77"/>
      <c r="BI150" s="77"/>
      <c r="BJ150" s="77"/>
      <c r="BK150" s="77"/>
      <c r="BL150" s="77"/>
      <c r="BM150" s="77"/>
      <c r="BN150" s="77"/>
      <c r="BO150" s="77"/>
      <c r="BP150" s="77"/>
      <c r="BQ150" s="77"/>
      <c r="BR150" s="77"/>
      <c r="BS150" s="77"/>
      <c r="BT150" s="77"/>
      <c r="BU150" s="77"/>
      <c r="BV150" s="77"/>
      <c r="BW150" s="77"/>
      <c r="BX150" s="77"/>
      <c r="BY150" s="77"/>
    </row>
    <row r="151" spans="1:77" ht="69" customHeight="1" x14ac:dyDescent="0.3">
      <c r="A151" s="45" t="s">
        <v>170</v>
      </c>
      <c r="AN151" s="200"/>
      <c r="AO151" s="36"/>
      <c r="AP151" s="240" t="str">
        <f>INDEX(g_lang_val,MATCH("le_4_2",g_lang_key,0))</f>
        <v>1) Driftseffekten er lig med forskellen mellem kommende (A) og eksisterende (B) drifts, vedligeholds- og udviklingsomkostninger (A - B = driftseffekten).
2) En positiv driftseffekt betyder en stigning i budgettet, mens en negativ driftseffekt vil betyde en gevinst / besparelse / effektivisering.
3) Det er gennem driftseffekten økonomiske gevinster synliggøres. I projektgrundlaget kan den samlede driftseffekt fordeles på de konkrete økonomiske gevinster.
4) Tabel for den afledte driftseffekt har samme pl-justering som tabel for afledte økonomiske omkostninger.</v>
      </c>
      <c r="AQ151" s="240"/>
      <c r="AR151" s="240"/>
      <c r="AS151" s="240"/>
      <c r="AT151" s="240"/>
      <c r="AU151" s="77"/>
      <c r="AV151" s="77"/>
      <c r="AW151" s="77"/>
      <c r="AX151" s="77"/>
      <c r="AY151" s="77"/>
      <c r="AZ151" s="77"/>
      <c r="BA151" s="77"/>
      <c r="BB151" s="77"/>
      <c r="BC151" s="77"/>
      <c r="BD151" s="77"/>
      <c r="BE151" s="77"/>
      <c r="BF151" s="77"/>
      <c r="BG151" s="77"/>
      <c r="BH151" s="77"/>
      <c r="BI151" s="77"/>
      <c r="BJ151" s="77"/>
      <c r="BK151" s="77"/>
      <c r="BL151" s="77"/>
      <c r="BM151" s="77"/>
      <c r="BN151" s="77"/>
      <c r="BO151" s="77"/>
      <c r="BP151" s="77"/>
      <c r="BQ151" s="77"/>
      <c r="BR151" s="77"/>
      <c r="BS151" s="77"/>
      <c r="BT151" s="77"/>
      <c r="BU151" s="77"/>
      <c r="BV151" s="77"/>
      <c r="BW151" s="77"/>
      <c r="BX151" s="77"/>
      <c r="BY151" s="77"/>
    </row>
    <row r="152" spans="1:77" s="13" customFormat="1" ht="51.75" customHeight="1" x14ac:dyDescent="0.3">
      <c r="A152" s="45" t="s">
        <v>205</v>
      </c>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91"/>
      <c r="AO152" s="248" t="str">
        <f>INDEX(g_lang_val,MATCH("le_4_1",g_lang_key,0))</f>
        <v xml:space="preserve">Driftseffekt </v>
      </c>
      <c r="AP152" s="248"/>
      <c r="AQ152" s="248"/>
      <c r="AR152" s="248"/>
      <c r="AS152" s="248"/>
      <c r="AT152" s="164"/>
      <c r="AU152" s="190">
        <f ca="1">AU149</f>
        <v>2025</v>
      </c>
      <c r="AV152" s="190">
        <f t="shared" ref="AV152:BY152" ca="1" si="73">AV149</f>
        <v>2026</v>
      </c>
      <c r="AW152" s="190">
        <f t="shared" ca="1" si="73"/>
        <v>2027</v>
      </c>
      <c r="AX152" s="190">
        <f t="shared" ca="1" si="73"/>
        <v>2028</v>
      </c>
      <c r="AY152" s="190" t="str">
        <f t="shared" ca="1" si="73"/>
        <v/>
      </c>
      <c r="AZ152" s="190" t="str">
        <f t="shared" ca="1" si="73"/>
        <v/>
      </c>
      <c r="BA152" s="190" t="str">
        <f t="shared" ca="1" si="73"/>
        <v/>
      </c>
      <c r="BB152" s="190" t="str">
        <f t="shared" ca="1" si="73"/>
        <v/>
      </c>
      <c r="BC152" s="190" t="str">
        <f t="shared" ca="1" si="73"/>
        <v/>
      </c>
      <c r="BD152" s="190" t="str">
        <f t="shared" ca="1" si="73"/>
        <v/>
      </c>
      <c r="BE152" s="190" t="str">
        <f t="shared" ca="1" si="73"/>
        <v/>
      </c>
      <c r="BF152" s="190" t="str">
        <f t="shared" ca="1" si="73"/>
        <v/>
      </c>
      <c r="BG152" s="190" t="str">
        <f t="shared" ca="1" si="73"/>
        <v/>
      </c>
      <c r="BH152" s="190" t="str">
        <f t="shared" ca="1" si="73"/>
        <v/>
      </c>
      <c r="BI152" s="190" t="str">
        <f t="shared" ca="1" si="73"/>
        <v/>
      </c>
      <c r="BJ152" s="190" t="str">
        <f t="shared" ca="1" si="73"/>
        <v/>
      </c>
      <c r="BK152" s="190" t="str">
        <f t="shared" ca="1" si="73"/>
        <v/>
      </c>
      <c r="BL152" s="190" t="str">
        <f t="shared" ca="1" si="73"/>
        <v/>
      </c>
      <c r="BM152" s="190" t="str">
        <f t="shared" ca="1" si="73"/>
        <v/>
      </c>
      <c r="BN152" s="190" t="str">
        <f t="shared" ca="1" si="73"/>
        <v/>
      </c>
      <c r="BO152" s="190" t="str">
        <f t="shared" ca="1" si="73"/>
        <v/>
      </c>
      <c r="BP152" s="190" t="str">
        <f t="shared" ca="1" si="73"/>
        <v/>
      </c>
      <c r="BQ152" s="190" t="str">
        <f t="shared" ca="1" si="73"/>
        <v/>
      </c>
      <c r="BR152" s="190" t="str">
        <f t="shared" ca="1" si="73"/>
        <v/>
      </c>
      <c r="BS152" s="190" t="str">
        <f t="shared" ca="1" si="73"/>
        <v/>
      </c>
      <c r="BT152" s="190" t="str">
        <f t="shared" ca="1" si="73"/>
        <v/>
      </c>
      <c r="BU152" s="190" t="str">
        <f t="shared" ca="1" si="73"/>
        <v/>
      </c>
      <c r="BV152" s="190" t="str">
        <f t="shared" ca="1" si="73"/>
        <v/>
      </c>
      <c r="BW152" s="190" t="str">
        <f t="shared" ca="1" si="73"/>
        <v/>
      </c>
      <c r="BX152" s="190" t="str">
        <f t="shared" ca="1" si="73"/>
        <v/>
      </c>
      <c r="BY152" s="190" t="str">
        <f t="shared" ca="1" si="73"/>
        <v/>
      </c>
    </row>
    <row r="153" spans="1:77" ht="4.5" customHeight="1" x14ac:dyDescent="0.3">
      <c r="A153" s="45" t="s">
        <v>209</v>
      </c>
      <c r="AN153" s="191"/>
      <c r="AO153" s="27"/>
      <c r="AP153" s="27"/>
      <c r="AQ153" s="27"/>
      <c r="AR153" s="27"/>
      <c r="AS153" s="27"/>
      <c r="AT153" s="27"/>
      <c r="AU153" s="77"/>
      <c r="AV153" s="77"/>
      <c r="AW153" s="77"/>
      <c r="AX153" s="77"/>
      <c r="AY153" s="77"/>
      <c r="AZ153" s="77"/>
      <c r="BA153" s="77"/>
      <c r="BB153" s="77"/>
      <c r="BC153" s="77"/>
      <c r="BD153" s="77"/>
      <c r="BE153" s="77"/>
      <c r="BF153" s="77"/>
      <c r="BG153" s="77"/>
      <c r="BH153" s="77"/>
      <c r="BI153" s="77"/>
      <c r="BJ153" s="77"/>
      <c r="BK153" s="77"/>
      <c r="BL153" s="77"/>
      <c r="BM153" s="77"/>
      <c r="BN153" s="77"/>
      <c r="BO153" s="77"/>
      <c r="BP153" s="77"/>
      <c r="BQ153" s="77"/>
      <c r="BR153" s="77"/>
      <c r="BS153" s="77"/>
      <c r="BT153" s="77"/>
      <c r="BU153" s="77"/>
      <c r="BV153" s="77"/>
      <c r="BW153" s="77"/>
      <c r="BX153" s="77"/>
      <c r="BY153" s="77"/>
    </row>
    <row r="154" spans="1:77" s="13" customFormat="1" ht="15.75" customHeight="1" x14ac:dyDescent="0.3">
      <c r="A154" s="45" t="s">
        <v>220</v>
      </c>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91"/>
      <c r="AO154" s="189"/>
      <c r="AP154" s="188"/>
      <c r="AQ154" s="188"/>
      <c r="AR154" s="188"/>
      <c r="AS154" s="188"/>
      <c r="AT154" s="188"/>
      <c r="AU154" s="157"/>
      <c r="AV154" s="157"/>
      <c r="AW154" s="157"/>
      <c r="AX154" s="157"/>
      <c r="AY154" s="157"/>
      <c r="AZ154" s="157"/>
      <c r="BA154" s="157"/>
      <c r="BB154" s="157"/>
      <c r="BC154" s="157"/>
      <c r="BD154" s="157"/>
      <c r="BE154" s="157"/>
      <c r="BF154" s="157"/>
      <c r="BG154" s="157"/>
      <c r="BH154" s="157"/>
      <c r="BI154" s="157"/>
      <c r="BJ154" s="157"/>
      <c r="BK154" s="157"/>
      <c r="BL154" s="157"/>
      <c r="BM154" s="157"/>
      <c r="BN154" s="157"/>
      <c r="BO154" s="157"/>
      <c r="BP154" s="157"/>
      <c r="BQ154" s="157"/>
      <c r="BR154" s="157"/>
      <c r="BS154" s="157"/>
      <c r="BT154" s="157"/>
      <c r="BU154" s="157"/>
      <c r="BV154" s="157"/>
      <c r="BW154" s="157"/>
      <c r="BX154" s="157"/>
      <c r="BY154" s="157"/>
    </row>
    <row r="155" spans="1:77" ht="4.5" customHeight="1" x14ac:dyDescent="0.3">
      <c r="A155" s="45" t="s">
        <v>209</v>
      </c>
      <c r="AN155" s="191"/>
      <c r="AO155" s="27"/>
      <c r="AP155" s="27"/>
      <c r="AQ155" s="27"/>
      <c r="AR155" s="27"/>
      <c r="AS155" s="27"/>
      <c r="AT155" s="27"/>
      <c r="AU155" s="77"/>
      <c r="AV155" s="77"/>
      <c r="AW155" s="77"/>
      <c r="AX155" s="77"/>
      <c r="AY155" s="77"/>
      <c r="AZ155" s="77"/>
      <c r="BA155" s="77"/>
      <c r="BB155" s="77"/>
      <c r="BC155" s="77"/>
      <c r="BD155" s="77"/>
      <c r="BE155" s="77"/>
      <c r="BF155" s="77"/>
      <c r="BG155" s="77"/>
      <c r="BH155" s="77"/>
      <c r="BI155" s="77"/>
      <c r="BJ155" s="77"/>
      <c r="BK155" s="77"/>
      <c r="BL155" s="77"/>
      <c r="BM155" s="77"/>
      <c r="BN155" s="77"/>
      <c r="BO155" s="77"/>
      <c r="BP155" s="77"/>
      <c r="BQ155" s="77"/>
      <c r="BR155" s="77"/>
      <c r="BS155" s="77"/>
      <c r="BT155" s="77"/>
      <c r="BU155" s="77"/>
      <c r="BV155" s="77"/>
      <c r="BW155" s="77"/>
      <c r="BX155" s="77"/>
      <c r="BY155" s="77"/>
    </row>
    <row r="156" spans="1:77" s="40" customFormat="1" ht="15.75" customHeight="1" x14ac:dyDescent="0.3">
      <c r="A156" s="39" t="s">
        <v>207</v>
      </c>
      <c r="AK156" s="12"/>
      <c r="AN156" s="191"/>
      <c r="AO156" s="168" t="str">
        <f>INDEX(g_lang_val,MATCH("le_4_1",g_lang_key,0))&amp;INDEX(g_lang_val,MATCH("le_2_6_1",g_lang_key,0))</f>
        <v xml:space="preserve">Driftseffekt pl-justeret </v>
      </c>
      <c r="AP156" s="42"/>
      <c r="AQ156" s="42"/>
      <c r="AR156" s="42"/>
      <c r="AS156" s="42"/>
      <c r="AT156" s="143"/>
      <c r="AU156" s="165">
        <f ca="1">IF(AU$111="","",AU154*AU143)</f>
        <v>0</v>
      </c>
      <c r="AV156" s="165">
        <f t="shared" ref="AV156:BY156" ca="1" si="74">IF(AV$111="","",AV154*AV143)</f>
        <v>0</v>
      </c>
      <c r="AW156" s="165">
        <f t="shared" ca="1" si="74"/>
        <v>0</v>
      </c>
      <c r="AX156" s="165">
        <f t="shared" ca="1" si="74"/>
        <v>0</v>
      </c>
      <c r="AY156" s="165" t="str">
        <f t="shared" ca="1" si="74"/>
        <v/>
      </c>
      <c r="AZ156" s="165" t="str">
        <f t="shared" ca="1" si="74"/>
        <v/>
      </c>
      <c r="BA156" s="165" t="str">
        <f t="shared" ca="1" si="74"/>
        <v/>
      </c>
      <c r="BB156" s="165" t="str">
        <f t="shared" ca="1" si="74"/>
        <v/>
      </c>
      <c r="BC156" s="165" t="str">
        <f t="shared" ca="1" si="74"/>
        <v/>
      </c>
      <c r="BD156" s="165" t="str">
        <f t="shared" ca="1" si="74"/>
        <v/>
      </c>
      <c r="BE156" s="165" t="str">
        <f t="shared" ca="1" si="74"/>
        <v/>
      </c>
      <c r="BF156" s="165" t="str">
        <f t="shared" ca="1" si="74"/>
        <v/>
      </c>
      <c r="BG156" s="165" t="str">
        <f t="shared" ca="1" si="74"/>
        <v/>
      </c>
      <c r="BH156" s="165" t="str">
        <f t="shared" ca="1" si="74"/>
        <v/>
      </c>
      <c r="BI156" s="165" t="str">
        <f t="shared" ca="1" si="74"/>
        <v/>
      </c>
      <c r="BJ156" s="165" t="str">
        <f t="shared" ca="1" si="74"/>
        <v/>
      </c>
      <c r="BK156" s="165" t="str">
        <f t="shared" ca="1" si="74"/>
        <v/>
      </c>
      <c r="BL156" s="165" t="str">
        <f t="shared" ca="1" si="74"/>
        <v/>
      </c>
      <c r="BM156" s="165" t="str">
        <f t="shared" ca="1" si="74"/>
        <v/>
      </c>
      <c r="BN156" s="165" t="str">
        <f t="shared" ca="1" si="74"/>
        <v/>
      </c>
      <c r="BO156" s="165" t="str">
        <f t="shared" ca="1" si="74"/>
        <v/>
      </c>
      <c r="BP156" s="165" t="str">
        <f t="shared" ca="1" si="74"/>
        <v/>
      </c>
      <c r="BQ156" s="165" t="str">
        <f t="shared" ca="1" si="74"/>
        <v/>
      </c>
      <c r="BR156" s="165" t="str">
        <f t="shared" ca="1" si="74"/>
        <v/>
      </c>
      <c r="BS156" s="165" t="str">
        <f t="shared" ca="1" si="74"/>
        <v/>
      </c>
      <c r="BT156" s="165" t="str">
        <f t="shared" ca="1" si="74"/>
        <v/>
      </c>
      <c r="BU156" s="165" t="str">
        <f t="shared" ca="1" si="74"/>
        <v/>
      </c>
      <c r="BV156" s="165" t="str">
        <f t="shared" ca="1" si="74"/>
        <v/>
      </c>
      <c r="BW156" s="165" t="str">
        <f t="shared" ca="1" si="74"/>
        <v/>
      </c>
      <c r="BX156" s="165" t="str">
        <f t="shared" ca="1" si="74"/>
        <v/>
      </c>
      <c r="BY156" s="165" t="str">
        <f t="shared" ca="1" si="74"/>
        <v/>
      </c>
    </row>
    <row r="157" spans="1:77" ht="4.5" customHeight="1" x14ac:dyDescent="0.3">
      <c r="A157" s="45" t="s">
        <v>209</v>
      </c>
      <c r="AN157" s="191"/>
      <c r="AO157" s="27"/>
      <c r="AP157" s="27"/>
      <c r="AQ157" s="27"/>
      <c r="AR157" s="27"/>
      <c r="AS157" s="27"/>
      <c r="AT157" s="27"/>
      <c r="AU157" s="77"/>
      <c r="AV157" s="77"/>
      <c r="AW157" s="77"/>
      <c r="AX157" s="77"/>
      <c r="AY157" s="77"/>
      <c r="AZ157" s="77"/>
      <c r="BA157" s="77"/>
      <c r="BB157" s="77"/>
      <c r="BC157" s="77"/>
      <c r="BD157" s="77"/>
      <c r="BE157" s="77"/>
      <c r="BF157" s="77"/>
      <c r="BG157" s="77"/>
      <c r="BH157" s="77"/>
      <c r="BI157" s="77"/>
      <c r="BJ157" s="77"/>
      <c r="BK157" s="77"/>
      <c r="BL157" s="77"/>
      <c r="BM157" s="77"/>
      <c r="BN157" s="77"/>
      <c r="BO157" s="77"/>
      <c r="BP157" s="77"/>
      <c r="BQ157" s="77"/>
      <c r="BR157" s="77"/>
      <c r="BS157" s="77"/>
      <c r="BT157" s="77"/>
      <c r="BU157" s="77"/>
      <c r="BV157" s="77"/>
      <c r="BW157" s="77"/>
      <c r="BX157" s="77"/>
      <c r="BY157" s="77"/>
    </row>
    <row r="158" spans="1:77" ht="4.5" customHeight="1" x14ac:dyDescent="0.3">
      <c r="A158" s="45" t="s">
        <v>210</v>
      </c>
      <c r="AN158" s="191"/>
      <c r="AO158" s="24"/>
      <c r="AP158" s="24"/>
      <c r="AQ158" s="24"/>
      <c r="AR158" s="24"/>
      <c r="AS158" s="24"/>
      <c r="AT158" s="24"/>
      <c r="AU158" s="35"/>
      <c r="AV158" s="35"/>
      <c r="AW158" s="35"/>
      <c r="AX158" s="35"/>
      <c r="AY158" s="35"/>
      <c r="AZ158" s="35"/>
      <c r="BA158" s="35"/>
      <c r="BB158" s="35"/>
      <c r="BC158" s="35"/>
      <c r="BD158" s="35"/>
      <c r="BE158" s="35"/>
      <c r="BF158" s="35"/>
      <c r="BG158" s="35"/>
      <c r="BH158" s="35"/>
      <c r="BI158" s="35"/>
      <c r="BJ158" s="35"/>
      <c r="BK158" s="35"/>
      <c r="BL158" s="35"/>
      <c r="BM158" s="35"/>
      <c r="BN158" s="35"/>
      <c r="BO158" s="35"/>
      <c r="BP158" s="35"/>
      <c r="BQ158" s="35"/>
      <c r="BR158" s="35"/>
      <c r="BS158" s="35"/>
      <c r="BT158" s="35"/>
      <c r="BU158" s="35"/>
      <c r="BV158" s="35"/>
      <c r="BW158" s="35"/>
      <c r="BX158" s="35"/>
      <c r="BY158" s="35"/>
    </row>
  </sheetData>
  <sheetProtection formatColumns="0" formatRows="0" autoFilter="0"/>
  <customSheetViews>
    <customSheetView guid="{CC114306-4468-4F70-9DB6-D54D814D228F}" fitToPage="1" printArea="1" hiddenRows="1" hiddenColumns="1" topLeftCell="L25">
      <selection activeCell="L13" sqref="L13"/>
      <pageMargins left="0.7" right="0.7" top="0.75" bottom="0.75" header="0.3" footer="0.3"/>
      <pageSetup paperSize="9" fitToHeight="0" orientation="landscape" r:id="rId1"/>
    </customSheetView>
  </customSheetViews>
  <mergeCells count="16">
    <mergeCell ref="AO152:AS152"/>
    <mergeCell ref="AO150:AT150"/>
    <mergeCell ref="AP151:AT151"/>
    <mergeCell ref="AO140:AT140"/>
    <mergeCell ref="AO142:AT142"/>
    <mergeCell ref="AO141:AT141"/>
    <mergeCell ref="AO23:AT23"/>
    <mergeCell ref="AP24:AT24"/>
    <mergeCell ref="AO102:AT102"/>
    <mergeCell ref="AO25:AP25"/>
    <mergeCell ref="AO114:AS114"/>
    <mergeCell ref="AO112:AT112"/>
    <mergeCell ref="AP113:AT113"/>
    <mergeCell ref="AO95:AT95"/>
    <mergeCell ref="AO93:AT93"/>
    <mergeCell ref="AO100:AT100"/>
  </mergeCells>
  <conditionalFormatting sqref="AQ28:AQ37 AQ39:AQ88">
    <cfRule type="cellIs" dxfId="38" priority="7" operator="equal">
      <formula>"|Vælg anlæg &gt;|"</formula>
    </cfRule>
    <cfRule type="expression" dxfId="37" priority="8">
      <formula>IFERROR(INDEX(g_assets_sc_1,MATCH(AQ28,g_assets_sc_1,),0),TRUE)</formula>
    </cfRule>
  </conditionalFormatting>
  <conditionalFormatting sqref="AU94:BY94">
    <cfRule type="expression" dxfId="36" priority="5">
      <formula>AU$22=""</formula>
    </cfRule>
  </conditionalFormatting>
  <conditionalFormatting sqref="AU111:BY158">
    <cfRule type="expression" dxfId="35" priority="4">
      <formula>AU$111=""</formula>
    </cfRule>
  </conditionalFormatting>
  <conditionalFormatting sqref="AU141:BY141">
    <cfRule type="expression" dxfId="34" priority="3">
      <formula>AU$111=""</formula>
    </cfRule>
  </conditionalFormatting>
  <conditionalFormatting sqref="AU22:JH108">
    <cfRule type="expression" dxfId="33" priority="1">
      <formula>AU$22=""</formula>
    </cfRule>
  </conditionalFormatting>
  <conditionalFormatting sqref="AU101:JH101">
    <cfRule type="expression" dxfId="32" priority="2" stopIfTrue="1">
      <formula>$AS$101=0</formula>
    </cfRule>
    <cfRule type="expression" dxfId="31" priority="6">
      <formula>SUM($AU$101:$XFD$101)&lt;&gt;1</formula>
    </cfRule>
  </conditionalFormatting>
  <dataValidations count="2">
    <dataValidation type="list" allowBlank="1" showInputMessage="1" showErrorMessage="1" sqref="AU141:BY141 AU94:BY94" xr:uid="{00000000-0002-0000-0300-000000000000}">
      <formula1>g_pl_years</formula1>
    </dataValidation>
    <dataValidation type="list" allowBlank="1" showInputMessage="1" showErrorMessage="1" error="Anlæg kan ikke findes i fanen &quot;Stamoplysninger&quot;" sqref="AQ39:AQ88 AQ28:AQ37" xr:uid="{00000000-0002-0000-0300-000001000000}">
      <formula1>g_assets_sc_1</formula1>
    </dataValidation>
  </dataValidations>
  <pageMargins left="0.7" right="0.7" top="0.75" bottom="0.75" header="0.3" footer="0.3"/>
  <pageSetup paperSize="9" fitToHeight="0" orientation="landscape" r:id="rId2"/>
  <ignoredErrors>
    <ignoredError sqref="AU141 AU94:BY94 AW141:BY141" unlocked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NR_1!$U$3:$U$5</xm:f>
          </x14:formula1>
          <xm:sqref>AP169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2060"/>
    <pageSetUpPr autoPageBreaks="0" fitToPage="1"/>
  </sheetPr>
  <dimension ref="A1:BB252"/>
  <sheetViews>
    <sheetView topLeftCell="M13" zoomScaleNormal="100" workbookViewId="0">
      <selection activeCell="U159" sqref="U159"/>
    </sheetView>
  </sheetViews>
  <sheetFormatPr defaultColWidth="9.296875" defaultRowHeight="12.75" customHeight="1" outlineLevelRow="1" x14ac:dyDescent="0.3"/>
  <cols>
    <col min="1" max="1" width="5.8984375" style="96" hidden="1" customWidth="1"/>
    <col min="2" max="2" width="4" style="96" hidden="1" customWidth="1"/>
    <col min="3" max="3" width="13.69921875" style="96" hidden="1" customWidth="1"/>
    <col min="4" max="9" width="4" style="96" hidden="1" customWidth="1"/>
    <col min="10" max="12" width="1.59765625" style="96" hidden="1" customWidth="1"/>
    <col min="13" max="13" width="2.69921875" style="96" customWidth="1"/>
    <col min="14" max="16" width="1.59765625" style="96" customWidth="1"/>
    <col min="17" max="17" width="64.69921875" style="96" customWidth="1"/>
    <col min="18" max="49" width="6.69921875" style="96" customWidth="1"/>
    <col min="50" max="54" width="1.59765625" style="96" customWidth="1"/>
    <col min="55" max="16384" width="9.296875" style="96"/>
  </cols>
  <sheetData>
    <row r="1" spans="1:54" s="90" customFormat="1" ht="21.75" hidden="1" customHeight="1" x14ac:dyDescent="0.3">
      <c r="A1" s="89" t="s">
        <v>64</v>
      </c>
      <c r="B1" s="89" t="s">
        <v>65</v>
      </c>
      <c r="C1" s="89" t="s">
        <v>66</v>
      </c>
      <c r="D1" s="89" t="s">
        <v>67</v>
      </c>
      <c r="E1" s="89" t="s">
        <v>68</v>
      </c>
      <c r="F1" s="89" t="s">
        <v>69</v>
      </c>
      <c r="G1" s="89" t="s">
        <v>70</v>
      </c>
      <c r="H1" s="89" t="s">
        <v>71</v>
      </c>
      <c r="I1" s="89" t="s">
        <v>72</v>
      </c>
      <c r="J1" s="89" t="s">
        <v>73</v>
      </c>
      <c r="K1" s="89" t="s">
        <v>74</v>
      </c>
      <c r="L1" s="89" t="s">
        <v>75</v>
      </c>
      <c r="M1" s="89" t="s">
        <v>76</v>
      </c>
      <c r="N1" s="89" t="s">
        <v>77</v>
      </c>
      <c r="O1" s="89" t="s">
        <v>78</v>
      </c>
      <c r="P1" s="89" t="s">
        <v>79</v>
      </c>
      <c r="Q1" s="89" t="s">
        <v>80</v>
      </c>
      <c r="R1" s="89" t="s">
        <v>81</v>
      </c>
      <c r="S1" s="89" t="s">
        <v>82</v>
      </c>
      <c r="T1" s="89" t="s">
        <v>83</v>
      </c>
      <c r="U1" s="89" t="s">
        <v>84</v>
      </c>
      <c r="V1" s="89" t="s">
        <v>85</v>
      </c>
      <c r="W1" s="89" t="s">
        <v>86</v>
      </c>
      <c r="X1" s="89" t="s">
        <v>87</v>
      </c>
      <c r="Y1" s="89" t="s">
        <v>88</v>
      </c>
      <c r="Z1" s="89" t="s">
        <v>89</v>
      </c>
      <c r="AA1" s="89" t="s">
        <v>90</v>
      </c>
      <c r="AB1" s="89" t="s">
        <v>91</v>
      </c>
      <c r="AC1" s="89" t="s">
        <v>92</v>
      </c>
      <c r="AD1" s="89" t="s">
        <v>93</v>
      </c>
      <c r="AE1" s="89" t="s">
        <v>97</v>
      </c>
      <c r="AF1" s="89" t="s">
        <v>98</v>
      </c>
      <c r="AG1" s="89" t="s">
        <v>99</v>
      </c>
      <c r="AH1" s="89" t="s">
        <v>100</v>
      </c>
      <c r="AI1" s="89" t="s">
        <v>101</v>
      </c>
      <c r="AJ1" s="89" t="s">
        <v>102</v>
      </c>
      <c r="AK1" s="89" t="s">
        <v>103</v>
      </c>
      <c r="AL1" s="89" t="s">
        <v>104</v>
      </c>
      <c r="AM1" s="89" t="s">
        <v>105</v>
      </c>
      <c r="AN1" s="89" t="s">
        <v>106</v>
      </c>
      <c r="AO1" s="89" t="s">
        <v>107</v>
      </c>
      <c r="AP1" s="89" t="s">
        <v>108</v>
      </c>
      <c r="AQ1" s="89" t="s">
        <v>109</v>
      </c>
      <c r="AR1" s="89" t="s">
        <v>110</v>
      </c>
      <c r="AS1" s="89"/>
      <c r="AT1" s="89"/>
      <c r="AU1" s="89"/>
      <c r="AV1" s="89"/>
      <c r="AW1" s="89"/>
      <c r="AX1" s="89" t="s">
        <v>106</v>
      </c>
      <c r="AY1" s="89" t="s">
        <v>107</v>
      </c>
      <c r="AZ1" s="89" t="s">
        <v>108</v>
      </c>
      <c r="BA1" s="89" t="s">
        <v>109</v>
      </c>
      <c r="BB1" s="89" t="s">
        <v>110</v>
      </c>
    </row>
    <row r="2" spans="1:54" s="90" customFormat="1" ht="409.4" hidden="1" customHeight="1" x14ac:dyDescent="0.3">
      <c r="A2" s="92"/>
      <c r="B2" s="92"/>
      <c r="C2" s="92"/>
      <c r="D2" s="92"/>
      <c r="E2" s="92"/>
      <c r="F2" s="92"/>
      <c r="G2" s="92"/>
      <c r="H2" s="92"/>
      <c r="I2" s="92"/>
      <c r="J2" s="92"/>
      <c r="K2" s="92"/>
      <c r="L2" s="92"/>
      <c r="M2" s="92"/>
      <c r="N2" s="92"/>
      <c r="O2" s="92"/>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row>
    <row r="3" spans="1:54" s="91" customFormat="1" ht="11.5" hidden="1" x14ac:dyDescent="0.3">
      <c r="A3" s="94" t="s">
        <v>116</v>
      </c>
      <c r="B3" s="94" t="s">
        <v>116</v>
      </c>
      <c r="C3" s="94" t="s">
        <v>116</v>
      </c>
      <c r="D3" s="94" t="s">
        <v>116</v>
      </c>
      <c r="E3" s="94" t="s">
        <v>116</v>
      </c>
      <c r="F3" s="94" t="s">
        <v>116</v>
      </c>
      <c r="G3" s="94" t="s">
        <v>116</v>
      </c>
      <c r="H3" s="94" t="s">
        <v>116</v>
      </c>
      <c r="I3" s="94" t="s">
        <v>116</v>
      </c>
      <c r="J3" s="94" t="s">
        <v>116</v>
      </c>
      <c r="K3" s="94" t="s">
        <v>116</v>
      </c>
      <c r="L3" s="94" t="s">
        <v>116</v>
      </c>
      <c r="M3" s="94" t="s">
        <v>116</v>
      </c>
      <c r="N3" s="94" t="s">
        <v>116</v>
      </c>
      <c r="O3" s="94" t="s">
        <v>116</v>
      </c>
      <c r="P3" s="94" t="s">
        <v>116</v>
      </c>
      <c r="Q3" s="94" t="s">
        <v>116</v>
      </c>
      <c r="R3" s="94" t="s">
        <v>116</v>
      </c>
      <c r="S3" s="94" t="s">
        <v>116</v>
      </c>
      <c r="T3" s="94" t="s">
        <v>116</v>
      </c>
      <c r="U3" s="94" t="s">
        <v>116</v>
      </c>
      <c r="V3" s="94" t="s">
        <v>116</v>
      </c>
      <c r="W3" s="94" t="s">
        <v>116</v>
      </c>
      <c r="X3" s="94" t="s">
        <v>116</v>
      </c>
      <c r="Y3" s="94" t="s">
        <v>116</v>
      </c>
      <c r="Z3" s="94" t="s">
        <v>116</v>
      </c>
      <c r="AA3" s="94" t="s">
        <v>116</v>
      </c>
      <c r="AB3" s="94" t="s">
        <v>116</v>
      </c>
      <c r="AC3" s="94" t="s">
        <v>116</v>
      </c>
      <c r="AD3" s="94" t="s">
        <v>116</v>
      </c>
      <c r="AE3" s="94" t="s">
        <v>116</v>
      </c>
      <c r="AF3" s="94" t="s">
        <v>116</v>
      </c>
      <c r="AG3" s="94" t="s">
        <v>116</v>
      </c>
      <c r="AH3" s="94" t="s">
        <v>116</v>
      </c>
      <c r="AI3" s="94" t="s">
        <v>116</v>
      </c>
      <c r="AJ3" s="94" t="s">
        <v>116</v>
      </c>
      <c r="AK3" s="94" t="s">
        <v>116</v>
      </c>
      <c r="AL3" s="94" t="s">
        <v>116</v>
      </c>
      <c r="AM3" s="94" t="s">
        <v>116</v>
      </c>
      <c r="AN3" s="94" t="s">
        <v>116</v>
      </c>
      <c r="AO3" s="94" t="s">
        <v>116</v>
      </c>
      <c r="AP3" s="94" t="s">
        <v>116</v>
      </c>
      <c r="AQ3" s="94" t="s">
        <v>116</v>
      </c>
      <c r="AR3" s="94" t="s">
        <v>116</v>
      </c>
      <c r="AS3" s="94"/>
      <c r="AT3" s="94"/>
      <c r="AU3" s="94"/>
      <c r="AV3" s="94"/>
      <c r="AW3" s="94"/>
      <c r="AX3" s="94" t="s">
        <v>116</v>
      </c>
      <c r="AY3" s="94" t="s">
        <v>116</v>
      </c>
      <c r="AZ3" s="94" t="s">
        <v>116</v>
      </c>
      <c r="BA3" s="94" t="s">
        <v>116</v>
      </c>
      <c r="BB3" s="94" t="s">
        <v>116</v>
      </c>
    </row>
    <row r="4" spans="1:54" s="91" customFormat="1" ht="11.5" hidden="1" x14ac:dyDescent="0.3">
      <c r="A4" s="95">
        <v>-13</v>
      </c>
      <c r="B4" s="95">
        <v>-12</v>
      </c>
      <c r="C4" s="95">
        <v>-11</v>
      </c>
      <c r="D4" s="95">
        <v>-10</v>
      </c>
      <c r="E4" s="95">
        <v>-9</v>
      </c>
      <c r="F4" s="95">
        <v>-8</v>
      </c>
      <c r="G4" s="95">
        <v>-7</v>
      </c>
      <c r="H4" s="95">
        <v>-6</v>
      </c>
      <c r="I4" s="95">
        <v>-5</v>
      </c>
      <c r="J4" s="95">
        <v>-4</v>
      </c>
      <c r="K4" s="95">
        <v>-3</v>
      </c>
      <c r="L4" s="95">
        <v>-2</v>
      </c>
      <c r="M4" s="95">
        <v>-1</v>
      </c>
      <c r="N4" s="95">
        <v>0</v>
      </c>
      <c r="O4" s="95">
        <v>1</v>
      </c>
      <c r="P4" s="95">
        <v>2</v>
      </c>
      <c r="Q4" s="95">
        <v>3</v>
      </c>
      <c r="R4" s="95">
        <v>4</v>
      </c>
      <c r="S4" s="95">
        <v>5</v>
      </c>
      <c r="T4" s="95">
        <v>6</v>
      </c>
      <c r="U4" s="95">
        <v>7</v>
      </c>
      <c r="V4" s="95">
        <v>8</v>
      </c>
      <c r="W4" s="95">
        <v>9</v>
      </c>
      <c r="X4" s="95">
        <v>10</v>
      </c>
      <c r="Y4" s="95">
        <v>11</v>
      </c>
      <c r="Z4" s="95">
        <v>12</v>
      </c>
      <c r="AA4" s="95">
        <v>13</v>
      </c>
      <c r="AB4" s="95">
        <v>14</v>
      </c>
      <c r="AC4" s="95">
        <v>15</v>
      </c>
      <c r="AD4" s="95">
        <v>16</v>
      </c>
      <c r="AE4" s="95">
        <v>17</v>
      </c>
      <c r="AF4" s="95">
        <v>18</v>
      </c>
      <c r="AG4" s="95">
        <v>19</v>
      </c>
      <c r="AH4" s="95">
        <v>20</v>
      </c>
      <c r="AI4" s="95">
        <v>21</v>
      </c>
      <c r="AJ4" s="95">
        <v>22</v>
      </c>
      <c r="AK4" s="95">
        <v>23</v>
      </c>
      <c r="AL4" s="95">
        <v>24</v>
      </c>
      <c r="AM4" s="95">
        <v>25</v>
      </c>
      <c r="AN4" s="95">
        <v>26</v>
      </c>
      <c r="AO4" s="95">
        <v>27</v>
      </c>
      <c r="AP4" s="95">
        <v>28</v>
      </c>
      <c r="AQ4" s="95">
        <v>29</v>
      </c>
      <c r="AR4" s="95">
        <v>30</v>
      </c>
      <c r="AS4" s="95"/>
      <c r="AT4" s="95"/>
      <c r="AU4" s="95"/>
      <c r="AV4" s="95"/>
      <c r="AW4" s="95"/>
      <c r="AX4" s="95">
        <v>26</v>
      </c>
      <c r="AY4" s="95">
        <v>27</v>
      </c>
      <c r="AZ4" s="95">
        <v>28</v>
      </c>
      <c r="BA4" s="95">
        <v>29</v>
      </c>
      <c r="BB4" s="95">
        <v>30</v>
      </c>
    </row>
    <row r="5" spans="1:54" ht="12.75" hidden="1" customHeight="1" x14ac:dyDescent="0.3"/>
    <row r="6" spans="1:54" ht="12.75" hidden="1" customHeight="1" x14ac:dyDescent="0.3"/>
    <row r="7" spans="1:54" ht="12.75" hidden="1" customHeight="1" x14ac:dyDescent="0.3"/>
    <row r="8" spans="1:54" ht="12.75" hidden="1" customHeight="1" x14ac:dyDescent="0.3"/>
    <row r="9" spans="1:54" ht="12.75" hidden="1" customHeight="1" x14ac:dyDescent="0.3"/>
    <row r="10" spans="1:54" ht="12.75" hidden="1" customHeight="1" x14ac:dyDescent="0.3"/>
    <row r="11" spans="1:54" ht="12.75" hidden="1" customHeight="1" x14ac:dyDescent="0.3"/>
    <row r="12" spans="1:54" ht="12.75" hidden="1" customHeight="1" x14ac:dyDescent="0.3"/>
    <row r="13" spans="1:54" ht="28.5" customHeight="1" x14ac:dyDescent="0.3">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row>
    <row r="14" spans="1:54" ht="12.75" customHeight="1" x14ac:dyDescent="0.3">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row>
    <row r="16" spans="1:54" ht="12.75" customHeight="1" thickBot="1" x14ac:dyDescent="0.35"/>
    <row r="17" spans="14:52" ht="42.75" customHeight="1" thickTop="1" x14ac:dyDescent="0.3">
      <c r="N17" s="207" t="str">
        <f>INDEX(g_lang_val,MATCH("tb_1",g_lang_key,0))</f>
        <v>Projektets økonomiske nøgletal</v>
      </c>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9"/>
    </row>
    <row r="18" spans="14:52" ht="12.75" customHeight="1" x14ac:dyDescent="0.3">
      <c r="N18" s="99"/>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row>
    <row r="19" spans="14:52" ht="22.9" customHeight="1" x14ac:dyDescent="0.3">
      <c r="N19" s="99"/>
      <c r="O19" s="102"/>
      <c r="P19" s="103"/>
      <c r="Q19" s="121" t="str">
        <f>INDEX(g_lang_val,MATCH("tb_1_1",g_lang_key,0)) &amp; " 1"</f>
        <v>Tabel 1</v>
      </c>
      <c r="R19" s="103"/>
      <c r="S19" s="103"/>
      <c r="T19" s="103"/>
      <c r="U19" s="103"/>
      <c r="V19" s="103"/>
      <c r="W19" s="103"/>
      <c r="X19" s="103"/>
      <c r="Y19" s="103"/>
      <c r="Z19" s="103"/>
      <c r="AA19" s="103"/>
      <c r="AB19" s="103"/>
      <c r="AC19" s="103"/>
      <c r="AD19" s="103"/>
      <c r="AE19" s="103"/>
      <c r="AF19" s="103"/>
      <c r="AG19" s="103"/>
      <c r="AH19" s="103"/>
      <c r="AI19" s="103"/>
      <c r="AJ19" s="103"/>
      <c r="AK19" s="103"/>
      <c r="AL19" s="103" t="s">
        <v>117</v>
      </c>
      <c r="AM19" s="103"/>
      <c r="AN19" s="103"/>
      <c r="AO19" s="103"/>
      <c r="AP19" s="103"/>
      <c r="AQ19" s="103"/>
      <c r="AR19" s="103"/>
      <c r="AS19" s="103"/>
      <c r="AT19" s="103"/>
      <c r="AU19" s="103"/>
      <c r="AV19" s="103"/>
      <c r="AW19" s="103"/>
      <c r="AX19" s="103"/>
      <c r="AY19" s="102"/>
      <c r="AZ19" s="101"/>
    </row>
    <row r="20" spans="14:52" ht="31.15" customHeight="1" x14ac:dyDescent="0.3">
      <c r="N20" s="99"/>
      <c r="O20" s="104"/>
      <c r="P20" s="105"/>
      <c r="Q20" s="106" t="str">
        <f>INDEX(g_lang_val,MATCH("tb_1_1_1",g_lang_key,0))</f>
        <v>Økonomiske nøgletal</v>
      </c>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4"/>
      <c r="AZ20" s="101"/>
    </row>
    <row r="21" spans="14:52" ht="12.75" customHeight="1" thickBot="1" x14ac:dyDescent="0.3">
      <c r="N21" s="99"/>
      <c r="O21" s="104"/>
      <c r="P21" s="105"/>
      <c r="Q21" s="107" t="str">
        <f ca="1">INDEX(g_lang_val,MATCH("tb_1_1_1_1",g_lang_key,0)) &amp;g_reporting_year&amp;INDEX(g_lang_val,MATCH("tb_1_1_1_2",g_lang_key,0))</f>
        <v>Mio. kr. 2025-pl</v>
      </c>
      <c r="R21" s="107"/>
      <c r="S21" s="108" t="str">
        <f>INDEX(g_lang_val,MATCH("le_2_2",g_lang_key,0))</f>
        <v xml:space="preserve">Total </v>
      </c>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4"/>
      <c r="AZ21" s="101"/>
    </row>
    <row r="22" spans="14:52" ht="12.75" customHeight="1" thickTop="1" x14ac:dyDescent="0.25">
      <c r="N22" s="99"/>
      <c r="O22" s="104"/>
      <c r="P22" s="105"/>
      <c r="Q22" s="109" t="str">
        <f>INDEX(g_lang_val,MATCH("tb_1_1_2",g_lang_key,0))</f>
        <v>Projektudgifter, ekskl. renter</v>
      </c>
      <c r="R22" s="110"/>
      <c r="S22" s="223">
        <f ca="1">S23+S26</f>
        <v>0</v>
      </c>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4"/>
      <c r="AZ22" s="101"/>
    </row>
    <row r="23" spans="14:52" ht="12.75" customHeight="1" x14ac:dyDescent="0.25">
      <c r="N23" s="99"/>
      <c r="O23" s="104"/>
      <c r="P23" s="105"/>
      <c r="Q23" s="112" t="str">
        <f>INDEX(g_lang_val,MATCH("le_2_1_1",g_lang_key,0))</f>
        <v>Leverancer</v>
      </c>
      <c r="R23" s="113"/>
      <c r="S23" s="114">
        <f ca="1">SUM(Leverancer!AU97:BX97)/1000</f>
        <v>0</v>
      </c>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4"/>
      <c r="AZ23" s="101"/>
    </row>
    <row r="24" spans="14:52" ht="12.75" customHeight="1" x14ac:dyDescent="0.25">
      <c r="N24" s="99"/>
      <c r="O24" s="104"/>
      <c r="P24" s="105"/>
      <c r="Q24" s="159" t="str">
        <f>INDEX(g_lang_val,MATCH("tb_1_1_3",g_lang_key,0))</f>
        <v>Interne</v>
      </c>
      <c r="R24" s="113"/>
      <c r="S24" s="114">
        <f ca="1">Leverancer!$AJ$90/1000-Leverancer!$AL$90/1000</f>
        <v>0</v>
      </c>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4"/>
      <c r="AZ24" s="101"/>
    </row>
    <row r="25" spans="14:52" ht="12.75" customHeight="1" x14ac:dyDescent="0.25">
      <c r="N25" s="99"/>
      <c r="O25" s="104"/>
      <c r="P25" s="105"/>
      <c r="Q25" s="159" t="str">
        <f>INDEX(g_lang_val,MATCH("tb_1_1_4",g_lang_key,0))</f>
        <v>Eksterne</v>
      </c>
      <c r="R25" s="113"/>
      <c r="S25" s="114">
        <f ca="1">Leverancer!$AL$90/1000</f>
        <v>0</v>
      </c>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4"/>
      <c r="AZ25" s="101"/>
    </row>
    <row r="26" spans="14:52" ht="12.75" customHeight="1" x14ac:dyDescent="0.25">
      <c r="N26" s="99"/>
      <c r="O26" s="104"/>
      <c r="P26" s="105"/>
      <c r="Q26" s="112" t="str">
        <f>INDEX(g_lang_val,MATCH("le_2_5",g_lang_key,0))</f>
        <v>Risikopulje</v>
      </c>
      <c r="R26" s="113"/>
      <c r="S26" s="114">
        <f ca="1">SUM(Leverancer!AU104:BX104)/1000</f>
        <v>0</v>
      </c>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4"/>
      <c r="AZ26" s="101"/>
    </row>
    <row r="27" spans="14:52" ht="12.75" customHeight="1" x14ac:dyDescent="0.25">
      <c r="N27" s="99"/>
      <c r="O27" s="104"/>
      <c r="P27" s="105"/>
      <c r="Q27" s="109" t="str">
        <f>INDEX(g_lang_val,MATCH("tb_1_1_5",g_lang_key,0))</f>
        <v>Driftseffekter</v>
      </c>
      <c r="R27" s="110"/>
      <c r="S27" s="111">
        <f ca="1">SUM(Leverancer!AU156:BX156)/1000</f>
        <v>0</v>
      </c>
      <c r="T27" s="105"/>
      <c r="U27" s="105"/>
      <c r="V27" s="105"/>
      <c r="W27" s="105"/>
      <c r="X27" s="105"/>
      <c r="Y27" s="11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4"/>
      <c r="AZ27" s="101"/>
    </row>
    <row r="28" spans="14:52" ht="12.75" customHeight="1" x14ac:dyDescent="0.25">
      <c r="N28" s="99"/>
      <c r="O28" s="104"/>
      <c r="P28" s="105"/>
      <c r="Q28" s="109" t="str">
        <f>INDEX(g_lang_val,MATCH("tb_1_1_6",g_lang_key,0))</f>
        <v>Samlede effekter</v>
      </c>
      <c r="R28" s="110"/>
      <c r="S28" s="111">
        <f ca="1">S22+S27</f>
        <v>0</v>
      </c>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4"/>
      <c r="AZ28" s="101"/>
    </row>
    <row r="29" spans="14:52" ht="12.75" customHeight="1" x14ac:dyDescent="0.3">
      <c r="N29" s="99"/>
      <c r="O29" s="116"/>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6"/>
      <c r="AZ29" s="101"/>
    </row>
    <row r="30" spans="14:52" ht="25.5" customHeight="1" x14ac:dyDescent="0.3">
      <c r="N30" s="118"/>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20"/>
    </row>
    <row r="31" spans="14:52" ht="12.75" customHeight="1" thickBot="1" x14ac:dyDescent="0.35"/>
    <row r="32" spans="14:52" ht="42.75" customHeight="1" thickTop="1" thickBot="1" x14ac:dyDescent="0.35">
      <c r="N32" s="204" t="str">
        <f>INDEX(g_lang_val,MATCH("tb_2",g_lang_key,0))</f>
        <v>Oversigtstabeller</v>
      </c>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6"/>
    </row>
    <row r="33" spans="14:52" ht="32.25" customHeight="1" thickTop="1" x14ac:dyDescent="0.3">
      <c r="N33" s="210" t="str">
        <f>INDEX(g_lang_val,MATCH("tb_2_1",g_lang_key,0))</f>
        <v>Oversigtstabel til Finansudvalget</v>
      </c>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2"/>
    </row>
    <row r="34" spans="14:52" ht="12.75" customHeight="1" x14ac:dyDescent="0.3">
      <c r="N34" s="99"/>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1"/>
    </row>
    <row r="35" spans="14:52" ht="22.9" customHeight="1" x14ac:dyDescent="0.3">
      <c r="N35" s="99"/>
      <c r="O35" s="102"/>
      <c r="P35" s="102"/>
      <c r="Q35" s="121" t="str">
        <f>INDEX(g_lang_val,MATCH("tb_1_1",g_lang_key,0)) &amp; " 2"</f>
        <v>Tabel 2</v>
      </c>
      <c r="R35" s="102"/>
      <c r="S35" s="102"/>
      <c r="T35" s="102"/>
      <c r="U35" s="102"/>
      <c r="V35" s="102"/>
      <c r="W35" s="102"/>
      <c r="X35" s="102"/>
      <c r="Y35" s="102"/>
      <c r="Z35" s="102"/>
      <c r="AA35" s="102"/>
      <c r="AB35" s="102"/>
      <c r="AC35" s="102"/>
      <c r="AD35" s="102"/>
      <c r="AE35" s="102"/>
      <c r="AF35" s="102"/>
      <c r="AG35" s="102"/>
      <c r="AH35" s="102"/>
      <c r="AI35" s="102"/>
      <c r="AJ35" s="102"/>
      <c r="AK35" s="102"/>
      <c r="AL35" s="102" t="s">
        <v>117</v>
      </c>
      <c r="AM35" s="102"/>
      <c r="AN35" s="102"/>
      <c r="AO35" s="102"/>
      <c r="AP35" s="102"/>
      <c r="AQ35" s="102"/>
      <c r="AR35" s="102"/>
      <c r="AS35" s="102"/>
      <c r="AT35" s="102"/>
      <c r="AU35" s="102"/>
      <c r="AV35" s="102"/>
      <c r="AW35" s="102"/>
      <c r="AX35" s="102"/>
      <c r="AY35" s="102"/>
      <c r="AZ35" s="101"/>
    </row>
    <row r="36" spans="14:52" ht="31.15" customHeight="1" x14ac:dyDescent="0.3">
      <c r="N36" s="99"/>
      <c r="O36" s="104"/>
      <c r="P36" s="104"/>
      <c r="Q36" s="122" t="str">
        <f>INDEX(g_lang_val,MATCH("tb_2_1_1",g_lang_key,0))</f>
        <v>Omkostningsbaserede projektudgifter</v>
      </c>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1"/>
    </row>
    <row r="37" spans="14:52" ht="12.75" customHeight="1" thickBot="1" x14ac:dyDescent="0.3">
      <c r="N37" s="99"/>
      <c r="O37" s="104"/>
      <c r="P37" s="104"/>
      <c r="Q37" s="107" t="str">
        <f ca="1">INDEX(g_lang_val,MATCH("tb_1_1_1_1",g_lang_key,0)) &amp;g_reporting_year&amp;INDEX(g_lang_val,MATCH("tb_1_1_1_2",g_lang_key,0))</f>
        <v>Mio. kr. 2025-pl</v>
      </c>
      <c r="R37" s="123"/>
      <c r="S37" s="108" t="str">
        <f>INDEX(g_lang_val,MATCH("le_2_2",g_lang_key,0))</f>
        <v xml:space="preserve">Total </v>
      </c>
      <c r="T37" s="124">
        <f ca="1">Leverancer!AU114</f>
        <v>2025</v>
      </c>
      <c r="U37" s="124">
        <f ca="1">Leverancer!AV114</f>
        <v>2026</v>
      </c>
      <c r="V37" s="124">
        <f ca="1">Leverancer!AW114</f>
        <v>2027</v>
      </c>
      <c r="W37" s="124">
        <f ca="1">Leverancer!AX114</f>
        <v>2028</v>
      </c>
      <c r="X37" s="124" t="str">
        <f ca="1">Leverancer!AY114</f>
        <v/>
      </c>
      <c r="Y37" s="124" t="str">
        <f ca="1">Leverancer!AZ114</f>
        <v/>
      </c>
      <c r="Z37" s="124" t="str">
        <f ca="1">Leverancer!BA114</f>
        <v/>
      </c>
      <c r="AA37" s="124" t="str">
        <f ca="1">Leverancer!BB114</f>
        <v/>
      </c>
      <c r="AB37" s="124" t="str">
        <f ca="1">Leverancer!BC114</f>
        <v/>
      </c>
      <c r="AC37" s="124" t="str">
        <f ca="1">Leverancer!BD114</f>
        <v/>
      </c>
      <c r="AD37" s="124" t="str">
        <f ca="1">Leverancer!BE114</f>
        <v/>
      </c>
      <c r="AE37" s="124" t="str">
        <f ca="1">Leverancer!BF114</f>
        <v/>
      </c>
      <c r="AF37" s="124" t="str">
        <f ca="1">Leverancer!BG114</f>
        <v/>
      </c>
      <c r="AG37" s="124" t="str">
        <f ca="1">Leverancer!BH114</f>
        <v/>
      </c>
      <c r="AH37" s="124" t="str">
        <f ca="1">Leverancer!BI114</f>
        <v/>
      </c>
      <c r="AI37" s="124" t="str">
        <f ca="1">Leverancer!BJ114</f>
        <v/>
      </c>
      <c r="AJ37" s="124" t="str">
        <f ca="1">Leverancer!BK114</f>
        <v/>
      </c>
      <c r="AK37" s="124" t="str">
        <f ca="1">Leverancer!BL114</f>
        <v/>
      </c>
      <c r="AL37" s="124" t="str">
        <f ca="1">Leverancer!BM114</f>
        <v/>
      </c>
      <c r="AM37" s="124" t="str">
        <f ca="1">Leverancer!BN114</f>
        <v/>
      </c>
      <c r="AN37" s="124" t="str">
        <f ca="1">Leverancer!BO114</f>
        <v/>
      </c>
      <c r="AO37" s="124" t="str">
        <f ca="1">Leverancer!BP114</f>
        <v/>
      </c>
      <c r="AP37" s="124" t="str">
        <f ca="1">Leverancer!BQ114</f>
        <v/>
      </c>
      <c r="AQ37" s="124" t="str">
        <f ca="1">Leverancer!BR114</f>
        <v/>
      </c>
      <c r="AR37" s="124" t="str">
        <f ca="1">Leverancer!BS114</f>
        <v/>
      </c>
      <c r="AS37" s="124" t="str">
        <f ca="1">Leverancer!BT114</f>
        <v/>
      </c>
      <c r="AT37" s="124" t="str">
        <f ca="1">Leverancer!BU114</f>
        <v/>
      </c>
      <c r="AU37" s="124" t="str">
        <f ca="1">Leverancer!BV114</f>
        <v/>
      </c>
      <c r="AV37" s="124" t="str">
        <f ca="1">Leverancer!BW114</f>
        <v/>
      </c>
      <c r="AW37" s="124" t="str">
        <f ca="1">Leverancer!BX114</f>
        <v/>
      </c>
      <c r="AX37" s="104"/>
      <c r="AY37" s="104"/>
      <c r="AZ37" s="101"/>
    </row>
    <row r="38" spans="14:52" ht="12.75" customHeight="1" thickTop="1" x14ac:dyDescent="0.25">
      <c r="N38" s="99"/>
      <c r="O38" s="104"/>
      <c r="P38" s="104"/>
      <c r="Q38" s="125" t="str">
        <f>INDEX(g_lang_val,MATCH("tb_2_1_2",g_lang_key,0))</f>
        <v>Aktiverbare projektudgifter, afskrivninger</v>
      </c>
      <c r="R38" s="126"/>
      <c r="S38" s="127">
        <f ca="1">SUM(T38:BG38)</f>
        <v>0</v>
      </c>
      <c r="T38" s="128">
        <f ca="1">IF(T37="","",T153+T158+T163+T168+T173+T178+T183+T188+T193+T198+T203+T208+T213+T218+T223+T228+T233+T238+T243+T248)</f>
        <v>0</v>
      </c>
      <c r="U38" s="128">
        <f t="shared" ref="U38:AW38" ca="1" si="0">IF(U37="","",U153+U158+U163+U168+U173+U178+U183+U188+U193+U198+U203+U208+U213+U218+U223+U228+U233+U238+U243+U248)</f>
        <v>0</v>
      </c>
      <c r="V38" s="128">
        <f t="shared" ca="1" si="0"/>
        <v>0</v>
      </c>
      <c r="W38" s="128">
        <f t="shared" ca="1" si="0"/>
        <v>0</v>
      </c>
      <c r="X38" s="128" t="str">
        <f t="shared" ca="1" si="0"/>
        <v/>
      </c>
      <c r="Y38" s="128" t="str">
        <f t="shared" ca="1" si="0"/>
        <v/>
      </c>
      <c r="Z38" s="128" t="str">
        <f t="shared" ca="1" si="0"/>
        <v/>
      </c>
      <c r="AA38" s="128" t="str">
        <f ca="1">IF(AA37="","",AA153+AA158+AA163+AA168+AA173+AA178+AA183+AA188+AA193+AA198+AA203+AA208+AA213+AA218+AA223+AA228+AA233+AA238+AA243+AA248)</f>
        <v/>
      </c>
      <c r="AB38" s="128" t="str">
        <f t="shared" ca="1" si="0"/>
        <v/>
      </c>
      <c r="AC38" s="128" t="str">
        <f t="shared" ca="1" si="0"/>
        <v/>
      </c>
      <c r="AD38" s="128" t="str">
        <f t="shared" ca="1" si="0"/>
        <v/>
      </c>
      <c r="AE38" s="128" t="str">
        <f t="shared" ca="1" si="0"/>
        <v/>
      </c>
      <c r="AF38" s="128" t="str">
        <f t="shared" ca="1" si="0"/>
        <v/>
      </c>
      <c r="AG38" s="128" t="str">
        <f t="shared" ca="1" si="0"/>
        <v/>
      </c>
      <c r="AH38" s="128" t="str">
        <f t="shared" ca="1" si="0"/>
        <v/>
      </c>
      <c r="AI38" s="128" t="str">
        <f t="shared" ca="1" si="0"/>
        <v/>
      </c>
      <c r="AJ38" s="128" t="str">
        <f t="shared" ca="1" si="0"/>
        <v/>
      </c>
      <c r="AK38" s="128" t="str">
        <f t="shared" ca="1" si="0"/>
        <v/>
      </c>
      <c r="AL38" s="128" t="str">
        <f t="shared" ca="1" si="0"/>
        <v/>
      </c>
      <c r="AM38" s="128" t="str">
        <f t="shared" ca="1" si="0"/>
        <v/>
      </c>
      <c r="AN38" s="128" t="str">
        <f t="shared" ca="1" si="0"/>
        <v/>
      </c>
      <c r="AO38" s="128" t="str">
        <f t="shared" ca="1" si="0"/>
        <v/>
      </c>
      <c r="AP38" s="128" t="str">
        <f t="shared" ca="1" si="0"/>
        <v/>
      </c>
      <c r="AQ38" s="128" t="str">
        <f t="shared" ca="1" si="0"/>
        <v/>
      </c>
      <c r="AR38" s="128" t="str">
        <f t="shared" ca="1" si="0"/>
        <v/>
      </c>
      <c r="AS38" s="128" t="str">
        <f t="shared" ca="1" si="0"/>
        <v/>
      </c>
      <c r="AT38" s="128" t="str">
        <f t="shared" ca="1" si="0"/>
        <v/>
      </c>
      <c r="AU38" s="128" t="str">
        <f t="shared" ca="1" si="0"/>
        <v/>
      </c>
      <c r="AV38" s="128" t="str">
        <f t="shared" ca="1" si="0"/>
        <v/>
      </c>
      <c r="AW38" s="128" t="str">
        <f t="shared" ca="1" si="0"/>
        <v/>
      </c>
      <c r="AX38" s="104"/>
      <c r="AY38" s="104"/>
      <c r="AZ38" s="101"/>
    </row>
    <row r="39" spans="14:52" ht="12.75" customHeight="1" x14ac:dyDescent="0.25">
      <c r="N39" s="99"/>
      <c r="O39" s="104"/>
      <c r="P39" s="104"/>
      <c r="Q39" s="125" t="str">
        <f>INDEX(g_lang_val,MATCH("tb_2_1_3",g_lang_key,0))</f>
        <v>Ikke-aktiverbare projektudgifter</v>
      </c>
      <c r="R39" s="126"/>
      <c r="S39" s="127">
        <f ca="1">SUM(T39:BG39)</f>
        <v>0</v>
      </c>
      <c r="T39" s="128">
        <f ca="1">IF(T50="","",SUMPRODUCT(--(Leverancer!$C$28:$C$88&gt;0),Leverancer!AU$28:AU$88)*Leverancer!AU96/1000-SUMPRODUCT(--(Leverancer!$C$28:$C$88&gt;2),Leverancer!AU$28:AU$88,Leverancer!$AR$28:$AR$88)*Leverancer!AU96/1000+T40)</f>
        <v>0</v>
      </c>
      <c r="U39" s="128">
        <f ca="1">IF(U50="","",SUMPRODUCT(--(Leverancer!$C$28:$C$88&gt;0),Leverancer!AV$28:AV$88)*Leverancer!AV96/1000-SUMPRODUCT(--(Leverancer!$C$28:$C$88&gt;2),Leverancer!AV$28:AV$88,Leverancer!$AR$28:$AR$88)*Leverancer!AV96/1000+U40)</f>
        <v>0</v>
      </c>
      <c r="V39" s="128">
        <f ca="1">IF(V50="","",SUMPRODUCT(--(Leverancer!$C$28:$C$88&gt;0),Leverancer!AW$28:AW$88)*Leverancer!AW96/1000-SUMPRODUCT(--(Leverancer!$C$28:$C$88&gt;2),Leverancer!AW$28:AW$88,Leverancer!$AR$28:$AR$88)*Leverancer!AW96/1000+V40)</f>
        <v>0</v>
      </c>
      <c r="W39" s="128">
        <f ca="1">IF(W50="","",SUMPRODUCT(--(Leverancer!$C$28:$C$88&gt;0),Leverancer!AX$28:AX$88)*Leverancer!AX96/1000-SUMPRODUCT(--(Leverancer!$C$28:$C$88&gt;2),Leverancer!AX$28:AX$88,Leverancer!$AR$28:$AR$88)*Leverancer!AX96/1000+W40)</f>
        <v>0</v>
      </c>
      <c r="X39" s="128" t="str">
        <f ca="1">IF(X50="","",SUMPRODUCT(--(Leverancer!$C$28:$C$88&gt;0),Leverancer!AY$28:AY$88)*Leverancer!AY96/1000-SUMPRODUCT(--(Leverancer!$C$28:$C$88&gt;2),Leverancer!AY$28:AY$88,Leverancer!$AR$28:$AR$88)*Leverancer!AY96/1000+X40)</f>
        <v/>
      </c>
      <c r="Y39" s="128" t="str">
        <f ca="1">IF(Y50="","",SUMPRODUCT(--(Leverancer!$C$28:$C$88&gt;0),Leverancer!AZ$28:AZ$88)*Leverancer!AZ96/1000-SUMPRODUCT(--(Leverancer!$C$28:$C$88&gt;2),Leverancer!AZ$28:AZ$88,Leverancer!$AR$28:$AR$88)*Leverancer!AZ96/1000+Y40)</f>
        <v/>
      </c>
      <c r="Z39" s="128" t="str">
        <f ca="1">IF(Z50="","",SUMPRODUCT(--(Leverancer!$C$28:$C$88&gt;0),Leverancer!BA$28:BA$88)*Leverancer!BA96/1000-SUMPRODUCT(--(Leverancer!$C$28:$C$88&gt;2),Leverancer!BA$28:BA$88,Leverancer!$AR$28:$AR$88)*Leverancer!BA96/1000+Z40)</f>
        <v/>
      </c>
      <c r="AA39" s="128" t="str">
        <f ca="1">IF(AA50="","",SUMPRODUCT(--(Leverancer!$C$28:$C$88&gt;0),Leverancer!BB$28:BB$88)*Leverancer!BB96/1000-SUMPRODUCT(--(Leverancer!$C$28:$C$88&gt;2),Leverancer!BB$28:BB$88,Leverancer!$AR$28:$AR$88)*Leverancer!BB96/1000+AA40)</f>
        <v/>
      </c>
      <c r="AB39" s="128" t="str">
        <f ca="1">IF(AB50="","",SUMPRODUCT(--(Leverancer!$C$28:$C$88&gt;0),Leverancer!BC$28:BC$88)*Leverancer!BC96/1000-SUMPRODUCT(--(Leverancer!$C$28:$C$88&gt;2),Leverancer!BC$28:BC$88,Leverancer!$AR$28:$AR$88)*Leverancer!BC96/1000+AB40)</f>
        <v/>
      </c>
      <c r="AC39" s="128" t="str">
        <f ca="1">IF(AC50="","",SUMPRODUCT(--(Leverancer!$C$28:$C$88&gt;0),Leverancer!BD$28:BD$88)*Leverancer!BD96/1000-SUMPRODUCT(--(Leverancer!$C$28:$C$88&gt;2),Leverancer!BD$28:BD$88,Leverancer!$AR$28:$AR$88)*Leverancer!BD96/1000+AC40)</f>
        <v/>
      </c>
      <c r="AD39" s="128" t="str">
        <f ca="1">IF(AD50="","",SUMPRODUCT(--(Leverancer!$C$28:$C$88&gt;0),Leverancer!BE$28:BE$88)*Leverancer!BE96/1000-SUMPRODUCT(--(Leverancer!$C$28:$C$88&gt;2),Leverancer!BE$28:BE$88,Leverancer!$AR$28:$AR$88)*Leverancer!BE96/1000+AD40)</f>
        <v/>
      </c>
      <c r="AE39" s="128" t="str">
        <f ca="1">IF(AE50="","",SUMPRODUCT(--(Leverancer!$C$28:$C$88&gt;0),Leverancer!BF$28:BF$88)*Leverancer!BF96/1000-SUMPRODUCT(--(Leverancer!$C$28:$C$88&gt;2),Leverancer!BF$28:BF$88,Leverancer!$AR$28:$AR$88)*Leverancer!BF96/1000+AE40)</f>
        <v/>
      </c>
      <c r="AF39" s="128" t="str">
        <f ca="1">IF(AF50="","",SUMPRODUCT(--(Leverancer!$C$28:$C$88&gt;0),Leverancer!BG$28:BG$88)*Leverancer!BG96/1000-SUMPRODUCT(--(Leverancer!$C$28:$C$88&gt;2),Leverancer!BG$28:BG$88,Leverancer!$AR$28:$AR$88)*Leverancer!BG96/1000+AF40)</f>
        <v/>
      </c>
      <c r="AG39" s="128" t="str">
        <f ca="1">IF(AG50="","",SUMPRODUCT(--(Leverancer!$C$28:$C$88&gt;0),Leverancer!BH$28:BH$88)*Leverancer!BH96/1000-SUMPRODUCT(--(Leverancer!$C$28:$C$88&gt;2),Leverancer!BH$28:BH$88,Leverancer!$AR$28:$AR$88)*Leverancer!BH96/1000+AG40)</f>
        <v/>
      </c>
      <c r="AH39" s="128" t="str">
        <f ca="1">IF(AH50="","",SUMPRODUCT(--(Leverancer!$C$28:$C$88&gt;0),Leverancer!BI$28:BI$88)*Leverancer!BI96/1000-SUMPRODUCT(--(Leverancer!$C$28:$C$88&gt;2),Leverancer!BI$28:BI$88,Leverancer!$AR$28:$AR$88)*Leverancer!BI96/1000+AH40)</f>
        <v/>
      </c>
      <c r="AI39" s="128" t="str">
        <f ca="1">IF(AI50="","",SUMPRODUCT(--(Leverancer!$C$28:$C$88&gt;0),Leverancer!BJ$28:BJ$88)*Leverancer!BJ96/1000-SUMPRODUCT(--(Leverancer!$C$28:$C$88&gt;2),Leverancer!BJ$28:BJ$88,Leverancer!$AR$28:$AR$88)*Leverancer!BJ96/1000+AI40)</f>
        <v/>
      </c>
      <c r="AJ39" s="128" t="str">
        <f ca="1">IF(AJ50="","",SUMPRODUCT(--(Leverancer!$C$28:$C$88&gt;0),Leverancer!BK$28:BK$88)*Leverancer!BK96/1000-SUMPRODUCT(--(Leverancer!$C$28:$C$88&gt;2),Leverancer!BK$28:BK$88,Leverancer!$AR$28:$AR$88)*Leverancer!BK96/1000+AJ40)</f>
        <v/>
      </c>
      <c r="AK39" s="128" t="str">
        <f ca="1">IF(AK50="","",SUMPRODUCT(--(Leverancer!$C$28:$C$88&gt;0),Leverancer!BL$28:BL$88)*Leverancer!BL96/1000-SUMPRODUCT(--(Leverancer!$C$28:$C$88&gt;2),Leverancer!BL$28:BL$88,Leverancer!$AR$28:$AR$88)*Leverancer!BL96/1000+AK40)</f>
        <v/>
      </c>
      <c r="AL39" s="128" t="str">
        <f ca="1">IF(AL50="","",SUMPRODUCT(--(Leverancer!$C$28:$C$88&gt;0),Leverancer!BM$28:BM$88)*Leverancer!BM96/1000-SUMPRODUCT(--(Leverancer!$C$28:$C$88&gt;2),Leverancer!BM$28:BM$88,Leverancer!$AR$28:$AR$88)*Leverancer!BM96/1000+AL40)</f>
        <v/>
      </c>
      <c r="AM39" s="128" t="str">
        <f ca="1">IF(AM50="","",SUMPRODUCT(--(Leverancer!$C$28:$C$88&gt;0),Leverancer!BN$28:BN$88)*Leverancer!BN96/1000-SUMPRODUCT(--(Leverancer!$C$28:$C$88&gt;2),Leverancer!BN$28:BN$88,Leverancer!$AR$28:$AR$88)*Leverancer!BN96/1000+AM40)</f>
        <v/>
      </c>
      <c r="AN39" s="128" t="str">
        <f ca="1">IF(AN50="","",SUMPRODUCT(--(Leverancer!$C$28:$C$88&gt;0),Leverancer!BO$28:BO$88)*Leverancer!BO96/1000-SUMPRODUCT(--(Leverancer!$C$28:$C$88&gt;2),Leverancer!BO$28:BO$88,Leverancer!$AR$28:$AR$88)*Leverancer!BO96/1000+AN40)</f>
        <v/>
      </c>
      <c r="AO39" s="128" t="str">
        <f ca="1">IF(AO50="","",SUMPRODUCT(--(Leverancer!$C$28:$C$88&gt;0),Leverancer!BP$28:BP$88)*Leverancer!BP96/1000-SUMPRODUCT(--(Leverancer!$C$28:$C$88&gt;2),Leverancer!BP$28:BP$88,Leverancer!$AR$28:$AR$88)*Leverancer!BP96/1000+AO40)</f>
        <v/>
      </c>
      <c r="AP39" s="128" t="str">
        <f ca="1">IF(AP50="","",SUMPRODUCT(--(Leverancer!$C$28:$C$88&gt;0),Leverancer!BQ$28:BQ$88)*Leverancer!BQ96/1000-SUMPRODUCT(--(Leverancer!$C$28:$C$88&gt;2),Leverancer!BQ$28:BQ$88,Leverancer!$AR$28:$AR$88)*Leverancer!BQ96/1000+AP40)</f>
        <v/>
      </c>
      <c r="AQ39" s="128" t="str">
        <f ca="1">IF(AQ50="","",SUMPRODUCT(--(Leverancer!$C$28:$C$88&gt;0),Leverancer!BR$28:BR$88)*Leverancer!BR96/1000-SUMPRODUCT(--(Leverancer!$C$28:$C$88&gt;2),Leverancer!BR$28:BR$88,Leverancer!$AR$28:$AR$88)*Leverancer!BR96/1000+AQ40)</f>
        <v/>
      </c>
      <c r="AR39" s="128" t="str">
        <f ca="1">IF(AR50="","",SUMPRODUCT(--(Leverancer!$C$28:$C$88&gt;0),Leverancer!BS$28:BS$88)*Leverancer!BS96/1000-SUMPRODUCT(--(Leverancer!$C$28:$C$88&gt;2),Leverancer!BS$28:BS$88,Leverancer!$AR$28:$AR$88)*Leverancer!BS96/1000+AR40)</f>
        <v/>
      </c>
      <c r="AS39" s="128" t="str">
        <f ca="1">IF(AS50="","",SUMPRODUCT(--(Leverancer!$C$28:$C$88&gt;0),Leverancer!BT$28:BT$88)*Leverancer!BT96/1000-SUMPRODUCT(--(Leverancer!$C$28:$C$88&gt;2),Leverancer!BT$28:BT$88,Leverancer!$AR$28:$AR$88)*Leverancer!BT96/1000+AS40)</f>
        <v/>
      </c>
      <c r="AT39" s="128" t="str">
        <f ca="1">IF(AT50="","",SUMPRODUCT(--(Leverancer!$C$28:$C$88&gt;0),Leverancer!BU$28:BU$88)*Leverancer!BU96/1000-SUMPRODUCT(--(Leverancer!$C$28:$C$88&gt;2),Leverancer!BU$28:BU$88,Leverancer!$AR$28:$AR$88)*Leverancer!BU96/1000+AT40)</f>
        <v/>
      </c>
      <c r="AU39" s="128" t="str">
        <f ca="1">IF(AU50="","",SUMPRODUCT(--(Leverancer!$C$28:$C$88&gt;0),Leverancer!BV$28:BV$88)*Leverancer!BV96/1000-SUMPRODUCT(--(Leverancer!$C$28:$C$88&gt;2),Leverancer!BV$28:BV$88,Leverancer!$AR$28:$AR$88)*Leverancer!BV96/1000+AU40)</f>
        <v/>
      </c>
      <c r="AV39" s="128" t="str">
        <f ca="1">IF(AV50="","",SUMPRODUCT(--(Leverancer!$C$28:$C$88&gt;0),Leverancer!BW$28:BW$88)*Leverancer!BW96/1000-SUMPRODUCT(--(Leverancer!$C$28:$C$88&gt;2),Leverancer!BW$28:BW$88,Leverancer!$AR$28:$AR$88)*Leverancer!BW96/1000+AV40)</f>
        <v/>
      </c>
      <c r="AW39" s="128" t="str">
        <f ca="1">IF(AW50="","",SUMPRODUCT(--(Leverancer!$C$28:$C$88&gt;0),Leverancer!BX$28:BX$88)*Leverancer!BX96/1000-SUMPRODUCT(--(Leverancer!$C$28:$C$88&gt;2),Leverancer!BX$28:BX$88,Leverancer!$AR$28:$AR$88)*Leverancer!BX96/1000+AW40)</f>
        <v/>
      </c>
      <c r="AX39" s="104"/>
      <c r="AY39" s="104"/>
      <c r="AZ39" s="101"/>
    </row>
    <row r="40" spans="14:52" ht="12.75" customHeight="1" x14ac:dyDescent="0.25">
      <c r="N40" s="99"/>
      <c r="O40" s="104"/>
      <c r="P40" s="104"/>
      <c r="Q40" s="129" t="str">
        <f>INDEX(g_lang_val,MATCH("le_2_5",g_lang_key,0))</f>
        <v>Risikopulje</v>
      </c>
      <c r="R40" s="130"/>
      <c r="S40" s="127">
        <f t="shared" ref="S40:S43" ca="1" si="1">SUM(T40:BG40)</f>
        <v>0</v>
      </c>
      <c r="T40" s="128">
        <f ca="1">IF(T$50="","",INDEX(Leverancer!AU104:BX104,1)/1000)</f>
        <v>0</v>
      </c>
      <c r="U40" s="128">
        <f ca="1">IF(U$50="","",INDEX(Leverancer!AV104:BY104,1)/1000)</f>
        <v>0</v>
      </c>
      <c r="V40" s="128">
        <f ca="1">IF(V$50="","",INDEX(Leverancer!AW104:BZ104,1)/1000)</f>
        <v>0</v>
      </c>
      <c r="W40" s="128">
        <f ca="1">IF(W$50="","",INDEX(Leverancer!AX104:CA104,1)/1000)</f>
        <v>0</v>
      </c>
      <c r="X40" s="128" t="str">
        <f ca="1">IF(X$50="","",INDEX(Leverancer!AY104:CB104,1)/1000)</f>
        <v/>
      </c>
      <c r="Y40" s="128" t="str">
        <f ca="1">IF(Y$50="","",INDEX(Leverancer!AZ104:CC104,1)/1000)</f>
        <v/>
      </c>
      <c r="Z40" s="128" t="str">
        <f ca="1">IF(Z$50="","",INDEX(Leverancer!BA104:CD104,1)/1000)</f>
        <v/>
      </c>
      <c r="AA40" s="128" t="str">
        <f ca="1">IF(AA$50="","",INDEX(Leverancer!BB104:CE104,1)/1000)</f>
        <v/>
      </c>
      <c r="AB40" s="128" t="str">
        <f ca="1">IF(AB$50="","",INDEX(Leverancer!BC104:CF104,1)/1000)</f>
        <v/>
      </c>
      <c r="AC40" s="128" t="str">
        <f ca="1">IF(AC$50="","",INDEX(Leverancer!BD104:CG104,1)/1000)</f>
        <v/>
      </c>
      <c r="AD40" s="128" t="str">
        <f ca="1">IF(AD$50="","",INDEX(Leverancer!BE104:CH104,1)/1000)</f>
        <v/>
      </c>
      <c r="AE40" s="128" t="str">
        <f ca="1">IF(AE$50="","",INDEX(Leverancer!BF104:CI104,1)/1000)</f>
        <v/>
      </c>
      <c r="AF40" s="128" t="str">
        <f ca="1">IF(AF$50="","",INDEX(Leverancer!BG104:CJ104,1)/1000)</f>
        <v/>
      </c>
      <c r="AG40" s="128" t="str">
        <f ca="1">IF(AG$50="","",INDEX(Leverancer!BH104:CK104,1)/1000)</f>
        <v/>
      </c>
      <c r="AH40" s="128" t="str">
        <f ca="1">IF(AH$50="","",INDEX(Leverancer!BI104:CL104,1)/1000)</f>
        <v/>
      </c>
      <c r="AI40" s="128" t="str">
        <f ca="1">IF(AI$50="","",INDEX(Leverancer!BJ104:CM104,1)/1000)</f>
        <v/>
      </c>
      <c r="AJ40" s="128" t="str">
        <f ca="1">IF(AJ$50="","",INDEX(Leverancer!BK104:CN104,1)/1000)</f>
        <v/>
      </c>
      <c r="AK40" s="128" t="str">
        <f ca="1">IF(AK$50="","",INDEX(Leverancer!BL104:CO104,1)/1000)</f>
        <v/>
      </c>
      <c r="AL40" s="128" t="str">
        <f ca="1">IF(AL$50="","",INDEX(Leverancer!BM104:CP104,1)/1000)</f>
        <v/>
      </c>
      <c r="AM40" s="128" t="str">
        <f ca="1">IF(AM$50="","",INDEX(Leverancer!BN104:CQ104,1)/1000)</f>
        <v/>
      </c>
      <c r="AN40" s="128" t="str">
        <f ca="1">IF(AN$50="","",INDEX(Leverancer!BO104:CR104,1)/1000)</f>
        <v/>
      </c>
      <c r="AO40" s="128" t="str">
        <f ca="1">IF(AO$50="","",INDEX(Leverancer!BP104:CS104,1)/1000)</f>
        <v/>
      </c>
      <c r="AP40" s="128" t="str">
        <f ca="1">IF(AP$50="","",INDEX(Leverancer!BQ104:CT104,1)/1000)</f>
        <v/>
      </c>
      <c r="AQ40" s="128" t="str">
        <f ca="1">IF(AQ$50="","",INDEX(Leverancer!BR104:CU104,1)/1000)</f>
        <v/>
      </c>
      <c r="AR40" s="128" t="str">
        <f ca="1">IF(AR$50="","",INDEX(Leverancer!BS104:CV104,1)/1000)</f>
        <v/>
      </c>
      <c r="AS40" s="128" t="str">
        <f ca="1">IF(AS$50="","",INDEX(Leverancer!BT104:CW104,1)/1000)</f>
        <v/>
      </c>
      <c r="AT40" s="128" t="str">
        <f ca="1">IF(AT$50="","",INDEX(Leverancer!BU104:CX104,1)/1000)</f>
        <v/>
      </c>
      <c r="AU40" s="128" t="str">
        <f ca="1">IF(AU$50="","",INDEX(Leverancer!BV104:CY104,1)/1000)</f>
        <v/>
      </c>
      <c r="AV40" s="128" t="str">
        <f ca="1">IF(AV$50="","",INDEX(Leverancer!BW104:CZ104,1)/1000)</f>
        <v/>
      </c>
      <c r="AW40" s="128" t="str">
        <f ca="1">IF(AW50="","",INDEX(Leverancer!BX:BX,64)/1000)</f>
        <v/>
      </c>
      <c r="AX40" s="104"/>
      <c r="AY40" s="104"/>
      <c r="AZ40" s="101"/>
    </row>
    <row r="41" spans="14:52" ht="12.75" customHeight="1" x14ac:dyDescent="0.25">
      <c r="N41" s="99"/>
      <c r="O41" s="104"/>
      <c r="P41" s="104"/>
      <c r="Q41" s="131" t="str">
        <f>INDEX(g_lang_val,MATCH("tb_2_1_4",g_lang_key,0))</f>
        <v>Total, ekskl. renter</v>
      </c>
      <c r="R41" s="132"/>
      <c r="S41" s="133">
        <f ca="1">SUM(T41:BG41)</f>
        <v>0</v>
      </c>
      <c r="T41" s="134">
        <f ca="1">IF(T37="","",SUM(T38:T39))</f>
        <v>0</v>
      </c>
      <c r="U41" s="134">
        <f ca="1">IF(U37="","",SUM(U38:U39))</f>
        <v>0</v>
      </c>
      <c r="V41" s="134">
        <f ca="1">IF(V37="","",SUM(V38:V39))</f>
        <v>0</v>
      </c>
      <c r="W41" s="134">
        <f ca="1">IF(W37="","",SUM(W38:W39))</f>
        <v>0</v>
      </c>
      <c r="X41" s="134" t="str">
        <f t="shared" ref="X41:AC41" ca="1" si="2">IF(X37="","",SUM(X38:X39))</f>
        <v/>
      </c>
      <c r="Y41" s="134" t="str">
        <f t="shared" ca="1" si="2"/>
        <v/>
      </c>
      <c r="Z41" s="134" t="str">
        <f t="shared" ca="1" si="2"/>
        <v/>
      </c>
      <c r="AA41" s="134" t="str">
        <f t="shared" ca="1" si="2"/>
        <v/>
      </c>
      <c r="AB41" s="134" t="str">
        <f t="shared" ca="1" si="2"/>
        <v/>
      </c>
      <c r="AC41" s="134" t="str">
        <f t="shared" ca="1" si="2"/>
        <v/>
      </c>
      <c r="AD41" s="134" t="str">
        <f t="shared" ref="AD41:AW41" ca="1" si="3">IF(AD37="","",SUM(AD38:AD39))</f>
        <v/>
      </c>
      <c r="AE41" s="134" t="str">
        <f t="shared" ca="1" si="3"/>
        <v/>
      </c>
      <c r="AF41" s="134" t="str">
        <f t="shared" ca="1" si="3"/>
        <v/>
      </c>
      <c r="AG41" s="134" t="str">
        <f t="shared" ca="1" si="3"/>
        <v/>
      </c>
      <c r="AH41" s="134" t="str">
        <f t="shared" ca="1" si="3"/>
        <v/>
      </c>
      <c r="AI41" s="134" t="str">
        <f t="shared" ca="1" si="3"/>
        <v/>
      </c>
      <c r="AJ41" s="134" t="str">
        <f t="shared" ca="1" si="3"/>
        <v/>
      </c>
      <c r="AK41" s="134" t="str">
        <f t="shared" ca="1" si="3"/>
        <v/>
      </c>
      <c r="AL41" s="134" t="str">
        <f t="shared" ca="1" si="3"/>
        <v/>
      </c>
      <c r="AM41" s="134" t="str">
        <f t="shared" ca="1" si="3"/>
        <v/>
      </c>
      <c r="AN41" s="134" t="str">
        <f t="shared" ca="1" si="3"/>
        <v/>
      </c>
      <c r="AO41" s="134" t="str">
        <f t="shared" ca="1" si="3"/>
        <v/>
      </c>
      <c r="AP41" s="134" t="str">
        <f t="shared" ca="1" si="3"/>
        <v/>
      </c>
      <c r="AQ41" s="134" t="str">
        <f t="shared" ca="1" si="3"/>
        <v/>
      </c>
      <c r="AR41" s="134" t="str">
        <f t="shared" ca="1" si="3"/>
        <v/>
      </c>
      <c r="AS41" s="134" t="str">
        <f t="shared" ca="1" si="3"/>
        <v/>
      </c>
      <c r="AT41" s="134" t="str">
        <f t="shared" ca="1" si="3"/>
        <v/>
      </c>
      <c r="AU41" s="134" t="str">
        <f t="shared" ca="1" si="3"/>
        <v/>
      </c>
      <c r="AV41" s="134" t="str">
        <f t="shared" ca="1" si="3"/>
        <v/>
      </c>
      <c r="AW41" s="134" t="str">
        <f t="shared" ca="1" si="3"/>
        <v/>
      </c>
      <c r="AX41" s="104"/>
      <c r="AY41" s="104"/>
      <c r="AZ41" s="101"/>
    </row>
    <row r="42" spans="14:52" ht="12.75" customHeight="1" x14ac:dyDescent="0.25">
      <c r="N42" s="99"/>
      <c r="O42" s="104"/>
      <c r="P42" s="104"/>
      <c r="Q42" s="125" t="str">
        <f>INDEX(g_lang_val,MATCH("tb_2_1_5",g_lang_key,0))</f>
        <v>Renter</v>
      </c>
      <c r="R42" s="130"/>
      <c r="S42" s="127">
        <f t="shared" ca="1" si="1"/>
        <v>0</v>
      </c>
      <c r="T42" s="128">
        <f ca="1">IF(T37="","",T155+T160+T165+T170+T175)</f>
        <v>0</v>
      </c>
      <c r="U42" s="128">
        <f t="shared" ref="U42:AC42" ca="1" si="4">IF(U37="","",U155+U160+U165+U170+U175)</f>
        <v>0</v>
      </c>
      <c r="V42" s="128">
        <f t="shared" ca="1" si="4"/>
        <v>0</v>
      </c>
      <c r="W42" s="128">
        <f t="shared" ca="1" si="4"/>
        <v>0</v>
      </c>
      <c r="X42" s="128" t="str">
        <f t="shared" ca="1" si="4"/>
        <v/>
      </c>
      <c r="Y42" s="128" t="str">
        <f t="shared" ca="1" si="4"/>
        <v/>
      </c>
      <c r="Z42" s="128" t="str">
        <f t="shared" ca="1" si="4"/>
        <v/>
      </c>
      <c r="AA42" s="128" t="str">
        <f t="shared" ca="1" si="4"/>
        <v/>
      </c>
      <c r="AB42" s="128" t="str">
        <f t="shared" ca="1" si="4"/>
        <v/>
      </c>
      <c r="AC42" s="128" t="str">
        <f t="shared" ca="1" si="4"/>
        <v/>
      </c>
      <c r="AD42" s="128" t="str">
        <f t="shared" ref="AD42:AW42" ca="1" si="5">IF(AD37="","",AD155+AD160+AD165+AD170+AD175)</f>
        <v/>
      </c>
      <c r="AE42" s="128" t="str">
        <f t="shared" ca="1" si="5"/>
        <v/>
      </c>
      <c r="AF42" s="128" t="str">
        <f t="shared" ca="1" si="5"/>
        <v/>
      </c>
      <c r="AG42" s="128" t="str">
        <f t="shared" ca="1" si="5"/>
        <v/>
      </c>
      <c r="AH42" s="128" t="str">
        <f t="shared" ca="1" si="5"/>
        <v/>
      </c>
      <c r="AI42" s="128" t="str">
        <f t="shared" ca="1" si="5"/>
        <v/>
      </c>
      <c r="AJ42" s="128" t="str">
        <f t="shared" ca="1" si="5"/>
        <v/>
      </c>
      <c r="AK42" s="128" t="str">
        <f t="shared" ca="1" si="5"/>
        <v/>
      </c>
      <c r="AL42" s="128" t="str">
        <f t="shared" ca="1" si="5"/>
        <v/>
      </c>
      <c r="AM42" s="128" t="str">
        <f t="shared" ca="1" si="5"/>
        <v/>
      </c>
      <c r="AN42" s="128" t="str">
        <f t="shared" ca="1" si="5"/>
        <v/>
      </c>
      <c r="AO42" s="128" t="str">
        <f t="shared" ca="1" si="5"/>
        <v/>
      </c>
      <c r="AP42" s="128" t="str">
        <f t="shared" ca="1" si="5"/>
        <v/>
      </c>
      <c r="AQ42" s="128" t="str">
        <f t="shared" ca="1" si="5"/>
        <v/>
      </c>
      <c r="AR42" s="128" t="str">
        <f t="shared" ca="1" si="5"/>
        <v/>
      </c>
      <c r="AS42" s="128" t="str">
        <f t="shared" ca="1" si="5"/>
        <v/>
      </c>
      <c r="AT42" s="128" t="str">
        <f t="shared" ca="1" si="5"/>
        <v/>
      </c>
      <c r="AU42" s="128" t="str">
        <f t="shared" ca="1" si="5"/>
        <v/>
      </c>
      <c r="AV42" s="128" t="str">
        <f t="shared" ca="1" si="5"/>
        <v/>
      </c>
      <c r="AW42" s="128" t="str">
        <f t="shared" ca="1" si="5"/>
        <v/>
      </c>
      <c r="AX42" s="104"/>
      <c r="AY42" s="104"/>
      <c r="AZ42" s="101"/>
    </row>
    <row r="43" spans="14:52" ht="12.75" customHeight="1" x14ac:dyDescent="0.25">
      <c r="N43" s="99"/>
      <c r="O43" s="104"/>
      <c r="P43" s="104"/>
      <c r="Q43" s="131" t="str">
        <f>INDEX(g_lang_val,MATCH("tb_2_1_6",g_lang_key,0))</f>
        <v>Total, inkl. renter</v>
      </c>
      <c r="R43" s="132"/>
      <c r="S43" s="133">
        <f t="shared" ca="1" si="1"/>
        <v>0</v>
      </c>
      <c r="T43" s="134">
        <f ca="1">IF(T37="","",SUM(T41:T42))</f>
        <v>0</v>
      </c>
      <c r="U43" s="134">
        <f t="shared" ref="U43:AC43" ca="1" si="6">IF(U37="","",SUM(U41:U42))</f>
        <v>0</v>
      </c>
      <c r="V43" s="134">
        <f t="shared" ca="1" si="6"/>
        <v>0</v>
      </c>
      <c r="W43" s="134">
        <f t="shared" ca="1" si="6"/>
        <v>0</v>
      </c>
      <c r="X43" s="134" t="str">
        <f t="shared" ca="1" si="6"/>
        <v/>
      </c>
      <c r="Y43" s="134" t="str">
        <f t="shared" ca="1" si="6"/>
        <v/>
      </c>
      <c r="Z43" s="134" t="str">
        <f t="shared" ca="1" si="6"/>
        <v/>
      </c>
      <c r="AA43" s="134" t="str">
        <f t="shared" ca="1" si="6"/>
        <v/>
      </c>
      <c r="AB43" s="134" t="str">
        <f t="shared" ca="1" si="6"/>
        <v/>
      </c>
      <c r="AC43" s="134" t="str">
        <f t="shared" ca="1" si="6"/>
        <v/>
      </c>
      <c r="AD43" s="134" t="str">
        <f t="shared" ref="AD43:AW43" ca="1" si="7">IF(AD37="","",SUM(AD41:AD42))</f>
        <v/>
      </c>
      <c r="AE43" s="134" t="str">
        <f t="shared" ca="1" si="7"/>
        <v/>
      </c>
      <c r="AF43" s="134" t="str">
        <f t="shared" ca="1" si="7"/>
        <v/>
      </c>
      <c r="AG43" s="134" t="str">
        <f t="shared" ca="1" si="7"/>
        <v/>
      </c>
      <c r="AH43" s="134" t="str">
        <f t="shared" ca="1" si="7"/>
        <v/>
      </c>
      <c r="AI43" s="134" t="str">
        <f t="shared" ca="1" si="7"/>
        <v/>
      </c>
      <c r="AJ43" s="134" t="str">
        <f t="shared" ca="1" si="7"/>
        <v/>
      </c>
      <c r="AK43" s="134" t="str">
        <f t="shared" ca="1" si="7"/>
        <v/>
      </c>
      <c r="AL43" s="134" t="str">
        <f t="shared" ca="1" si="7"/>
        <v/>
      </c>
      <c r="AM43" s="134" t="str">
        <f t="shared" ca="1" si="7"/>
        <v/>
      </c>
      <c r="AN43" s="134" t="str">
        <f t="shared" ca="1" si="7"/>
        <v/>
      </c>
      <c r="AO43" s="134" t="str">
        <f t="shared" ca="1" si="7"/>
        <v/>
      </c>
      <c r="AP43" s="134" t="str">
        <f t="shared" ca="1" si="7"/>
        <v/>
      </c>
      <c r="AQ43" s="134" t="str">
        <f t="shared" ca="1" si="7"/>
        <v/>
      </c>
      <c r="AR43" s="134" t="str">
        <f t="shared" ca="1" si="7"/>
        <v/>
      </c>
      <c r="AS43" s="134" t="str">
        <f t="shared" ca="1" si="7"/>
        <v/>
      </c>
      <c r="AT43" s="134" t="str">
        <f t="shared" ca="1" si="7"/>
        <v/>
      </c>
      <c r="AU43" s="134" t="str">
        <f t="shared" ca="1" si="7"/>
        <v/>
      </c>
      <c r="AV43" s="134" t="str">
        <f t="shared" ca="1" si="7"/>
        <v/>
      </c>
      <c r="AW43" s="134" t="str">
        <f t="shared" ca="1" si="7"/>
        <v/>
      </c>
      <c r="AX43" s="104"/>
      <c r="AY43" s="104"/>
      <c r="AZ43" s="101"/>
    </row>
    <row r="44" spans="14:52" ht="12.75" customHeight="1" x14ac:dyDescent="0.3">
      <c r="N44" s="99"/>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01"/>
    </row>
    <row r="45" spans="14:52" ht="25.5" customHeight="1" thickBot="1" x14ac:dyDescent="0.35">
      <c r="N45" s="118"/>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20"/>
    </row>
    <row r="46" spans="14:52" ht="32.25" customHeight="1" thickTop="1" x14ac:dyDescent="0.3">
      <c r="N46" s="253" t="str">
        <f>INDEX(g_lang_val,MATCH("tb_2_2",g_lang_key,0))</f>
        <v>Den samlede projektøkonomi</v>
      </c>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5"/>
    </row>
    <row r="47" spans="14:52" ht="12.75" customHeight="1" x14ac:dyDescent="0.3">
      <c r="N47" s="99"/>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1"/>
    </row>
    <row r="48" spans="14:52" ht="22.9" customHeight="1" x14ac:dyDescent="0.3">
      <c r="N48" s="99"/>
      <c r="O48" s="102"/>
      <c r="P48" s="102"/>
      <c r="Q48" s="121" t="str">
        <f>INDEX(g_lang_val,MATCH("tb_1_1",g_lang_key,0)) &amp; " 3"</f>
        <v>Tabel 3</v>
      </c>
      <c r="R48" s="102"/>
      <c r="S48" s="102"/>
      <c r="T48" s="102"/>
      <c r="U48" s="102"/>
      <c r="V48" s="102"/>
      <c r="W48" s="102"/>
      <c r="X48" s="102"/>
      <c r="Y48" s="102"/>
      <c r="Z48" s="102"/>
      <c r="AA48" s="102"/>
      <c r="AB48" s="102"/>
      <c r="AC48" s="102"/>
      <c r="AD48" s="102"/>
      <c r="AE48" s="102"/>
      <c r="AF48" s="102"/>
      <c r="AG48" s="102"/>
      <c r="AH48" s="102"/>
      <c r="AI48" s="102"/>
      <c r="AJ48" s="102"/>
      <c r="AK48" s="102"/>
      <c r="AL48" s="102" t="s">
        <v>117</v>
      </c>
      <c r="AM48" s="102"/>
      <c r="AN48" s="102"/>
      <c r="AO48" s="102"/>
      <c r="AP48" s="102"/>
      <c r="AQ48" s="102"/>
      <c r="AR48" s="102"/>
      <c r="AS48" s="102"/>
      <c r="AT48" s="102"/>
      <c r="AU48" s="102"/>
      <c r="AV48" s="102"/>
      <c r="AW48" s="102"/>
      <c r="AX48" s="102"/>
      <c r="AY48" s="102"/>
      <c r="AZ48" s="101"/>
    </row>
    <row r="49" spans="14:52" ht="31.15" customHeight="1" x14ac:dyDescent="0.3">
      <c r="N49" s="99"/>
      <c r="O49" s="104"/>
      <c r="P49" s="104"/>
      <c r="Q49" s="122" t="str">
        <f>INDEX(g_lang_val,MATCH("tb_2_2_1",g_lang_key,0))</f>
        <v>Fase- og leveranceopdelt budget og forbrug, udgiftsbaseret</v>
      </c>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1"/>
    </row>
    <row r="50" spans="14:52" ht="12.75" customHeight="1" thickBot="1" x14ac:dyDescent="0.3">
      <c r="N50" s="99"/>
      <c r="O50" s="104"/>
      <c r="P50" s="104"/>
      <c r="Q50" s="107" t="str">
        <f ca="1">INDEX(g_lang_val,MATCH("tb_1_1_1_1",g_lang_key,0)) &amp;g_reporting_year&amp;INDEX(g_lang_val,MATCH("tb_1_1_1_2",g_lang_key,0))</f>
        <v>Mio. kr. 2025-pl</v>
      </c>
      <c r="R50" s="135" t="s">
        <v>131</v>
      </c>
      <c r="S50" s="108" t="str">
        <f>INDEX(g_lang_val,MATCH("le_2_2",g_lang_key,0))</f>
        <v xml:space="preserve">Total </v>
      </c>
      <c r="T50" s="124">
        <f ca="1">Leverancer!AU25</f>
        <v>2025</v>
      </c>
      <c r="U50" s="124">
        <f ca="1">Leverancer!AV25</f>
        <v>2026</v>
      </c>
      <c r="V50" s="124">
        <f ca="1">Leverancer!AW25</f>
        <v>2027</v>
      </c>
      <c r="W50" s="124">
        <f ca="1">Leverancer!AX25</f>
        <v>2028</v>
      </c>
      <c r="X50" s="124" t="str">
        <f ca="1">Leverancer!AY25</f>
        <v/>
      </c>
      <c r="Y50" s="124" t="str">
        <f ca="1">Leverancer!AZ25</f>
        <v/>
      </c>
      <c r="Z50" s="124" t="str">
        <f ca="1">Leverancer!BA25</f>
        <v/>
      </c>
      <c r="AA50" s="124" t="str">
        <f ca="1">Leverancer!BB25</f>
        <v/>
      </c>
      <c r="AB50" s="124" t="str">
        <f ca="1">Leverancer!BC25</f>
        <v/>
      </c>
      <c r="AC50" s="124" t="str">
        <f ca="1">Leverancer!BD25</f>
        <v/>
      </c>
      <c r="AD50" s="124" t="str">
        <f ca="1">Leverancer!BE25</f>
        <v/>
      </c>
      <c r="AE50" s="124" t="str">
        <f ca="1">Leverancer!BF25</f>
        <v/>
      </c>
      <c r="AF50" s="124" t="str">
        <f ca="1">Leverancer!BG25</f>
        <v/>
      </c>
      <c r="AG50" s="124" t="str">
        <f ca="1">Leverancer!BH25</f>
        <v/>
      </c>
      <c r="AH50" s="124" t="str">
        <f ca="1">Leverancer!BI25</f>
        <v/>
      </c>
      <c r="AI50" s="124" t="str">
        <f ca="1">Leverancer!BJ25</f>
        <v/>
      </c>
      <c r="AJ50" s="124" t="str">
        <f ca="1">Leverancer!BK25</f>
        <v/>
      </c>
      <c r="AK50" s="124" t="str">
        <f ca="1">Leverancer!BL25</f>
        <v/>
      </c>
      <c r="AL50" s="124" t="str">
        <f ca="1">Leverancer!BM25</f>
        <v/>
      </c>
      <c r="AM50" s="124" t="str">
        <f ca="1">Leverancer!BN25</f>
        <v/>
      </c>
      <c r="AN50" s="124" t="str">
        <f ca="1">Leverancer!BO25</f>
        <v/>
      </c>
      <c r="AO50" s="124" t="str">
        <f ca="1">Leverancer!BP25</f>
        <v/>
      </c>
      <c r="AP50" s="124" t="str">
        <f ca="1">Leverancer!BQ25</f>
        <v/>
      </c>
      <c r="AQ50" s="124" t="str">
        <f ca="1">Leverancer!BR25</f>
        <v/>
      </c>
      <c r="AR50" s="124" t="str">
        <f ca="1">Leverancer!BS25</f>
        <v/>
      </c>
      <c r="AS50" s="124" t="str">
        <f ca="1">Leverancer!BT25</f>
        <v/>
      </c>
      <c r="AT50" s="124" t="str">
        <f ca="1">Leverancer!BU25</f>
        <v/>
      </c>
      <c r="AU50" s="124" t="str">
        <f ca="1">Leverancer!BV25</f>
        <v/>
      </c>
      <c r="AV50" s="124" t="str">
        <f ca="1">Leverancer!BW25</f>
        <v/>
      </c>
      <c r="AW50" s="124" t="str">
        <f ca="1">Leverancer!BX25</f>
        <v/>
      </c>
      <c r="AX50" s="104"/>
      <c r="AY50" s="104"/>
      <c r="AZ50" s="101"/>
    </row>
    <row r="51" spans="14:52" ht="12.75" customHeight="1" thickTop="1" x14ac:dyDescent="0.25">
      <c r="N51" s="99"/>
      <c r="O51" s="104"/>
      <c r="P51" s="104"/>
      <c r="Q51" s="131" t="str">
        <f>INDEX(g_lang_val,MATCH("so_2_1_2",g_lang_key,0))</f>
        <v>Analysefase</v>
      </c>
      <c r="R51" s="136">
        <f ca="1">IF(S$114&lt;&gt;0,S51/S$114,0)</f>
        <v>0</v>
      </c>
      <c r="S51" s="133">
        <f ca="1">SUM(T51:BG51)</f>
        <v>0</v>
      </c>
      <c r="T51" s="134">
        <f ca="1">IF(T$50="","",SUM(T52:T61))</f>
        <v>0</v>
      </c>
      <c r="U51" s="134">
        <f ca="1">IF(U$50="","",SUM(U52:U61))</f>
        <v>0</v>
      </c>
      <c r="V51" s="134">
        <f t="shared" ref="V51:AW51" ca="1" si="8">IF(V$50="","",SUM(V52:V61))</f>
        <v>0</v>
      </c>
      <c r="W51" s="134">
        <f t="shared" ca="1" si="8"/>
        <v>0</v>
      </c>
      <c r="X51" s="134" t="str">
        <f t="shared" ca="1" si="8"/>
        <v/>
      </c>
      <c r="Y51" s="134" t="str">
        <f t="shared" ca="1" si="8"/>
        <v/>
      </c>
      <c r="Z51" s="134" t="str">
        <f t="shared" ca="1" si="8"/>
        <v/>
      </c>
      <c r="AA51" s="134" t="str">
        <f t="shared" ca="1" si="8"/>
        <v/>
      </c>
      <c r="AB51" s="134" t="str">
        <f t="shared" ca="1" si="8"/>
        <v/>
      </c>
      <c r="AC51" s="134" t="str">
        <f t="shared" ca="1" si="8"/>
        <v/>
      </c>
      <c r="AD51" s="134" t="str">
        <f t="shared" ca="1" si="8"/>
        <v/>
      </c>
      <c r="AE51" s="134" t="str">
        <f t="shared" ca="1" si="8"/>
        <v/>
      </c>
      <c r="AF51" s="134" t="str">
        <f t="shared" ca="1" si="8"/>
        <v/>
      </c>
      <c r="AG51" s="134" t="str">
        <f t="shared" ca="1" si="8"/>
        <v/>
      </c>
      <c r="AH51" s="134" t="str">
        <f t="shared" ca="1" si="8"/>
        <v/>
      </c>
      <c r="AI51" s="134" t="str">
        <f t="shared" ca="1" si="8"/>
        <v/>
      </c>
      <c r="AJ51" s="134" t="str">
        <f t="shared" ca="1" si="8"/>
        <v/>
      </c>
      <c r="AK51" s="134" t="str">
        <f t="shared" ca="1" si="8"/>
        <v/>
      </c>
      <c r="AL51" s="134" t="str">
        <f t="shared" ca="1" si="8"/>
        <v/>
      </c>
      <c r="AM51" s="134" t="str">
        <f t="shared" ca="1" si="8"/>
        <v/>
      </c>
      <c r="AN51" s="134" t="str">
        <f t="shared" ca="1" si="8"/>
        <v/>
      </c>
      <c r="AO51" s="134" t="str">
        <f t="shared" ca="1" si="8"/>
        <v/>
      </c>
      <c r="AP51" s="134" t="str">
        <f t="shared" ca="1" si="8"/>
        <v/>
      </c>
      <c r="AQ51" s="134" t="str">
        <f t="shared" ca="1" si="8"/>
        <v/>
      </c>
      <c r="AR51" s="134" t="str">
        <f t="shared" ca="1" si="8"/>
        <v/>
      </c>
      <c r="AS51" s="134" t="str">
        <f t="shared" ca="1" si="8"/>
        <v/>
      </c>
      <c r="AT51" s="134" t="str">
        <f t="shared" ca="1" si="8"/>
        <v/>
      </c>
      <c r="AU51" s="134" t="str">
        <f t="shared" ca="1" si="8"/>
        <v/>
      </c>
      <c r="AV51" s="134" t="str">
        <f t="shared" ca="1" si="8"/>
        <v/>
      </c>
      <c r="AW51" s="134" t="str">
        <f t="shared" ca="1" si="8"/>
        <v/>
      </c>
      <c r="AX51" s="104"/>
      <c r="AY51" s="104"/>
      <c r="AZ51" s="101"/>
    </row>
    <row r="52" spans="14:52" ht="12.75" customHeight="1" x14ac:dyDescent="0.25">
      <c r="N52" s="99"/>
      <c r="O52" s="104"/>
      <c r="P52" s="104"/>
      <c r="Q52" s="130" t="str">
        <f>INDEX(Leverancer!$AO$1:$AO$1061,ROW()-ROW(Leverancer!$AU$25)+1)&amp;": "&amp;INDEX(Leverancer!$AP$1:$AP$1061,ROW()-ROW(Leverancer!$AU$25)+1)</f>
        <v>L1: 1</v>
      </c>
      <c r="R52" s="128"/>
      <c r="S52" s="133">
        <f t="shared" ref="S52:S63" ca="1" si="9">SUM(T52:BG52)</f>
        <v>0</v>
      </c>
      <c r="T52" s="128">
        <f ca="1">IF(T$50="","",INDEX(Leverancer!AU:AU,ROW()-ROW(Leverancer!$AU$25)+1)*Leverancer!AU$96/1000)</f>
        <v>0</v>
      </c>
      <c r="U52" s="128">
        <f ca="1">IF(U$50="","",INDEX(Leverancer!AV:AV,ROW()-ROW(Leverancer!$AU$25)+1)*Leverancer!AV$96/1000)</f>
        <v>0</v>
      </c>
      <c r="V52" s="128">
        <f ca="1">IF(V$50="","",INDEX(Leverancer!AW:AW,ROW()-ROW(Leverancer!$AU$25)+1)*Leverancer!AW$96/1000)</f>
        <v>0</v>
      </c>
      <c r="W52" s="128">
        <f ca="1">IF(W$50="","",INDEX(Leverancer!AX:AX,ROW()-ROW(Leverancer!$AU$25)+1)*Leverancer!AX$96/1000)</f>
        <v>0</v>
      </c>
      <c r="X52" s="128" t="str">
        <f ca="1">IF(X$50="","",INDEX(Leverancer!AY:AY,ROW()-ROW(Leverancer!$AU$25)+1)*Leverancer!AY$96/1000)</f>
        <v/>
      </c>
      <c r="Y52" s="128" t="str">
        <f ca="1">IF(Y$50="","",INDEX(Leverancer!AZ:AZ,ROW()-ROW(Leverancer!$AU$25)+1)*Leverancer!AZ$96/1000)</f>
        <v/>
      </c>
      <c r="Z52" s="128" t="str">
        <f ca="1">IF(Z$50="","",INDEX(Leverancer!BA:BA,ROW()-ROW(Leverancer!$AU$25)+1)*Leverancer!BA$96/1000)</f>
        <v/>
      </c>
      <c r="AA52" s="128" t="str">
        <f ca="1">IF(AA$50="","",INDEX(Leverancer!BB:BB,ROW()-ROW(Leverancer!$AU$25)+1)*Leverancer!BB$96/1000)</f>
        <v/>
      </c>
      <c r="AB52" s="128" t="str">
        <f ca="1">IF(AB$50="","",INDEX(Leverancer!BC:BC,ROW()-ROW(Leverancer!$AU$25)+1)*Leverancer!BC$96/1000)</f>
        <v/>
      </c>
      <c r="AC52" s="128" t="str">
        <f ca="1">IF(AC$50="","",INDEX(Leverancer!BD:BD,ROW()-ROW(Leverancer!$AU$25)+1)*Leverancer!BD$96/1000)</f>
        <v/>
      </c>
      <c r="AD52" s="128" t="str">
        <f ca="1">IF(AD$50="","",INDEX(Leverancer!BE:BE,ROW()-ROW(Leverancer!$AU$25)+1)*Leverancer!BE$96/1000)</f>
        <v/>
      </c>
      <c r="AE52" s="128" t="str">
        <f ca="1">IF(AE$50="","",INDEX(Leverancer!BF:BF,ROW()-ROW(Leverancer!$AU$25)+1)*Leverancer!BF$96/1000)</f>
        <v/>
      </c>
      <c r="AF52" s="128" t="str">
        <f ca="1">IF(AF$50="","",INDEX(Leverancer!BG:BG,ROW()-ROW(Leverancer!$AU$25)+1)*Leverancer!BG$96/1000)</f>
        <v/>
      </c>
      <c r="AG52" s="128" t="str">
        <f ca="1">IF(AG$50="","",INDEX(Leverancer!BH:BH,ROW()-ROW(Leverancer!$AU$25)+1)*Leverancer!BH$96/1000)</f>
        <v/>
      </c>
      <c r="AH52" s="128" t="str">
        <f ca="1">IF(AH$50="","",INDEX(Leverancer!BI:BI,ROW()-ROW(Leverancer!$AU$25)+1)*Leverancer!BI$96/1000)</f>
        <v/>
      </c>
      <c r="AI52" s="128" t="str">
        <f ca="1">IF(AI$50="","",INDEX(Leverancer!BJ:BJ,ROW()-ROW(Leverancer!$AU$25)+1)*Leverancer!BJ$96/1000)</f>
        <v/>
      </c>
      <c r="AJ52" s="128" t="str">
        <f ca="1">IF(AJ$50="","",INDEX(Leverancer!BK:BK,ROW()-ROW(Leverancer!$AU$25)+1)*Leverancer!BK$96/1000)</f>
        <v/>
      </c>
      <c r="AK52" s="128" t="str">
        <f ca="1">IF(AK$50="","",INDEX(Leverancer!BL:BL,ROW()-ROW(Leverancer!$AU$25)+1)*Leverancer!BL$96/1000)</f>
        <v/>
      </c>
      <c r="AL52" s="128" t="str">
        <f ca="1">IF(AL$50="","",INDEX(Leverancer!BM:BM,ROW()-ROW(Leverancer!$AU$25)+1)*Leverancer!BM$96/1000)</f>
        <v/>
      </c>
      <c r="AM52" s="128" t="str">
        <f ca="1">IF(AM$50="","",INDEX(Leverancer!BN:BN,ROW()-ROW(Leverancer!$AU$25)+1)*Leverancer!BN$96/1000)</f>
        <v/>
      </c>
      <c r="AN52" s="128" t="str">
        <f ca="1">IF(AN$50="","",INDEX(Leverancer!BO:BO,ROW()-ROW(Leverancer!$AU$25)+1)*Leverancer!BO$96/1000)</f>
        <v/>
      </c>
      <c r="AO52" s="128" t="str">
        <f ca="1">IF(AO$50="","",INDEX(Leverancer!BP:BP,ROW()-ROW(Leverancer!$AU$25)+1)*Leverancer!BP$96/1000)</f>
        <v/>
      </c>
      <c r="AP52" s="128" t="str">
        <f ca="1">IF(AP$50="","",INDEX(Leverancer!BQ:BQ,ROW()-ROW(Leverancer!$AU$25)+1)*Leverancer!BQ$96/1000)</f>
        <v/>
      </c>
      <c r="AQ52" s="128" t="str">
        <f ca="1">IF(AQ$50="","",INDEX(Leverancer!BR:BR,ROW()-ROW(Leverancer!$AU$25)+1)*Leverancer!BR$96/1000)</f>
        <v/>
      </c>
      <c r="AR52" s="128" t="str">
        <f ca="1">IF(AR$50="","",INDEX(Leverancer!BS:BS,ROW()-ROW(Leverancer!$AU$25)+1)*Leverancer!BS$96/1000)</f>
        <v/>
      </c>
      <c r="AS52" s="128" t="str">
        <f ca="1">IF(AS$50="","",INDEX(Leverancer!BT:BT,ROW()-ROW(Leverancer!$AU$25)+1)*Leverancer!BT$96/1000)</f>
        <v/>
      </c>
      <c r="AT52" s="128" t="str">
        <f ca="1">IF(AT$50="","",INDEX(Leverancer!BU:BU,ROW()-ROW(Leverancer!$AU$25)+1)*Leverancer!BU$96/1000)</f>
        <v/>
      </c>
      <c r="AU52" s="128" t="str">
        <f ca="1">IF(AU$50="","",INDEX(Leverancer!BV:BV,ROW()-ROW(Leverancer!$AU$25)+1)*Leverancer!BV$96/1000)</f>
        <v/>
      </c>
      <c r="AV52" s="128" t="str">
        <f ca="1">IF(AV$50="","",INDEX(Leverancer!BW:BW,ROW()-ROW(Leverancer!$AU$25)+1)*Leverancer!BW$96/1000)</f>
        <v/>
      </c>
      <c r="AW52" s="128" t="str">
        <f ca="1">IF(AW$50="","",INDEX(Leverancer!BX:BX,ROW()-ROW(Leverancer!$AU$25)+1)*Leverancer!BX$96/1000)</f>
        <v/>
      </c>
      <c r="AX52" s="128"/>
      <c r="AY52" s="128"/>
      <c r="AZ52" s="101"/>
    </row>
    <row r="53" spans="14:52" ht="12.75" customHeight="1" x14ac:dyDescent="0.25">
      <c r="N53" s="99"/>
      <c r="O53" s="104"/>
      <c r="P53" s="104"/>
      <c r="Q53" s="130" t="str">
        <f>INDEX(Leverancer!$AO$1:$AO$1061,ROW()-ROW(Leverancer!$AU$25)+1)&amp;": "&amp;INDEX(Leverancer!$AP$1:$AP$1061,ROW()-ROW(Leverancer!$AU$25)+1)</f>
        <v>L2: 2</v>
      </c>
      <c r="R53" s="128"/>
      <c r="S53" s="133">
        <f t="shared" ca="1" si="9"/>
        <v>0</v>
      </c>
      <c r="T53" s="128">
        <f ca="1">IF(T$50="","",INDEX(Leverancer!AU:AU,ROW()-ROW(Leverancer!$AU$25)+1)*Leverancer!AU$96/1000)</f>
        <v>0</v>
      </c>
      <c r="U53" s="128">
        <f ca="1">IF(U$50="","",INDEX(Leverancer!AV:AV,ROW()-ROW(Leverancer!$AU$25)+1)*Leverancer!AV$96/1000)</f>
        <v>0</v>
      </c>
      <c r="V53" s="128">
        <f ca="1">IF(V$50="","",INDEX(Leverancer!AW:AW,ROW()-ROW(Leverancer!$AU$25)+1)*Leverancer!AW$96/1000)</f>
        <v>0</v>
      </c>
      <c r="W53" s="128">
        <f ca="1">IF(W$50="","",INDEX(Leverancer!AX:AX,ROW()-ROW(Leverancer!$AU$25)+1)*Leverancer!AX$96/1000)</f>
        <v>0</v>
      </c>
      <c r="X53" s="128" t="str">
        <f ca="1">IF(X$50="","",INDEX(Leverancer!AY:AY,ROW()-ROW(Leverancer!$AU$25)+1)*Leverancer!AY$96/1000)</f>
        <v/>
      </c>
      <c r="Y53" s="128" t="str">
        <f ca="1">IF(Y$50="","",INDEX(Leverancer!AZ:AZ,ROW()-ROW(Leverancer!$AU$25)+1)*Leverancer!AZ$96/1000)</f>
        <v/>
      </c>
      <c r="Z53" s="128" t="str">
        <f ca="1">IF(Z$50="","",INDEX(Leverancer!BA:BA,ROW()-ROW(Leverancer!$AU$25)+1)*Leverancer!BA$96/1000)</f>
        <v/>
      </c>
      <c r="AA53" s="128" t="str">
        <f ca="1">IF(AA$50="","",INDEX(Leverancer!BB:BB,ROW()-ROW(Leverancer!$AU$25)+1)*Leverancer!BB$96/1000)</f>
        <v/>
      </c>
      <c r="AB53" s="128" t="str">
        <f ca="1">IF(AB$50="","",INDEX(Leverancer!BC:BC,ROW()-ROW(Leverancer!$AU$25)+1)*Leverancer!BC$96/1000)</f>
        <v/>
      </c>
      <c r="AC53" s="128" t="str">
        <f ca="1">IF(AC$50="","",INDEX(Leverancer!BD:BD,ROW()-ROW(Leverancer!$AU$25)+1)*Leverancer!BD$96/1000)</f>
        <v/>
      </c>
      <c r="AD53" s="128" t="str">
        <f ca="1">IF(AD$50="","",INDEX(Leverancer!BE:BE,ROW()-ROW(Leverancer!$AU$25)+1)*Leverancer!BE$96/1000)</f>
        <v/>
      </c>
      <c r="AE53" s="128" t="str">
        <f ca="1">IF(AE$50="","",INDEX(Leverancer!BF:BF,ROW()-ROW(Leverancer!$AU$25)+1)*Leverancer!BF$96/1000)</f>
        <v/>
      </c>
      <c r="AF53" s="128" t="str">
        <f ca="1">IF(AF$50="","",INDEX(Leverancer!BG:BG,ROW()-ROW(Leverancer!$AU$25)+1)*Leverancer!BG$96/1000)</f>
        <v/>
      </c>
      <c r="AG53" s="128" t="str">
        <f ca="1">IF(AG$50="","",INDEX(Leverancer!BH:BH,ROW()-ROW(Leverancer!$AU$25)+1)*Leverancer!BH$96/1000)</f>
        <v/>
      </c>
      <c r="AH53" s="128" t="str">
        <f ca="1">IF(AH$50="","",INDEX(Leverancer!BI:BI,ROW()-ROW(Leverancer!$AU$25)+1)*Leverancer!BI$96/1000)</f>
        <v/>
      </c>
      <c r="AI53" s="128" t="str">
        <f ca="1">IF(AI$50="","",INDEX(Leverancer!BJ:BJ,ROW()-ROW(Leverancer!$AU$25)+1)*Leverancer!BJ$96/1000)</f>
        <v/>
      </c>
      <c r="AJ53" s="128" t="str">
        <f ca="1">IF(AJ$50="","",INDEX(Leverancer!BK:BK,ROW()-ROW(Leverancer!$AU$25)+1)*Leverancer!BK$96/1000)</f>
        <v/>
      </c>
      <c r="AK53" s="128" t="str">
        <f ca="1">IF(AK$50="","",INDEX(Leverancer!BL:BL,ROW()-ROW(Leverancer!$AU$25)+1)*Leverancer!BL$96/1000)</f>
        <v/>
      </c>
      <c r="AL53" s="128" t="str">
        <f ca="1">IF(AL$50="","",INDEX(Leverancer!BM:BM,ROW()-ROW(Leverancer!$AU$25)+1)*Leverancer!BM$96/1000)</f>
        <v/>
      </c>
      <c r="AM53" s="128" t="str">
        <f ca="1">IF(AM$50="","",INDEX(Leverancer!BN:BN,ROW()-ROW(Leverancer!$AU$25)+1)*Leverancer!BN$96/1000)</f>
        <v/>
      </c>
      <c r="AN53" s="128" t="str">
        <f ca="1">IF(AN$50="","",INDEX(Leverancer!BO:BO,ROW()-ROW(Leverancer!$AU$25)+1)*Leverancer!BO$96/1000)</f>
        <v/>
      </c>
      <c r="AO53" s="128" t="str">
        <f ca="1">IF(AO$50="","",INDEX(Leverancer!BP:BP,ROW()-ROW(Leverancer!$AU$25)+1)*Leverancer!BP$96/1000)</f>
        <v/>
      </c>
      <c r="AP53" s="128" t="str">
        <f ca="1">IF(AP$50="","",INDEX(Leverancer!BQ:BQ,ROW()-ROW(Leverancer!$AU$25)+1)*Leverancer!BQ$96/1000)</f>
        <v/>
      </c>
      <c r="AQ53" s="128" t="str">
        <f ca="1">IF(AQ$50="","",INDEX(Leverancer!BR:BR,ROW()-ROW(Leverancer!$AU$25)+1)*Leverancer!BR$96/1000)</f>
        <v/>
      </c>
      <c r="AR53" s="128" t="str">
        <f ca="1">IF(AR$50="","",INDEX(Leverancer!BS:BS,ROW()-ROW(Leverancer!$AU$25)+1)*Leverancer!BS$96/1000)</f>
        <v/>
      </c>
      <c r="AS53" s="128" t="str">
        <f ca="1">IF(AS$50="","",INDEX(Leverancer!BT:BT,ROW()-ROW(Leverancer!$AU$25)+1)*Leverancer!BT$96/1000)</f>
        <v/>
      </c>
      <c r="AT53" s="128" t="str">
        <f ca="1">IF(AT$50="","",INDEX(Leverancer!BU:BU,ROW()-ROW(Leverancer!$AU$25)+1)*Leverancer!BU$96/1000)</f>
        <v/>
      </c>
      <c r="AU53" s="128" t="str">
        <f ca="1">IF(AU$50="","",INDEX(Leverancer!BV:BV,ROW()-ROW(Leverancer!$AU$25)+1)*Leverancer!BV$96/1000)</f>
        <v/>
      </c>
      <c r="AV53" s="128" t="str">
        <f ca="1">IF(AV$50="","",INDEX(Leverancer!BW:BW,ROW()-ROW(Leverancer!$AU$25)+1)*Leverancer!BW$96/1000)</f>
        <v/>
      </c>
      <c r="AW53" s="128" t="str">
        <f ca="1">IF(AW$50="","",INDEX(Leverancer!BX:BX,ROW()-ROW(Leverancer!$AU$25)+1)*Leverancer!BX$96/1000)</f>
        <v/>
      </c>
      <c r="AX53" s="128"/>
      <c r="AY53" s="128"/>
      <c r="AZ53" s="101"/>
    </row>
    <row r="54" spans="14:52" ht="12.75" customHeight="1" x14ac:dyDescent="0.25">
      <c r="N54" s="99"/>
      <c r="O54" s="104"/>
      <c r="P54" s="104"/>
      <c r="Q54" s="130" t="str">
        <f>INDEX(Leverancer!$AO$1:$AO$1061,ROW()-ROW(Leverancer!$AU$25)+1)&amp;": "&amp;INDEX(Leverancer!$AP$1:$AP$1061,ROW()-ROW(Leverancer!$AU$25)+1)</f>
        <v>L3: 3</v>
      </c>
      <c r="R54" s="128"/>
      <c r="S54" s="133">
        <f t="shared" ca="1" si="9"/>
        <v>0</v>
      </c>
      <c r="T54" s="128">
        <f ca="1">IF(T$50="","",INDEX(Leverancer!AU:AU,ROW()-ROW(Leverancer!$AU$25)+1)*Leverancer!AU$96/1000)</f>
        <v>0</v>
      </c>
      <c r="U54" s="128">
        <f ca="1">IF(U$50="","",INDEX(Leverancer!AV:AV,ROW()-ROW(Leverancer!$AU$25)+1)*Leverancer!AV$96/1000)</f>
        <v>0</v>
      </c>
      <c r="V54" s="128">
        <f ca="1">IF(V$50="","",INDEX(Leverancer!AW:AW,ROW()-ROW(Leverancer!$AU$25)+1)*Leverancer!AW$96/1000)</f>
        <v>0</v>
      </c>
      <c r="W54" s="128">
        <f ca="1">IF(W$50="","",INDEX(Leverancer!AX:AX,ROW()-ROW(Leverancer!$AU$25)+1)*Leverancer!AX$96/1000)</f>
        <v>0</v>
      </c>
      <c r="X54" s="128" t="str">
        <f ca="1">IF(X$50="","",INDEX(Leverancer!AY:AY,ROW()-ROW(Leverancer!$AU$25)+1)*Leverancer!AY$96/1000)</f>
        <v/>
      </c>
      <c r="Y54" s="128" t="str">
        <f ca="1">IF(Y$50="","",INDEX(Leverancer!AZ:AZ,ROW()-ROW(Leverancer!$AU$25)+1)*Leverancer!AZ$96/1000)</f>
        <v/>
      </c>
      <c r="Z54" s="128" t="str">
        <f ca="1">IF(Z$50="","",INDEX(Leverancer!BA:BA,ROW()-ROW(Leverancer!$AU$25)+1)*Leverancer!BA$96/1000)</f>
        <v/>
      </c>
      <c r="AA54" s="128" t="str">
        <f ca="1">IF(AA$50="","",INDEX(Leverancer!BB:BB,ROW()-ROW(Leverancer!$AU$25)+1)*Leverancer!BB$96/1000)</f>
        <v/>
      </c>
      <c r="AB54" s="128" t="str">
        <f ca="1">IF(AB$50="","",INDEX(Leverancer!BC:BC,ROW()-ROW(Leverancer!$AU$25)+1)*Leverancer!BC$96/1000)</f>
        <v/>
      </c>
      <c r="AC54" s="128" t="str">
        <f ca="1">IF(AC$50="","",INDEX(Leverancer!BD:BD,ROW()-ROW(Leverancer!$AU$25)+1)*Leverancer!BD$96/1000)</f>
        <v/>
      </c>
      <c r="AD54" s="128" t="str">
        <f ca="1">IF(AD$50="","",INDEX(Leverancer!BE:BE,ROW()-ROW(Leverancer!$AU$25)+1)*Leverancer!BE$96/1000)</f>
        <v/>
      </c>
      <c r="AE54" s="128" t="str">
        <f ca="1">IF(AE$50="","",INDEX(Leverancer!BF:BF,ROW()-ROW(Leverancer!$AU$25)+1)*Leverancer!BF$96/1000)</f>
        <v/>
      </c>
      <c r="AF54" s="128" t="str">
        <f ca="1">IF(AF$50="","",INDEX(Leverancer!BG:BG,ROW()-ROW(Leverancer!$AU$25)+1)*Leverancer!BG$96/1000)</f>
        <v/>
      </c>
      <c r="AG54" s="128" t="str">
        <f ca="1">IF(AG$50="","",INDEX(Leverancer!BH:BH,ROW()-ROW(Leverancer!$AU$25)+1)*Leverancer!BH$96/1000)</f>
        <v/>
      </c>
      <c r="AH54" s="128" t="str">
        <f ca="1">IF(AH$50="","",INDEX(Leverancer!BI:BI,ROW()-ROW(Leverancer!$AU$25)+1)*Leverancer!BI$96/1000)</f>
        <v/>
      </c>
      <c r="AI54" s="128" t="str">
        <f ca="1">IF(AI$50="","",INDEX(Leverancer!BJ:BJ,ROW()-ROW(Leverancer!$AU$25)+1)*Leverancer!BJ$96/1000)</f>
        <v/>
      </c>
      <c r="AJ54" s="128" t="str">
        <f ca="1">IF(AJ$50="","",INDEX(Leverancer!BK:BK,ROW()-ROW(Leverancer!$AU$25)+1)*Leverancer!BK$96/1000)</f>
        <v/>
      </c>
      <c r="AK54" s="128" t="str">
        <f ca="1">IF(AK$50="","",INDEX(Leverancer!BL:BL,ROW()-ROW(Leverancer!$AU$25)+1)*Leverancer!BL$96/1000)</f>
        <v/>
      </c>
      <c r="AL54" s="128" t="str">
        <f ca="1">IF(AL$50="","",INDEX(Leverancer!BM:BM,ROW()-ROW(Leverancer!$AU$25)+1)*Leverancer!BM$96/1000)</f>
        <v/>
      </c>
      <c r="AM54" s="128" t="str">
        <f ca="1">IF(AM$50="","",INDEX(Leverancer!BN:BN,ROW()-ROW(Leverancer!$AU$25)+1)*Leverancer!BN$96/1000)</f>
        <v/>
      </c>
      <c r="AN54" s="128" t="str">
        <f ca="1">IF(AN$50="","",INDEX(Leverancer!BO:BO,ROW()-ROW(Leverancer!$AU$25)+1)*Leverancer!BO$96/1000)</f>
        <v/>
      </c>
      <c r="AO54" s="128" t="str">
        <f ca="1">IF(AO$50="","",INDEX(Leverancer!BP:BP,ROW()-ROW(Leverancer!$AU$25)+1)*Leverancer!BP$96/1000)</f>
        <v/>
      </c>
      <c r="AP54" s="128" t="str">
        <f ca="1">IF(AP$50="","",INDEX(Leverancer!BQ:BQ,ROW()-ROW(Leverancer!$AU$25)+1)*Leverancer!BQ$96/1000)</f>
        <v/>
      </c>
      <c r="AQ54" s="128" t="str">
        <f ca="1">IF(AQ$50="","",INDEX(Leverancer!BR:BR,ROW()-ROW(Leverancer!$AU$25)+1)*Leverancer!BR$96/1000)</f>
        <v/>
      </c>
      <c r="AR54" s="128" t="str">
        <f ca="1">IF(AR$50="","",INDEX(Leverancer!BS:BS,ROW()-ROW(Leverancer!$AU$25)+1)*Leverancer!BS$96/1000)</f>
        <v/>
      </c>
      <c r="AS54" s="128" t="str">
        <f ca="1">IF(AS$50="","",INDEX(Leverancer!BT:BT,ROW()-ROW(Leverancer!$AU$25)+1)*Leverancer!BT$96/1000)</f>
        <v/>
      </c>
      <c r="AT54" s="128" t="str">
        <f ca="1">IF(AT$50="","",INDEX(Leverancer!BU:BU,ROW()-ROW(Leverancer!$AU$25)+1)*Leverancer!BU$96/1000)</f>
        <v/>
      </c>
      <c r="AU54" s="128" t="str">
        <f ca="1">IF(AU$50="","",INDEX(Leverancer!BV:BV,ROW()-ROW(Leverancer!$AU$25)+1)*Leverancer!BV$96/1000)</f>
        <v/>
      </c>
      <c r="AV54" s="128" t="str">
        <f ca="1">IF(AV$50="","",INDEX(Leverancer!BW:BW,ROW()-ROW(Leverancer!$AU$25)+1)*Leverancer!BW$96/1000)</f>
        <v/>
      </c>
      <c r="AW54" s="128" t="str">
        <f ca="1">IF(AW$50="","",INDEX(Leverancer!BX:BX,ROW()-ROW(Leverancer!$AU$25)+1)*Leverancer!BX$96/1000)</f>
        <v/>
      </c>
      <c r="AX54" s="128"/>
      <c r="AY54" s="128"/>
      <c r="AZ54" s="101"/>
    </row>
    <row r="55" spans="14:52" ht="12.75" customHeight="1" x14ac:dyDescent="0.25">
      <c r="N55" s="99"/>
      <c r="O55" s="104"/>
      <c r="P55" s="104"/>
      <c r="Q55" s="130" t="str">
        <f>INDEX(Leverancer!$AO$1:$AO$1061,ROW()-ROW(Leverancer!$AU$25)+1)&amp;": "&amp;INDEX(Leverancer!$AP$1:$AP$1061,ROW()-ROW(Leverancer!$AU$25)+1)</f>
        <v>L4: 4</v>
      </c>
      <c r="R55" s="128"/>
      <c r="S55" s="133">
        <f t="shared" ca="1" si="9"/>
        <v>0</v>
      </c>
      <c r="T55" s="128">
        <f ca="1">IF(T$50="","",INDEX(Leverancer!AU:AU,ROW()-ROW(Leverancer!$AU$25)+1)*Leverancer!AU$96/1000)</f>
        <v>0</v>
      </c>
      <c r="U55" s="128">
        <f ca="1">IF(U$50="","",INDEX(Leverancer!AV:AV,ROW()-ROW(Leverancer!$AU$25)+1)*Leverancer!AV$96/1000)</f>
        <v>0</v>
      </c>
      <c r="V55" s="128">
        <f ca="1">IF(V$50="","",INDEX(Leverancer!AW:AW,ROW()-ROW(Leverancer!$AU$25)+1)*Leverancer!AW$96/1000)</f>
        <v>0</v>
      </c>
      <c r="W55" s="128">
        <f ca="1">IF(W$50="","",INDEX(Leverancer!AX:AX,ROW()-ROW(Leverancer!$AU$25)+1)*Leverancer!AX$96/1000)</f>
        <v>0</v>
      </c>
      <c r="X55" s="128" t="str">
        <f ca="1">IF(X$50="","",INDEX(Leverancer!AY:AY,ROW()-ROW(Leverancer!$AU$25)+1)*Leverancer!AY$96/1000)</f>
        <v/>
      </c>
      <c r="Y55" s="128" t="str">
        <f ca="1">IF(Y$50="","",INDEX(Leverancer!AZ:AZ,ROW()-ROW(Leverancer!$AU$25)+1)*Leverancer!AZ$96/1000)</f>
        <v/>
      </c>
      <c r="Z55" s="128" t="str">
        <f ca="1">IF(Z$50="","",INDEX(Leverancer!BA:BA,ROW()-ROW(Leverancer!$AU$25)+1)*Leverancer!BA$96/1000)</f>
        <v/>
      </c>
      <c r="AA55" s="128" t="str">
        <f ca="1">IF(AA$50="","",INDEX(Leverancer!BB:BB,ROW()-ROW(Leverancer!$AU$25)+1)*Leverancer!BB$96/1000)</f>
        <v/>
      </c>
      <c r="AB55" s="128" t="str">
        <f ca="1">IF(AB$50="","",INDEX(Leverancer!BC:BC,ROW()-ROW(Leverancer!$AU$25)+1)*Leverancer!BC$96/1000)</f>
        <v/>
      </c>
      <c r="AC55" s="128" t="str">
        <f ca="1">IF(AC$50="","",INDEX(Leverancer!BD:BD,ROW()-ROW(Leverancer!$AU$25)+1)*Leverancer!BD$96/1000)</f>
        <v/>
      </c>
      <c r="AD55" s="128" t="str">
        <f ca="1">IF(AD$50="","",INDEX(Leverancer!BE:BE,ROW()-ROW(Leverancer!$AU$25)+1)*Leverancer!BE$96/1000)</f>
        <v/>
      </c>
      <c r="AE55" s="128" t="str">
        <f ca="1">IF(AE$50="","",INDEX(Leverancer!BF:BF,ROW()-ROW(Leverancer!$AU$25)+1)*Leverancer!BF$96/1000)</f>
        <v/>
      </c>
      <c r="AF55" s="128" t="str">
        <f ca="1">IF(AF$50="","",INDEX(Leverancer!BG:BG,ROW()-ROW(Leverancer!$AU$25)+1)*Leverancer!BG$96/1000)</f>
        <v/>
      </c>
      <c r="AG55" s="128" t="str">
        <f ca="1">IF(AG$50="","",INDEX(Leverancer!BH:BH,ROW()-ROW(Leverancer!$AU$25)+1)*Leverancer!BH$96/1000)</f>
        <v/>
      </c>
      <c r="AH55" s="128" t="str">
        <f ca="1">IF(AH$50="","",INDEX(Leverancer!BI:BI,ROW()-ROW(Leverancer!$AU$25)+1)*Leverancer!BI$96/1000)</f>
        <v/>
      </c>
      <c r="AI55" s="128" t="str">
        <f ca="1">IF(AI$50="","",INDEX(Leverancer!BJ:BJ,ROW()-ROW(Leverancer!$AU$25)+1)*Leverancer!BJ$96/1000)</f>
        <v/>
      </c>
      <c r="AJ55" s="128" t="str">
        <f ca="1">IF(AJ$50="","",INDEX(Leverancer!BK:BK,ROW()-ROW(Leverancer!$AU$25)+1)*Leverancer!BK$96/1000)</f>
        <v/>
      </c>
      <c r="AK55" s="128" t="str">
        <f ca="1">IF(AK$50="","",INDEX(Leverancer!BL:BL,ROW()-ROW(Leverancer!$AU$25)+1)*Leverancer!BL$96/1000)</f>
        <v/>
      </c>
      <c r="AL55" s="128" t="str">
        <f ca="1">IF(AL$50="","",INDEX(Leverancer!BM:BM,ROW()-ROW(Leverancer!$AU$25)+1)*Leverancer!BM$96/1000)</f>
        <v/>
      </c>
      <c r="AM55" s="128" t="str">
        <f ca="1">IF(AM$50="","",INDEX(Leverancer!BN:BN,ROW()-ROW(Leverancer!$AU$25)+1)*Leverancer!BN$96/1000)</f>
        <v/>
      </c>
      <c r="AN55" s="128" t="str">
        <f ca="1">IF(AN$50="","",INDEX(Leverancer!BO:BO,ROW()-ROW(Leverancer!$AU$25)+1)*Leverancer!BO$96/1000)</f>
        <v/>
      </c>
      <c r="AO55" s="128" t="str">
        <f ca="1">IF(AO$50="","",INDEX(Leverancer!BP:BP,ROW()-ROW(Leverancer!$AU$25)+1)*Leverancer!BP$96/1000)</f>
        <v/>
      </c>
      <c r="AP55" s="128" t="str">
        <f ca="1">IF(AP$50="","",INDEX(Leverancer!BQ:BQ,ROW()-ROW(Leverancer!$AU$25)+1)*Leverancer!BQ$96/1000)</f>
        <v/>
      </c>
      <c r="AQ55" s="128" t="str">
        <f ca="1">IF(AQ$50="","",INDEX(Leverancer!BR:BR,ROW()-ROW(Leverancer!$AU$25)+1)*Leverancer!BR$96/1000)</f>
        <v/>
      </c>
      <c r="AR55" s="128" t="str">
        <f ca="1">IF(AR$50="","",INDEX(Leverancer!BS:BS,ROW()-ROW(Leverancer!$AU$25)+1)*Leverancer!BS$96/1000)</f>
        <v/>
      </c>
      <c r="AS55" s="128" t="str">
        <f ca="1">IF(AS$50="","",INDEX(Leverancer!BT:BT,ROW()-ROW(Leverancer!$AU$25)+1)*Leverancer!BT$96/1000)</f>
        <v/>
      </c>
      <c r="AT55" s="128" t="str">
        <f ca="1">IF(AT$50="","",INDEX(Leverancer!BU:BU,ROW()-ROW(Leverancer!$AU$25)+1)*Leverancer!BU$96/1000)</f>
        <v/>
      </c>
      <c r="AU55" s="128" t="str">
        <f ca="1">IF(AU$50="","",INDEX(Leverancer!BV:BV,ROW()-ROW(Leverancer!$AU$25)+1)*Leverancer!BV$96/1000)</f>
        <v/>
      </c>
      <c r="AV55" s="128" t="str">
        <f ca="1">IF(AV$50="","",INDEX(Leverancer!BW:BW,ROW()-ROW(Leverancer!$AU$25)+1)*Leverancer!BW$96/1000)</f>
        <v/>
      </c>
      <c r="AW55" s="128" t="str">
        <f ca="1">IF(AW$50="","",INDEX(Leverancer!BX:BX,ROW()-ROW(Leverancer!$AU$25)+1)*Leverancer!BX$96/1000)</f>
        <v/>
      </c>
      <c r="AX55" s="128"/>
      <c r="AY55" s="128"/>
      <c r="AZ55" s="101"/>
    </row>
    <row r="56" spans="14:52" ht="12.75" customHeight="1" x14ac:dyDescent="0.25">
      <c r="N56" s="99"/>
      <c r="O56" s="104"/>
      <c r="P56" s="104"/>
      <c r="Q56" s="130" t="str">
        <f>INDEX(Leverancer!$AO$1:$AO$1061,ROW()-ROW(Leverancer!$AU$25)+1)&amp;": "&amp;INDEX(Leverancer!$AP$1:$AP$1061,ROW()-ROW(Leverancer!$AU$25)+1)</f>
        <v>L5: 5</v>
      </c>
      <c r="R56" s="128"/>
      <c r="S56" s="133">
        <f t="shared" ca="1" si="9"/>
        <v>0</v>
      </c>
      <c r="T56" s="128">
        <f ca="1">IF(T$50="","",INDEX(Leverancer!AU:AU,ROW()-ROW(Leverancer!$AU$25)+1)*Leverancer!AU$96/1000)</f>
        <v>0</v>
      </c>
      <c r="U56" s="128">
        <f ca="1">IF(U$50="","",INDEX(Leverancer!AV:AV,ROW()-ROW(Leverancer!$AU$25)+1)*Leverancer!AV$96/1000)</f>
        <v>0</v>
      </c>
      <c r="V56" s="128">
        <f ca="1">IF(V$50="","",INDEX(Leverancer!AW:AW,ROW()-ROW(Leverancer!$AU$25)+1)*Leverancer!AW$96/1000)</f>
        <v>0</v>
      </c>
      <c r="W56" s="128">
        <f ca="1">IF(W$50="","",INDEX(Leverancer!AX:AX,ROW()-ROW(Leverancer!$AU$25)+1)*Leverancer!AX$96/1000)</f>
        <v>0</v>
      </c>
      <c r="X56" s="128" t="str">
        <f ca="1">IF(X$50="","",INDEX(Leverancer!AY:AY,ROW()-ROW(Leverancer!$AU$25)+1)*Leverancer!AY$96/1000)</f>
        <v/>
      </c>
      <c r="Y56" s="128" t="str">
        <f ca="1">IF(Y$50="","",INDEX(Leverancer!AZ:AZ,ROW()-ROW(Leverancer!$AU$25)+1)*Leverancer!AZ$96/1000)</f>
        <v/>
      </c>
      <c r="Z56" s="128" t="str">
        <f ca="1">IF(Z$50="","",INDEX(Leverancer!BA:BA,ROW()-ROW(Leverancer!$AU$25)+1)*Leverancer!BA$96/1000)</f>
        <v/>
      </c>
      <c r="AA56" s="128" t="str">
        <f ca="1">IF(AA$50="","",INDEX(Leverancer!BB:BB,ROW()-ROW(Leverancer!$AU$25)+1)*Leverancer!BB$96/1000)</f>
        <v/>
      </c>
      <c r="AB56" s="128" t="str">
        <f ca="1">IF(AB$50="","",INDEX(Leverancer!BC:BC,ROW()-ROW(Leverancer!$AU$25)+1)*Leverancer!BC$96/1000)</f>
        <v/>
      </c>
      <c r="AC56" s="128" t="str">
        <f ca="1">IF(AC$50="","",INDEX(Leverancer!BD:BD,ROW()-ROW(Leverancer!$AU$25)+1)*Leverancer!BD$96/1000)</f>
        <v/>
      </c>
      <c r="AD56" s="128" t="str">
        <f ca="1">IF(AD$50="","",INDEX(Leverancer!BE:BE,ROW()-ROW(Leverancer!$AU$25)+1)*Leverancer!BE$96/1000)</f>
        <v/>
      </c>
      <c r="AE56" s="128" t="str">
        <f ca="1">IF(AE$50="","",INDEX(Leverancer!BF:BF,ROW()-ROW(Leverancer!$AU$25)+1)*Leverancer!BF$96/1000)</f>
        <v/>
      </c>
      <c r="AF56" s="128" t="str">
        <f ca="1">IF(AF$50="","",INDEX(Leverancer!BG:BG,ROW()-ROW(Leverancer!$AU$25)+1)*Leverancer!BG$96/1000)</f>
        <v/>
      </c>
      <c r="AG56" s="128" t="str">
        <f ca="1">IF(AG$50="","",INDEX(Leverancer!BH:BH,ROW()-ROW(Leverancer!$AU$25)+1)*Leverancer!BH$96/1000)</f>
        <v/>
      </c>
      <c r="AH56" s="128" t="str">
        <f ca="1">IF(AH$50="","",INDEX(Leverancer!BI:BI,ROW()-ROW(Leverancer!$AU$25)+1)*Leverancer!BI$96/1000)</f>
        <v/>
      </c>
      <c r="AI56" s="128" t="str">
        <f ca="1">IF(AI$50="","",INDEX(Leverancer!BJ:BJ,ROW()-ROW(Leverancer!$AU$25)+1)*Leverancer!BJ$96/1000)</f>
        <v/>
      </c>
      <c r="AJ56" s="128" t="str">
        <f ca="1">IF(AJ$50="","",INDEX(Leverancer!BK:BK,ROW()-ROW(Leverancer!$AU$25)+1)*Leverancer!BK$96/1000)</f>
        <v/>
      </c>
      <c r="AK56" s="128" t="str">
        <f ca="1">IF(AK$50="","",INDEX(Leverancer!BL:BL,ROW()-ROW(Leverancer!$AU$25)+1)*Leverancer!BL$96/1000)</f>
        <v/>
      </c>
      <c r="AL56" s="128" t="str">
        <f ca="1">IF(AL$50="","",INDEX(Leverancer!BM:BM,ROW()-ROW(Leverancer!$AU$25)+1)*Leverancer!BM$96/1000)</f>
        <v/>
      </c>
      <c r="AM56" s="128" t="str">
        <f ca="1">IF(AM$50="","",INDEX(Leverancer!BN:BN,ROW()-ROW(Leverancer!$AU$25)+1)*Leverancer!BN$96/1000)</f>
        <v/>
      </c>
      <c r="AN56" s="128" t="str">
        <f ca="1">IF(AN$50="","",INDEX(Leverancer!BO:BO,ROW()-ROW(Leverancer!$AU$25)+1)*Leverancer!BO$96/1000)</f>
        <v/>
      </c>
      <c r="AO56" s="128" t="str">
        <f ca="1">IF(AO$50="","",INDEX(Leverancer!BP:BP,ROW()-ROW(Leverancer!$AU$25)+1)*Leverancer!BP$96/1000)</f>
        <v/>
      </c>
      <c r="AP56" s="128" t="str">
        <f ca="1">IF(AP$50="","",INDEX(Leverancer!BQ:BQ,ROW()-ROW(Leverancer!$AU$25)+1)*Leverancer!BQ$96/1000)</f>
        <v/>
      </c>
      <c r="AQ56" s="128" t="str">
        <f ca="1">IF(AQ$50="","",INDEX(Leverancer!BR:BR,ROW()-ROW(Leverancer!$AU$25)+1)*Leverancer!BR$96/1000)</f>
        <v/>
      </c>
      <c r="AR56" s="128" t="str">
        <f ca="1">IF(AR$50="","",INDEX(Leverancer!BS:BS,ROW()-ROW(Leverancer!$AU$25)+1)*Leverancer!BS$96/1000)</f>
        <v/>
      </c>
      <c r="AS56" s="128" t="str">
        <f ca="1">IF(AS$50="","",INDEX(Leverancer!BT:BT,ROW()-ROW(Leverancer!$AU$25)+1)*Leverancer!BT$96/1000)</f>
        <v/>
      </c>
      <c r="AT56" s="128" t="str">
        <f ca="1">IF(AT$50="","",INDEX(Leverancer!BU:BU,ROW()-ROW(Leverancer!$AU$25)+1)*Leverancer!BU$96/1000)</f>
        <v/>
      </c>
      <c r="AU56" s="128" t="str">
        <f ca="1">IF(AU$50="","",INDEX(Leverancer!BV:BV,ROW()-ROW(Leverancer!$AU$25)+1)*Leverancer!BV$96/1000)</f>
        <v/>
      </c>
      <c r="AV56" s="128" t="str">
        <f ca="1">IF(AV$50="","",INDEX(Leverancer!BW:BW,ROW()-ROW(Leverancer!$AU$25)+1)*Leverancer!BW$96/1000)</f>
        <v/>
      </c>
      <c r="AW56" s="128" t="str">
        <f ca="1">IF(AW$50="","",INDEX(Leverancer!BX:BX,ROW()-ROW(Leverancer!$AU$25)+1)*Leverancer!BX$96/1000)</f>
        <v/>
      </c>
      <c r="AX56" s="128"/>
      <c r="AY56" s="128"/>
      <c r="AZ56" s="101"/>
    </row>
    <row r="57" spans="14:52" ht="12.75" customHeight="1" x14ac:dyDescent="0.25">
      <c r="N57" s="99"/>
      <c r="O57" s="104"/>
      <c r="P57" s="104"/>
      <c r="Q57" s="130" t="str">
        <f>INDEX(Leverancer!$AO$1:$AO$1061,ROW()-ROW(Leverancer!$AU$25)+1)&amp;": "&amp;INDEX(Leverancer!$AP$1:$AP$1061,ROW()-ROW(Leverancer!$AU$25)+1)</f>
        <v>L6: 6</v>
      </c>
      <c r="R57" s="128"/>
      <c r="S57" s="133">
        <f t="shared" ca="1" si="9"/>
        <v>0</v>
      </c>
      <c r="T57" s="128">
        <f ca="1">IF(T$50="","",INDEX(Leverancer!AU:AU,ROW()-ROW(Leverancer!$AU$25)+1)*Leverancer!AU$96/1000)</f>
        <v>0</v>
      </c>
      <c r="U57" s="128">
        <f ca="1">IF(U$50="","",INDEX(Leverancer!AV:AV,ROW()-ROW(Leverancer!$AU$25)+1)*Leverancer!AV$96/1000)</f>
        <v>0</v>
      </c>
      <c r="V57" s="128">
        <f ca="1">IF(V$50="","",INDEX(Leverancer!AW:AW,ROW()-ROW(Leverancer!$AU$25)+1)*Leverancer!AW$96/1000)</f>
        <v>0</v>
      </c>
      <c r="W57" s="128">
        <f ca="1">IF(W$50="","",INDEX(Leverancer!AX:AX,ROW()-ROW(Leverancer!$AU$25)+1)*Leverancer!AX$96/1000)</f>
        <v>0</v>
      </c>
      <c r="X57" s="128" t="str">
        <f ca="1">IF(X$50="","",INDEX(Leverancer!AY:AY,ROW()-ROW(Leverancer!$AU$25)+1)*Leverancer!AY$96/1000)</f>
        <v/>
      </c>
      <c r="Y57" s="128" t="str">
        <f ca="1">IF(Y$50="","",INDEX(Leverancer!AZ:AZ,ROW()-ROW(Leverancer!$AU$25)+1)*Leverancer!AZ$96/1000)</f>
        <v/>
      </c>
      <c r="Z57" s="128" t="str">
        <f ca="1">IF(Z$50="","",INDEX(Leverancer!BA:BA,ROW()-ROW(Leverancer!$AU$25)+1)*Leverancer!BA$96/1000)</f>
        <v/>
      </c>
      <c r="AA57" s="128" t="str">
        <f ca="1">IF(AA$50="","",INDEX(Leverancer!BB:BB,ROW()-ROW(Leverancer!$AU$25)+1)*Leverancer!BB$96/1000)</f>
        <v/>
      </c>
      <c r="AB57" s="128" t="str">
        <f ca="1">IF(AB$50="","",INDEX(Leverancer!BC:BC,ROW()-ROW(Leverancer!$AU$25)+1)*Leverancer!BC$96/1000)</f>
        <v/>
      </c>
      <c r="AC57" s="128" t="str">
        <f ca="1">IF(AC$50="","",INDEX(Leverancer!BD:BD,ROW()-ROW(Leverancer!$AU$25)+1)*Leverancer!BD$96/1000)</f>
        <v/>
      </c>
      <c r="AD57" s="128" t="str">
        <f ca="1">IF(AD$50="","",INDEX(Leverancer!BE:BE,ROW()-ROW(Leverancer!$AU$25)+1)*Leverancer!BE$96/1000)</f>
        <v/>
      </c>
      <c r="AE57" s="128" t="str">
        <f ca="1">IF(AE$50="","",INDEX(Leverancer!BF:BF,ROW()-ROW(Leverancer!$AU$25)+1)*Leverancer!BF$96/1000)</f>
        <v/>
      </c>
      <c r="AF57" s="128" t="str">
        <f ca="1">IF(AF$50="","",INDEX(Leverancer!BG:BG,ROW()-ROW(Leverancer!$AU$25)+1)*Leverancer!BG$96/1000)</f>
        <v/>
      </c>
      <c r="AG57" s="128" t="str">
        <f ca="1">IF(AG$50="","",INDEX(Leverancer!BH:BH,ROW()-ROW(Leverancer!$AU$25)+1)*Leverancer!BH$96/1000)</f>
        <v/>
      </c>
      <c r="AH57" s="128" t="str">
        <f ca="1">IF(AH$50="","",INDEX(Leverancer!BI:BI,ROW()-ROW(Leverancer!$AU$25)+1)*Leverancer!BI$96/1000)</f>
        <v/>
      </c>
      <c r="AI57" s="128" t="str">
        <f ca="1">IF(AI$50="","",INDEX(Leverancer!BJ:BJ,ROW()-ROW(Leverancer!$AU$25)+1)*Leverancer!BJ$96/1000)</f>
        <v/>
      </c>
      <c r="AJ57" s="128" t="str">
        <f ca="1">IF(AJ$50="","",INDEX(Leverancer!BK:BK,ROW()-ROW(Leverancer!$AU$25)+1)*Leverancer!BK$96/1000)</f>
        <v/>
      </c>
      <c r="AK57" s="128" t="str">
        <f ca="1">IF(AK$50="","",INDEX(Leverancer!BL:BL,ROW()-ROW(Leverancer!$AU$25)+1)*Leverancer!BL$96/1000)</f>
        <v/>
      </c>
      <c r="AL57" s="128" t="str">
        <f ca="1">IF(AL$50="","",INDEX(Leverancer!BM:BM,ROW()-ROW(Leverancer!$AU$25)+1)*Leverancer!BM$96/1000)</f>
        <v/>
      </c>
      <c r="AM57" s="128" t="str">
        <f ca="1">IF(AM$50="","",INDEX(Leverancer!BN:BN,ROW()-ROW(Leverancer!$AU$25)+1)*Leverancer!BN$96/1000)</f>
        <v/>
      </c>
      <c r="AN57" s="128" t="str">
        <f ca="1">IF(AN$50="","",INDEX(Leverancer!BO:BO,ROW()-ROW(Leverancer!$AU$25)+1)*Leverancer!BO$96/1000)</f>
        <v/>
      </c>
      <c r="AO57" s="128" t="str">
        <f ca="1">IF(AO$50="","",INDEX(Leverancer!BP:BP,ROW()-ROW(Leverancer!$AU$25)+1)*Leverancer!BP$96/1000)</f>
        <v/>
      </c>
      <c r="AP57" s="128" t="str">
        <f ca="1">IF(AP$50="","",INDEX(Leverancer!BQ:BQ,ROW()-ROW(Leverancer!$AU$25)+1)*Leverancer!BQ$96/1000)</f>
        <v/>
      </c>
      <c r="AQ57" s="128" t="str">
        <f ca="1">IF(AQ$50="","",INDEX(Leverancer!BR:BR,ROW()-ROW(Leverancer!$AU$25)+1)*Leverancer!BR$96/1000)</f>
        <v/>
      </c>
      <c r="AR57" s="128" t="str">
        <f ca="1">IF(AR$50="","",INDEX(Leverancer!BS:BS,ROW()-ROW(Leverancer!$AU$25)+1)*Leverancer!BS$96/1000)</f>
        <v/>
      </c>
      <c r="AS57" s="128" t="str">
        <f ca="1">IF(AS$50="","",INDEX(Leverancer!BT:BT,ROW()-ROW(Leverancer!$AU$25)+1)*Leverancer!BT$96/1000)</f>
        <v/>
      </c>
      <c r="AT57" s="128" t="str">
        <f ca="1">IF(AT$50="","",INDEX(Leverancer!BU:BU,ROW()-ROW(Leverancer!$AU$25)+1)*Leverancer!BU$96/1000)</f>
        <v/>
      </c>
      <c r="AU57" s="128" t="str">
        <f ca="1">IF(AU$50="","",INDEX(Leverancer!BV:BV,ROW()-ROW(Leverancer!$AU$25)+1)*Leverancer!BV$96/1000)</f>
        <v/>
      </c>
      <c r="AV57" s="128" t="str">
        <f ca="1">IF(AV$50="","",INDEX(Leverancer!BW:BW,ROW()-ROW(Leverancer!$AU$25)+1)*Leverancer!BW$96/1000)</f>
        <v/>
      </c>
      <c r="AW57" s="128" t="str">
        <f ca="1">IF(AW$50="","",INDEX(Leverancer!BX:BX,ROW()-ROW(Leverancer!$AU$25)+1)*Leverancer!BX$96/1000)</f>
        <v/>
      </c>
      <c r="AX57" s="104"/>
      <c r="AY57" s="104"/>
      <c r="AZ57" s="101"/>
    </row>
    <row r="58" spans="14:52" ht="12.75" customHeight="1" x14ac:dyDescent="0.25">
      <c r="N58" s="99"/>
      <c r="O58" s="104"/>
      <c r="P58" s="104"/>
      <c r="Q58" s="130" t="str">
        <f>INDEX(Leverancer!$AO$1:$AO$1061,ROW()-ROW(Leverancer!$AU$25)+1)&amp;": "&amp;INDEX(Leverancer!$AP$1:$AP$1061,ROW()-ROW(Leverancer!$AU$25)+1)</f>
        <v>L7: 7</v>
      </c>
      <c r="R58" s="128"/>
      <c r="S58" s="133">
        <f t="shared" ca="1" si="9"/>
        <v>0</v>
      </c>
      <c r="T58" s="128">
        <f ca="1">IF(T$50="","",INDEX(Leverancer!AU:AU,ROW()-ROW(Leverancer!$AU$25)+1)*Leverancer!AU$96/1000)</f>
        <v>0</v>
      </c>
      <c r="U58" s="128">
        <f ca="1">IF(U$50="","",INDEX(Leverancer!AV:AV,ROW()-ROW(Leverancer!$AU$25)+1)*Leverancer!AV$96/1000)</f>
        <v>0</v>
      </c>
      <c r="V58" s="128">
        <f ca="1">IF(V$50="","",INDEX(Leverancer!AW:AW,ROW()-ROW(Leverancer!$AU$25)+1)*Leverancer!AW$96/1000)</f>
        <v>0</v>
      </c>
      <c r="W58" s="128">
        <f ca="1">IF(W$50="","",INDEX(Leverancer!AX:AX,ROW()-ROW(Leverancer!$AU$25)+1)*Leverancer!AX$96/1000)</f>
        <v>0</v>
      </c>
      <c r="X58" s="128" t="str">
        <f ca="1">IF(X$50="","",INDEX(Leverancer!AY:AY,ROW()-ROW(Leverancer!$AU$25)+1)*Leverancer!AY$96/1000)</f>
        <v/>
      </c>
      <c r="Y58" s="128" t="str">
        <f ca="1">IF(Y$50="","",INDEX(Leverancer!AZ:AZ,ROW()-ROW(Leverancer!$AU$25)+1)*Leverancer!AZ$96/1000)</f>
        <v/>
      </c>
      <c r="Z58" s="128" t="str">
        <f ca="1">IF(Z$50="","",INDEX(Leverancer!BA:BA,ROW()-ROW(Leverancer!$AU$25)+1)*Leverancer!BA$96/1000)</f>
        <v/>
      </c>
      <c r="AA58" s="128" t="str">
        <f ca="1">IF(AA$50="","",INDEX(Leverancer!BB:BB,ROW()-ROW(Leverancer!$AU$25)+1)*Leverancer!BB$96/1000)</f>
        <v/>
      </c>
      <c r="AB58" s="128" t="str">
        <f ca="1">IF(AB$50="","",INDEX(Leverancer!BC:BC,ROW()-ROW(Leverancer!$AU$25)+1)*Leverancer!BC$96/1000)</f>
        <v/>
      </c>
      <c r="AC58" s="128" t="str">
        <f ca="1">IF(AC$50="","",INDEX(Leverancer!BD:BD,ROW()-ROW(Leverancer!$AU$25)+1)*Leverancer!BD$96/1000)</f>
        <v/>
      </c>
      <c r="AD58" s="128" t="str">
        <f ca="1">IF(AD$50="","",INDEX(Leverancer!BE:BE,ROW()-ROW(Leverancer!$AU$25)+1)*Leverancer!BE$96/1000)</f>
        <v/>
      </c>
      <c r="AE58" s="128" t="str">
        <f ca="1">IF(AE$50="","",INDEX(Leverancer!BF:BF,ROW()-ROW(Leverancer!$AU$25)+1)*Leverancer!BF$96/1000)</f>
        <v/>
      </c>
      <c r="AF58" s="128" t="str">
        <f ca="1">IF(AF$50="","",INDEX(Leverancer!BG:BG,ROW()-ROW(Leverancer!$AU$25)+1)*Leverancer!BG$96/1000)</f>
        <v/>
      </c>
      <c r="AG58" s="128" t="str">
        <f ca="1">IF(AG$50="","",INDEX(Leverancer!BH:BH,ROW()-ROW(Leverancer!$AU$25)+1)*Leverancer!BH$96/1000)</f>
        <v/>
      </c>
      <c r="AH58" s="128" t="str">
        <f ca="1">IF(AH$50="","",INDEX(Leverancer!BI:BI,ROW()-ROW(Leverancer!$AU$25)+1)*Leverancer!BI$96/1000)</f>
        <v/>
      </c>
      <c r="AI58" s="128" t="str">
        <f ca="1">IF(AI$50="","",INDEX(Leverancer!BJ:BJ,ROW()-ROW(Leverancer!$AU$25)+1)*Leverancer!BJ$96/1000)</f>
        <v/>
      </c>
      <c r="AJ58" s="128" t="str">
        <f ca="1">IF(AJ$50="","",INDEX(Leverancer!BK:BK,ROW()-ROW(Leverancer!$AU$25)+1)*Leverancer!BK$96/1000)</f>
        <v/>
      </c>
      <c r="AK58" s="128" t="str">
        <f ca="1">IF(AK$50="","",INDEX(Leverancer!BL:BL,ROW()-ROW(Leverancer!$AU$25)+1)*Leverancer!BL$96/1000)</f>
        <v/>
      </c>
      <c r="AL58" s="128" t="str">
        <f ca="1">IF(AL$50="","",INDEX(Leverancer!BM:BM,ROW()-ROW(Leverancer!$AU$25)+1)*Leverancer!BM$96/1000)</f>
        <v/>
      </c>
      <c r="AM58" s="128" t="str">
        <f ca="1">IF(AM$50="","",INDEX(Leverancer!BN:BN,ROW()-ROW(Leverancer!$AU$25)+1)*Leverancer!BN$96/1000)</f>
        <v/>
      </c>
      <c r="AN58" s="128" t="str">
        <f ca="1">IF(AN$50="","",INDEX(Leverancer!BO:BO,ROW()-ROW(Leverancer!$AU$25)+1)*Leverancer!BO$96/1000)</f>
        <v/>
      </c>
      <c r="AO58" s="128" t="str">
        <f ca="1">IF(AO$50="","",INDEX(Leverancer!BP:BP,ROW()-ROW(Leverancer!$AU$25)+1)*Leverancer!BP$96/1000)</f>
        <v/>
      </c>
      <c r="AP58" s="128" t="str">
        <f ca="1">IF(AP$50="","",INDEX(Leverancer!BQ:BQ,ROW()-ROW(Leverancer!$AU$25)+1)*Leverancer!BQ$96/1000)</f>
        <v/>
      </c>
      <c r="AQ58" s="128" t="str">
        <f ca="1">IF(AQ$50="","",INDEX(Leverancer!BR:BR,ROW()-ROW(Leverancer!$AU$25)+1)*Leverancer!BR$96/1000)</f>
        <v/>
      </c>
      <c r="AR58" s="128" t="str">
        <f ca="1">IF(AR$50="","",INDEX(Leverancer!BS:BS,ROW()-ROW(Leverancer!$AU$25)+1)*Leverancer!BS$96/1000)</f>
        <v/>
      </c>
      <c r="AS58" s="128" t="str">
        <f ca="1">IF(AS$50="","",INDEX(Leverancer!BT:BT,ROW()-ROW(Leverancer!$AU$25)+1)*Leverancer!BT$96/1000)</f>
        <v/>
      </c>
      <c r="AT58" s="128" t="str">
        <f ca="1">IF(AT$50="","",INDEX(Leverancer!BU:BU,ROW()-ROW(Leverancer!$AU$25)+1)*Leverancer!BU$96/1000)</f>
        <v/>
      </c>
      <c r="AU58" s="128" t="str">
        <f ca="1">IF(AU$50="","",INDEX(Leverancer!BV:BV,ROW()-ROW(Leverancer!$AU$25)+1)*Leverancer!BV$96/1000)</f>
        <v/>
      </c>
      <c r="AV58" s="128" t="str">
        <f ca="1">IF(AV$50="","",INDEX(Leverancer!BW:BW,ROW()-ROW(Leverancer!$AU$25)+1)*Leverancer!BW$96/1000)</f>
        <v/>
      </c>
      <c r="AW58" s="128" t="str">
        <f ca="1">IF(AW$50="","",INDEX(Leverancer!BX:BX,ROW()-ROW(Leverancer!$AU$25)+1)*Leverancer!BX$96/1000)</f>
        <v/>
      </c>
      <c r="AX58" s="104"/>
      <c r="AY58" s="104"/>
      <c r="AZ58" s="101"/>
    </row>
    <row r="59" spans="14:52" ht="12.75" customHeight="1" x14ac:dyDescent="0.25">
      <c r="N59" s="99"/>
      <c r="O59" s="104"/>
      <c r="P59" s="104"/>
      <c r="Q59" s="130" t="str">
        <f>INDEX(Leverancer!$AO$1:$AO$1061,ROW()-ROW(Leverancer!$AU$25)+1)&amp;": "&amp;INDEX(Leverancer!$AP$1:$AP$1061,ROW()-ROW(Leverancer!$AU$25)+1)</f>
        <v>L8: 8</v>
      </c>
      <c r="R59" s="128"/>
      <c r="S59" s="133">
        <f t="shared" ca="1" si="9"/>
        <v>0</v>
      </c>
      <c r="T59" s="128">
        <f ca="1">IF(T$50="","",INDEX(Leverancer!AU:AU,ROW()-ROW(Leverancer!$AU$25)+1)*Leverancer!AU$96/1000)</f>
        <v>0</v>
      </c>
      <c r="U59" s="128">
        <f ca="1">IF(U$50="","",INDEX(Leverancer!AV:AV,ROW()-ROW(Leverancer!$AU$25)+1)*Leverancer!AV$96/1000)</f>
        <v>0</v>
      </c>
      <c r="V59" s="128">
        <f ca="1">IF(V$50="","",INDEX(Leverancer!AW:AW,ROW()-ROW(Leverancer!$AU$25)+1)*Leverancer!AW$96/1000)</f>
        <v>0</v>
      </c>
      <c r="W59" s="128">
        <f ca="1">IF(W$50="","",INDEX(Leverancer!AX:AX,ROW()-ROW(Leverancer!$AU$25)+1)*Leverancer!AX$96/1000)</f>
        <v>0</v>
      </c>
      <c r="X59" s="128" t="str">
        <f ca="1">IF(X$50="","",INDEX(Leverancer!AY:AY,ROW()-ROW(Leverancer!$AU$25)+1)*Leverancer!AY$96/1000)</f>
        <v/>
      </c>
      <c r="Y59" s="128" t="str">
        <f ca="1">IF(Y$50="","",INDEX(Leverancer!AZ:AZ,ROW()-ROW(Leverancer!$AU$25)+1)*Leverancer!AZ$96/1000)</f>
        <v/>
      </c>
      <c r="Z59" s="128" t="str">
        <f ca="1">IF(Z$50="","",INDEX(Leverancer!BA:BA,ROW()-ROW(Leverancer!$AU$25)+1)*Leverancer!BA$96/1000)</f>
        <v/>
      </c>
      <c r="AA59" s="128" t="str">
        <f ca="1">IF(AA$50="","",INDEX(Leverancer!BB:BB,ROW()-ROW(Leverancer!$AU$25)+1)*Leverancer!BB$96/1000)</f>
        <v/>
      </c>
      <c r="AB59" s="128" t="str">
        <f ca="1">IF(AB$50="","",INDEX(Leverancer!BC:BC,ROW()-ROW(Leverancer!$AU$25)+1)*Leverancer!BC$96/1000)</f>
        <v/>
      </c>
      <c r="AC59" s="128" t="str">
        <f ca="1">IF(AC$50="","",INDEX(Leverancer!BD:BD,ROW()-ROW(Leverancer!$AU$25)+1)*Leverancer!BD$96/1000)</f>
        <v/>
      </c>
      <c r="AD59" s="128" t="str">
        <f ca="1">IF(AD$50="","",INDEX(Leverancer!BE:BE,ROW()-ROW(Leverancer!$AU$25)+1)*Leverancer!BE$96/1000)</f>
        <v/>
      </c>
      <c r="AE59" s="128" t="str">
        <f ca="1">IF(AE$50="","",INDEX(Leverancer!BF:BF,ROW()-ROW(Leverancer!$AU$25)+1)*Leverancer!BF$96/1000)</f>
        <v/>
      </c>
      <c r="AF59" s="128" t="str">
        <f ca="1">IF(AF$50="","",INDEX(Leverancer!BG:BG,ROW()-ROW(Leverancer!$AU$25)+1)*Leverancer!BG$96/1000)</f>
        <v/>
      </c>
      <c r="AG59" s="128" t="str">
        <f ca="1">IF(AG$50="","",INDEX(Leverancer!BH:BH,ROW()-ROW(Leverancer!$AU$25)+1)*Leverancer!BH$96/1000)</f>
        <v/>
      </c>
      <c r="AH59" s="128" t="str">
        <f ca="1">IF(AH$50="","",INDEX(Leverancer!BI:BI,ROW()-ROW(Leverancer!$AU$25)+1)*Leverancer!BI$96/1000)</f>
        <v/>
      </c>
      <c r="AI59" s="128" t="str">
        <f ca="1">IF(AI$50="","",INDEX(Leverancer!BJ:BJ,ROW()-ROW(Leverancer!$AU$25)+1)*Leverancer!BJ$96/1000)</f>
        <v/>
      </c>
      <c r="AJ59" s="128" t="str">
        <f ca="1">IF(AJ$50="","",INDEX(Leverancer!BK:BK,ROW()-ROW(Leverancer!$AU$25)+1)*Leverancer!BK$96/1000)</f>
        <v/>
      </c>
      <c r="AK59" s="128" t="str">
        <f ca="1">IF(AK$50="","",INDEX(Leverancer!BL:BL,ROW()-ROW(Leverancer!$AU$25)+1)*Leverancer!BL$96/1000)</f>
        <v/>
      </c>
      <c r="AL59" s="128" t="str">
        <f ca="1">IF(AL$50="","",INDEX(Leverancer!BM:BM,ROW()-ROW(Leverancer!$AU$25)+1)*Leverancer!BM$96/1000)</f>
        <v/>
      </c>
      <c r="AM59" s="128" t="str">
        <f ca="1">IF(AM$50="","",INDEX(Leverancer!BN:BN,ROW()-ROW(Leverancer!$AU$25)+1)*Leverancer!BN$96/1000)</f>
        <v/>
      </c>
      <c r="AN59" s="128" t="str">
        <f ca="1">IF(AN$50="","",INDEX(Leverancer!BO:BO,ROW()-ROW(Leverancer!$AU$25)+1)*Leverancer!BO$96/1000)</f>
        <v/>
      </c>
      <c r="AO59" s="128" t="str">
        <f ca="1">IF(AO$50="","",INDEX(Leverancer!BP:BP,ROW()-ROW(Leverancer!$AU$25)+1)*Leverancer!BP$96/1000)</f>
        <v/>
      </c>
      <c r="AP59" s="128" t="str">
        <f ca="1">IF(AP$50="","",INDEX(Leverancer!BQ:BQ,ROW()-ROW(Leverancer!$AU$25)+1)*Leverancer!BQ$96/1000)</f>
        <v/>
      </c>
      <c r="AQ59" s="128" t="str">
        <f ca="1">IF(AQ$50="","",INDEX(Leverancer!BR:BR,ROW()-ROW(Leverancer!$AU$25)+1)*Leverancer!BR$96/1000)</f>
        <v/>
      </c>
      <c r="AR59" s="128" t="str">
        <f ca="1">IF(AR$50="","",INDEX(Leverancer!BS:BS,ROW()-ROW(Leverancer!$AU$25)+1)*Leverancer!BS$96/1000)</f>
        <v/>
      </c>
      <c r="AS59" s="128" t="str">
        <f ca="1">IF(AS$50="","",INDEX(Leverancer!BT:BT,ROW()-ROW(Leverancer!$AU$25)+1)*Leverancer!BT$96/1000)</f>
        <v/>
      </c>
      <c r="AT59" s="128" t="str">
        <f ca="1">IF(AT$50="","",INDEX(Leverancer!BU:BU,ROW()-ROW(Leverancer!$AU$25)+1)*Leverancer!BU$96/1000)</f>
        <v/>
      </c>
      <c r="AU59" s="128" t="str">
        <f ca="1">IF(AU$50="","",INDEX(Leverancer!BV:BV,ROW()-ROW(Leverancer!$AU$25)+1)*Leverancer!BV$96/1000)</f>
        <v/>
      </c>
      <c r="AV59" s="128" t="str">
        <f ca="1">IF(AV$50="","",INDEX(Leverancer!BW:BW,ROW()-ROW(Leverancer!$AU$25)+1)*Leverancer!BW$96/1000)</f>
        <v/>
      </c>
      <c r="AW59" s="128" t="str">
        <f ca="1">IF(AW$50="","",INDEX(Leverancer!BX:BX,ROW()-ROW(Leverancer!$AU$25)+1)*Leverancer!BX$96/1000)</f>
        <v/>
      </c>
      <c r="AX59" s="104"/>
      <c r="AY59" s="104"/>
      <c r="AZ59" s="101"/>
    </row>
    <row r="60" spans="14:52" ht="12.75" customHeight="1" x14ac:dyDescent="0.25">
      <c r="N60" s="99"/>
      <c r="O60" s="104"/>
      <c r="P60" s="104"/>
      <c r="Q60" s="130" t="str">
        <f>INDEX(Leverancer!$AO$1:$AO$1061,ROW()-ROW(Leverancer!$AU$25)+1)&amp;": "&amp;INDEX(Leverancer!$AP$1:$AP$1061,ROW()-ROW(Leverancer!$AU$25)+1)</f>
        <v>L9: 9</v>
      </c>
      <c r="R60" s="128"/>
      <c r="S60" s="133">
        <f t="shared" ca="1" si="9"/>
        <v>0</v>
      </c>
      <c r="T60" s="128">
        <f ca="1">IF(T$50="","",INDEX(Leverancer!AU:AU,ROW()-ROW(Leverancer!$AU$25)+1)*Leverancer!AU$96/1000)</f>
        <v>0</v>
      </c>
      <c r="U60" s="128">
        <f ca="1">IF(U$50="","",INDEX(Leverancer!AV:AV,ROW()-ROW(Leverancer!$AU$25)+1)*Leverancer!AV$96/1000)</f>
        <v>0</v>
      </c>
      <c r="V60" s="128">
        <f ca="1">IF(V$50="","",INDEX(Leverancer!AW:AW,ROW()-ROW(Leverancer!$AU$25)+1)*Leverancer!AW$96/1000)</f>
        <v>0</v>
      </c>
      <c r="W60" s="128">
        <f ca="1">IF(W$50="","",INDEX(Leverancer!AX:AX,ROW()-ROW(Leverancer!$AU$25)+1)*Leverancer!AX$96/1000)</f>
        <v>0</v>
      </c>
      <c r="X60" s="128" t="str">
        <f ca="1">IF(X$50="","",INDEX(Leverancer!AY:AY,ROW()-ROW(Leverancer!$AU$25)+1)*Leverancer!AY$96/1000)</f>
        <v/>
      </c>
      <c r="Y60" s="128" t="str">
        <f ca="1">IF(Y$50="","",INDEX(Leverancer!AZ:AZ,ROW()-ROW(Leverancer!$AU$25)+1)*Leverancer!AZ$96/1000)</f>
        <v/>
      </c>
      <c r="Z60" s="128" t="str">
        <f ca="1">IF(Z$50="","",INDEX(Leverancer!BA:BA,ROW()-ROW(Leverancer!$AU$25)+1)*Leverancer!BA$96/1000)</f>
        <v/>
      </c>
      <c r="AA60" s="128" t="str">
        <f ca="1">IF(AA$50="","",INDEX(Leverancer!BB:BB,ROW()-ROW(Leverancer!$AU$25)+1)*Leverancer!BB$96/1000)</f>
        <v/>
      </c>
      <c r="AB60" s="128" t="str">
        <f ca="1">IF(AB$50="","",INDEX(Leverancer!BC:BC,ROW()-ROW(Leverancer!$AU$25)+1)*Leverancer!BC$96/1000)</f>
        <v/>
      </c>
      <c r="AC60" s="128" t="str">
        <f ca="1">IF(AC$50="","",INDEX(Leverancer!BD:BD,ROW()-ROW(Leverancer!$AU$25)+1)*Leverancer!BD$96/1000)</f>
        <v/>
      </c>
      <c r="AD60" s="128" t="str">
        <f ca="1">IF(AD$50="","",INDEX(Leverancer!BE:BE,ROW()-ROW(Leverancer!$AU$25)+1)*Leverancer!BE$96/1000)</f>
        <v/>
      </c>
      <c r="AE60" s="128" t="str">
        <f ca="1">IF(AE$50="","",INDEX(Leverancer!BF:BF,ROW()-ROW(Leverancer!$AU$25)+1)*Leverancer!BF$96/1000)</f>
        <v/>
      </c>
      <c r="AF60" s="128" t="str">
        <f ca="1">IF(AF$50="","",INDEX(Leverancer!BG:BG,ROW()-ROW(Leverancer!$AU$25)+1)*Leverancer!BG$96/1000)</f>
        <v/>
      </c>
      <c r="AG60" s="128" t="str">
        <f ca="1">IF(AG$50="","",INDEX(Leverancer!BH:BH,ROW()-ROW(Leverancer!$AU$25)+1)*Leverancer!BH$96/1000)</f>
        <v/>
      </c>
      <c r="AH60" s="128" t="str">
        <f ca="1">IF(AH$50="","",INDEX(Leverancer!BI:BI,ROW()-ROW(Leverancer!$AU$25)+1)*Leverancer!BI$96/1000)</f>
        <v/>
      </c>
      <c r="AI60" s="128" t="str">
        <f ca="1">IF(AI$50="","",INDEX(Leverancer!BJ:BJ,ROW()-ROW(Leverancer!$AU$25)+1)*Leverancer!BJ$96/1000)</f>
        <v/>
      </c>
      <c r="AJ60" s="128" t="str">
        <f ca="1">IF(AJ$50="","",INDEX(Leverancer!BK:BK,ROW()-ROW(Leverancer!$AU$25)+1)*Leverancer!BK$96/1000)</f>
        <v/>
      </c>
      <c r="AK60" s="128" t="str">
        <f ca="1">IF(AK$50="","",INDEX(Leverancer!BL:BL,ROW()-ROW(Leverancer!$AU$25)+1)*Leverancer!BL$96/1000)</f>
        <v/>
      </c>
      <c r="AL60" s="128" t="str">
        <f ca="1">IF(AL$50="","",INDEX(Leverancer!BM:BM,ROW()-ROW(Leverancer!$AU$25)+1)*Leverancer!BM$96/1000)</f>
        <v/>
      </c>
      <c r="AM60" s="128" t="str">
        <f ca="1">IF(AM$50="","",INDEX(Leverancer!BN:BN,ROW()-ROW(Leverancer!$AU$25)+1)*Leverancer!BN$96/1000)</f>
        <v/>
      </c>
      <c r="AN60" s="128" t="str">
        <f ca="1">IF(AN$50="","",INDEX(Leverancer!BO:BO,ROW()-ROW(Leverancer!$AU$25)+1)*Leverancer!BO$96/1000)</f>
        <v/>
      </c>
      <c r="AO60" s="128" t="str">
        <f ca="1">IF(AO$50="","",INDEX(Leverancer!BP:BP,ROW()-ROW(Leverancer!$AU$25)+1)*Leverancer!BP$96/1000)</f>
        <v/>
      </c>
      <c r="AP60" s="128" t="str">
        <f ca="1">IF(AP$50="","",INDEX(Leverancer!BQ:BQ,ROW()-ROW(Leverancer!$AU$25)+1)*Leverancer!BQ$96/1000)</f>
        <v/>
      </c>
      <c r="AQ60" s="128" t="str">
        <f ca="1">IF(AQ$50="","",INDEX(Leverancer!BR:BR,ROW()-ROW(Leverancer!$AU$25)+1)*Leverancer!BR$96/1000)</f>
        <v/>
      </c>
      <c r="AR60" s="128" t="str">
        <f ca="1">IF(AR$50="","",INDEX(Leverancer!BS:BS,ROW()-ROW(Leverancer!$AU$25)+1)*Leverancer!BS$96/1000)</f>
        <v/>
      </c>
      <c r="AS60" s="128" t="str">
        <f ca="1">IF(AS$50="","",INDEX(Leverancer!BT:BT,ROW()-ROW(Leverancer!$AU$25)+1)*Leverancer!BT$96/1000)</f>
        <v/>
      </c>
      <c r="AT60" s="128" t="str">
        <f ca="1">IF(AT$50="","",INDEX(Leverancer!BU:BU,ROW()-ROW(Leverancer!$AU$25)+1)*Leverancer!BU$96/1000)</f>
        <v/>
      </c>
      <c r="AU60" s="128" t="str">
        <f ca="1">IF(AU$50="","",INDEX(Leverancer!BV:BV,ROW()-ROW(Leverancer!$AU$25)+1)*Leverancer!BV$96/1000)</f>
        <v/>
      </c>
      <c r="AV60" s="128" t="str">
        <f ca="1">IF(AV$50="","",INDEX(Leverancer!BW:BW,ROW()-ROW(Leverancer!$AU$25)+1)*Leverancer!BW$96/1000)</f>
        <v/>
      </c>
      <c r="AW60" s="128" t="str">
        <f ca="1">IF(AW$50="","",INDEX(Leverancer!BX:BX,ROW()-ROW(Leverancer!$AU$25)+1)*Leverancer!BX$96/1000)</f>
        <v/>
      </c>
      <c r="AX60" s="104"/>
      <c r="AY60" s="104"/>
      <c r="AZ60" s="101"/>
    </row>
    <row r="61" spans="14:52" ht="12.75" customHeight="1" x14ac:dyDescent="0.25">
      <c r="N61" s="99"/>
      <c r="O61" s="104"/>
      <c r="P61" s="104"/>
      <c r="Q61" s="130" t="str">
        <f>INDEX(Leverancer!$AO$1:$AO$1061,ROW()-ROW(Leverancer!$AU$25)+1)&amp;": "&amp;INDEX(Leverancer!$AP$1:$AP$1061,ROW()-ROW(Leverancer!$AU$25)+1)</f>
        <v>L10: 10</v>
      </c>
      <c r="R61" s="128"/>
      <c r="S61" s="133">
        <f t="shared" ca="1" si="9"/>
        <v>0</v>
      </c>
      <c r="T61" s="128">
        <f ca="1">IF(T$50="","",INDEX(Leverancer!AU:AU,ROW()-ROW(Leverancer!$AU$25)+1)*Leverancer!AU$96/1000)</f>
        <v>0</v>
      </c>
      <c r="U61" s="128">
        <f ca="1">IF(U$50="","",INDEX(Leverancer!AV:AV,ROW()-ROW(Leverancer!$AU$25)+1)*Leverancer!AV$96/1000)</f>
        <v>0</v>
      </c>
      <c r="V61" s="128">
        <f ca="1">IF(V$50="","",INDEX(Leverancer!AW:AW,ROW()-ROW(Leverancer!$AU$25)+1)*Leverancer!AW$96/1000)</f>
        <v>0</v>
      </c>
      <c r="W61" s="128">
        <f ca="1">IF(W$50="","",INDEX(Leverancer!AX:AX,ROW()-ROW(Leverancer!$AU$25)+1)*Leverancer!AX$96/1000)</f>
        <v>0</v>
      </c>
      <c r="X61" s="128" t="str">
        <f ca="1">IF(X$50="","",INDEX(Leverancer!AY:AY,ROW()-ROW(Leverancer!$AU$25)+1)*Leverancer!AY$96/1000)</f>
        <v/>
      </c>
      <c r="Y61" s="128" t="str">
        <f ca="1">IF(Y$50="","",INDEX(Leverancer!AZ:AZ,ROW()-ROW(Leverancer!$AU$25)+1)*Leverancer!AZ$96/1000)</f>
        <v/>
      </c>
      <c r="Z61" s="128" t="str">
        <f ca="1">IF(Z$50="","",INDEX(Leverancer!BA:BA,ROW()-ROW(Leverancer!$AU$25)+1)*Leverancer!BA$96/1000)</f>
        <v/>
      </c>
      <c r="AA61" s="128" t="str">
        <f ca="1">IF(AA$50="","",INDEX(Leverancer!BB:BB,ROW()-ROW(Leverancer!$AU$25)+1)*Leverancer!BB$96/1000)</f>
        <v/>
      </c>
      <c r="AB61" s="128" t="str">
        <f ca="1">IF(AB$50="","",INDEX(Leverancer!BC:BC,ROW()-ROW(Leverancer!$AU$25)+1)*Leverancer!BC$96/1000)</f>
        <v/>
      </c>
      <c r="AC61" s="128" t="str">
        <f ca="1">IF(AC$50="","",INDEX(Leverancer!BD:BD,ROW()-ROW(Leverancer!$AU$25)+1)*Leverancer!BD$96/1000)</f>
        <v/>
      </c>
      <c r="AD61" s="128" t="str">
        <f ca="1">IF(AD$50="","",INDEX(Leverancer!BE:BE,ROW()-ROW(Leverancer!$AU$25)+1)*Leverancer!BE$96/1000)</f>
        <v/>
      </c>
      <c r="AE61" s="128" t="str">
        <f ca="1">IF(AE$50="","",INDEX(Leverancer!BF:BF,ROW()-ROW(Leverancer!$AU$25)+1)*Leverancer!BF$96/1000)</f>
        <v/>
      </c>
      <c r="AF61" s="128" t="str">
        <f ca="1">IF(AF$50="","",INDEX(Leverancer!BG:BG,ROW()-ROW(Leverancer!$AU$25)+1)*Leverancer!BG$96/1000)</f>
        <v/>
      </c>
      <c r="AG61" s="128" t="str">
        <f ca="1">IF(AG$50="","",INDEX(Leverancer!BH:BH,ROW()-ROW(Leverancer!$AU$25)+1)*Leverancer!BH$96/1000)</f>
        <v/>
      </c>
      <c r="AH61" s="128" t="str">
        <f ca="1">IF(AH$50="","",INDEX(Leverancer!BI:BI,ROW()-ROW(Leverancer!$AU$25)+1)*Leverancer!BI$96/1000)</f>
        <v/>
      </c>
      <c r="AI61" s="128" t="str">
        <f ca="1">IF(AI$50="","",INDEX(Leverancer!BJ:BJ,ROW()-ROW(Leverancer!$AU$25)+1)*Leverancer!BJ$96/1000)</f>
        <v/>
      </c>
      <c r="AJ61" s="128" t="str">
        <f ca="1">IF(AJ$50="","",INDEX(Leverancer!BK:BK,ROW()-ROW(Leverancer!$AU$25)+1)*Leverancer!BK$96/1000)</f>
        <v/>
      </c>
      <c r="AK61" s="128" t="str">
        <f ca="1">IF(AK$50="","",INDEX(Leverancer!BL:BL,ROW()-ROW(Leverancer!$AU$25)+1)*Leverancer!BL$96/1000)</f>
        <v/>
      </c>
      <c r="AL61" s="128" t="str">
        <f ca="1">IF(AL$50="","",INDEX(Leverancer!BM:BM,ROW()-ROW(Leverancer!$AU$25)+1)*Leverancer!BM$96/1000)</f>
        <v/>
      </c>
      <c r="AM61" s="128" t="str">
        <f ca="1">IF(AM$50="","",INDEX(Leverancer!BN:BN,ROW()-ROW(Leverancer!$AU$25)+1)*Leverancer!BN$96/1000)</f>
        <v/>
      </c>
      <c r="AN61" s="128" t="str">
        <f ca="1">IF(AN$50="","",INDEX(Leverancer!BO:BO,ROW()-ROW(Leverancer!$AU$25)+1)*Leverancer!BO$96/1000)</f>
        <v/>
      </c>
      <c r="AO61" s="128" t="str">
        <f ca="1">IF(AO$50="","",INDEX(Leverancer!BP:BP,ROW()-ROW(Leverancer!$AU$25)+1)*Leverancer!BP$96/1000)</f>
        <v/>
      </c>
      <c r="AP61" s="128" t="str">
        <f ca="1">IF(AP$50="","",INDEX(Leverancer!BQ:BQ,ROW()-ROW(Leverancer!$AU$25)+1)*Leverancer!BQ$96/1000)</f>
        <v/>
      </c>
      <c r="AQ61" s="128" t="str">
        <f ca="1">IF(AQ$50="","",INDEX(Leverancer!BR:BR,ROW()-ROW(Leverancer!$AU$25)+1)*Leverancer!BR$96/1000)</f>
        <v/>
      </c>
      <c r="AR61" s="128" t="str">
        <f ca="1">IF(AR$50="","",INDEX(Leverancer!BS:BS,ROW()-ROW(Leverancer!$AU$25)+1)*Leverancer!BS$96/1000)</f>
        <v/>
      </c>
      <c r="AS61" s="128" t="str">
        <f ca="1">IF(AS$50="","",INDEX(Leverancer!BT:BT,ROW()-ROW(Leverancer!$AU$25)+1)*Leverancer!BT$96/1000)</f>
        <v/>
      </c>
      <c r="AT61" s="128" t="str">
        <f ca="1">IF(AT$50="","",INDEX(Leverancer!BU:BU,ROW()-ROW(Leverancer!$AU$25)+1)*Leverancer!BU$96/1000)</f>
        <v/>
      </c>
      <c r="AU61" s="128" t="str">
        <f ca="1">IF(AU$50="","",INDEX(Leverancer!BV:BV,ROW()-ROW(Leverancer!$AU$25)+1)*Leverancer!BV$96/1000)</f>
        <v/>
      </c>
      <c r="AV61" s="128" t="str">
        <f ca="1">IF(AV$50="","",INDEX(Leverancer!BW:BW,ROW()-ROW(Leverancer!$AU$25)+1)*Leverancer!BW$96/1000)</f>
        <v/>
      </c>
      <c r="AW61" s="128" t="str">
        <f ca="1">IF(AW$50="","",INDEX(Leverancer!BX:BX,ROW()-ROW(Leverancer!$AU$25)+1)*Leverancer!BX$96/1000)</f>
        <v/>
      </c>
      <c r="AX61" s="104"/>
      <c r="AY61" s="104"/>
      <c r="AZ61" s="101"/>
    </row>
    <row r="62" spans="14:52" ht="12.75" customHeight="1" x14ac:dyDescent="0.25">
      <c r="N62" s="99"/>
      <c r="O62" s="104"/>
      <c r="P62" s="104"/>
      <c r="Q62" s="131" t="str">
        <f>INDEX(g_lang_val,MATCH("so_2_1_3",g_lang_key,0))</f>
        <v>Gennemførelsesfase</v>
      </c>
      <c r="R62" s="136">
        <f ca="1">IF(S$114&lt;&gt;0,S62/S$114,0)</f>
        <v>0</v>
      </c>
      <c r="S62" s="133">
        <f ca="1">SUM(T62:BG62)</f>
        <v>0</v>
      </c>
      <c r="T62" s="134">
        <f ca="1">IF(T$50="","",SUM(T63:T112))</f>
        <v>0</v>
      </c>
      <c r="U62" s="134">
        <f ca="1">IF(U$50="","",SUM(U63:U112))</f>
        <v>0</v>
      </c>
      <c r="V62" s="134">
        <f t="shared" ref="V62:AW62" ca="1" si="10">IF(V$50="","",SUM(V63:V112))</f>
        <v>0</v>
      </c>
      <c r="W62" s="134">
        <f t="shared" ca="1" si="10"/>
        <v>0</v>
      </c>
      <c r="X62" s="134" t="str">
        <f t="shared" ca="1" si="10"/>
        <v/>
      </c>
      <c r="Y62" s="134" t="str">
        <f t="shared" ca="1" si="10"/>
        <v/>
      </c>
      <c r="Z62" s="134" t="str">
        <f t="shared" ca="1" si="10"/>
        <v/>
      </c>
      <c r="AA62" s="134" t="str">
        <f t="shared" ca="1" si="10"/>
        <v/>
      </c>
      <c r="AB62" s="134" t="str">
        <f t="shared" ca="1" si="10"/>
        <v/>
      </c>
      <c r="AC62" s="134" t="str">
        <f t="shared" ca="1" si="10"/>
        <v/>
      </c>
      <c r="AD62" s="134" t="str">
        <f t="shared" ca="1" si="10"/>
        <v/>
      </c>
      <c r="AE62" s="134" t="str">
        <f t="shared" ca="1" si="10"/>
        <v/>
      </c>
      <c r="AF62" s="134" t="str">
        <f t="shared" ca="1" si="10"/>
        <v/>
      </c>
      <c r="AG62" s="134" t="str">
        <f t="shared" ca="1" si="10"/>
        <v/>
      </c>
      <c r="AH62" s="134" t="str">
        <f t="shared" ca="1" si="10"/>
        <v/>
      </c>
      <c r="AI62" s="134" t="str">
        <f t="shared" ca="1" si="10"/>
        <v/>
      </c>
      <c r="AJ62" s="134" t="str">
        <f t="shared" ca="1" si="10"/>
        <v/>
      </c>
      <c r="AK62" s="134" t="str">
        <f t="shared" ca="1" si="10"/>
        <v/>
      </c>
      <c r="AL62" s="134" t="str">
        <f t="shared" ca="1" si="10"/>
        <v/>
      </c>
      <c r="AM62" s="134" t="str">
        <f t="shared" ca="1" si="10"/>
        <v/>
      </c>
      <c r="AN62" s="134" t="str">
        <f t="shared" ca="1" si="10"/>
        <v/>
      </c>
      <c r="AO62" s="134" t="str">
        <f t="shared" ca="1" si="10"/>
        <v/>
      </c>
      <c r="AP62" s="134" t="str">
        <f t="shared" ca="1" si="10"/>
        <v/>
      </c>
      <c r="AQ62" s="134" t="str">
        <f t="shared" ca="1" si="10"/>
        <v/>
      </c>
      <c r="AR62" s="134" t="str">
        <f t="shared" ca="1" si="10"/>
        <v/>
      </c>
      <c r="AS62" s="134" t="str">
        <f t="shared" ca="1" si="10"/>
        <v/>
      </c>
      <c r="AT62" s="134" t="str">
        <f t="shared" ca="1" si="10"/>
        <v/>
      </c>
      <c r="AU62" s="134" t="str">
        <f t="shared" ca="1" si="10"/>
        <v/>
      </c>
      <c r="AV62" s="134" t="str">
        <f t="shared" ca="1" si="10"/>
        <v/>
      </c>
      <c r="AW62" s="134" t="str">
        <f t="shared" ca="1" si="10"/>
        <v/>
      </c>
      <c r="AX62" s="104"/>
      <c r="AY62" s="104"/>
      <c r="AZ62" s="101"/>
    </row>
    <row r="63" spans="14:52" ht="12.75" customHeight="1" x14ac:dyDescent="0.25">
      <c r="N63" s="99"/>
      <c r="O63" s="104"/>
      <c r="P63" s="104"/>
      <c r="Q63" s="130" t="str">
        <f>INDEX(Leverancer!$AO$1:$AO$1061,ROW()-ROW(Leverancer!$AU$25)+1)&amp;": "&amp;INDEX(Leverancer!$AP$1:$AP$1061,ROW()-ROW(Leverancer!$AU$25)+1)</f>
        <v xml:space="preserve">L11: </v>
      </c>
      <c r="R63" s="128"/>
      <c r="S63" s="133">
        <f t="shared" ca="1" si="9"/>
        <v>0</v>
      </c>
      <c r="T63" s="128">
        <f ca="1">IF(T$50="","",INDEX(Leverancer!AU:AU,ROW()-ROW(Leverancer!$AU$25)+1)*Leverancer!AU$96/1000)</f>
        <v>0</v>
      </c>
      <c r="U63" s="128">
        <f ca="1">IF(U$50="","",INDEX(Leverancer!AV:AV,ROW()-ROW(Leverancer!$AU$25)+1)*Leverancer!AV$96/1000)</f>
        <v>0</v>
      </c>
      <c r="V63" s="128">
        <f ca="1">IF(V$50="","",INDEX(Leverancer!AW:AW,ROW()-ROW(Leverancer!$AU$25)+1)*Leverancer!AW$96/1000)</f>
        <v>0</v>
      </c>
      <c r="W63" s="128">
        <f ca="1">IF(W$50="","",INDEX(Leverancer!AX:AX,ROW()-ROW(Leverancer!$AU$25)+1)*Leverancer!AX$96/1000)</f>
        <v>0</v>
      </c>
      <c r="X63" s="128" t="str">
        <f ca="1">IF(X$50="","",INDEX(Leverancer!AY:AY,ROW()-ROW(Leverancer!$AU$25)+1)*Leverancer!AY$96/1000)</f>
        <v/>
      </c>
      <c r="Y63" s="128" t="str">
        <f ca="1">IF(Y$50="","",INDEX(Leverancer!AZ:AZ,ROW()-ROW(Leverancer!$AU$25)+1)*Leverancer!AZ$96/1000)</f>
        <v/>
      </c>
      <c r="Z63" s="128" t="str">
        <f ca="1">IF(Z$50="","",INDEX(Leverancer!BA:BA,ROW()-ROW(Leverancer!$AU$25)+1)*Leverancer!BA$96/1000)</f>
        <v/>
      </c>
      <c r="AA63" s="128" t="str">
        <f ca="1">IF(AA$50="","",INDEX(Leverancer!BB:BB,ROW()-ROW(Leverancer!$AU$25)+1)*Leverancer!BB$96/1000)</f>
        <v/>
      </c>
      <c r="AB63" s="128" t="str">
        <f ca="1">IF(AB$50="","",INDEX(Leverancer!BC:BC,ROW()-ROW(Leverancer!$AU$25)+1)*Leverancer!BC$96/1000)</f>
        <v/>
      </c>
      <c r="AC63" s="128" t="str">
        <f ca="1">IF(AC$50="","",INDEX(Leverancer!BD:BD,ROW()-ROW(Leverancer!$AU$25)+1)*Leverancer!BD$96/1000)</f>
        <v/>
      </c>
      <c r="AD63" s="128" t="str">
        <f ca="1">IF(AD$50="","",INDEX(Leverancer!BE:BE,ROW()-ROW(Leverancer!$AU$25)+1)*Leverancer!BE$96/1000)</f>
        <v/>
      </c>
      <c r="AE63" s="128" t="str">
        <f ca="1">IF(AE$50="","",INDEX(Leverancer!BF:BF,ROW()-ROW(Leverancer!$AU$25)+1)*Leverancer!BF$96/1000)</f>
        <v/>
      </c>
      <c r="AF63" s="128" t="str">
        <f ca="1">IF(AF$50="","",INDEX(Leverancer!BG:BG,ROW()-ROW(Leverancer!$AU$25)+1)*Leverancer!BG$96/1000)</f>
        <v/>
      </c>
      <c r="AG63" s="128" t="str">
        <f ca="1">IF(AG$50="","",INDEX(Leverancer!BH:BH,ROW()-ROW(Leverancer!$AU$25)+1)*Leverancer!BH$96/1000)</f>
        <v/>
      </c>
      <c r="AH63" s="128" t="str">
        <f ca="1">IF(AH$50="","",INDEX(Leverancer!BI:BI,ROW()-ROW(Leverancer!$AU$25)+1)*Leverancer!BI$96/1000)</f>
        <v/>
      </c>
      <c r="AI63" s="128" t="str">
        <f ca="1">IF(AI$50="","",INDEX(Leverancer!BJ:BJ,ROW()-ROW(Leverancer!$AU$25)+1)*Leverancer!BJ$96/1000)</f>
        <v/>
      </c>
      <c r="AJ63" s="128" t="str">
        <f ca="1">IF(AJ$50="","",INDEX(Leverancer!BK:BK,ROW()-ROW(Leverancer!$AU$25)+1)*Leverancer!BK$96/1000)</f>
        <v/>
      </c>
      <c r="AK63" s="128" t="str">
        <f ca="1">IF(AK$50="","",INDEX(Leverancer!BL:BL,ROW()-ROW(Leverancer!$AU$25)+1)*Leverancer!BL$96/1000)</f>
        <v/>
      </c>
      <c r="AL63" s="128" t="str">
        <f ca="1">IF(AL$50="","",INDEX(Leverancer!BM:BM,ROW()-ROW(Leverancer!$AU$25)+1)*Leverancer!BM$96/1000)</f>
        <v/>
      </c>
      <c r="AM63" s="128" t="str">
        <f ca="1">IF(AM$50="","",INDEX(Leverancer!BN:BN,ROW()-ROW(Leverancer!$AU$25)+1)*Leverancer!BN$96/1000)</f>
        <v/>
      </c>
      <c r="AN63" s="128" t="str">
        <f ca="1">IF(AN$50="","",INDEX(Leverancer!BO:BO,ROW()-ROW(Leverancer!$AU$25)+1)*Leverancer!BO$96/1000)</f>
        <v/>
      </c>
      <c r="AO63" s="128" t="str">
        <f ca="1">IF(AO$50="","",INDEX(Leverancer!BP:BP,ROW()-ROW(Leverancer!$AU$25)+1)*Leverancer!BP$96/1000)</f>
        <v/>
      </c>
      <c r="AP63" s="128" t="str">
        <f ca="1">IF(AP$50="","",INDEX(Leverancer!BQ:BQ,ROW()-ROW(Leverancer!$AU$25)+1)*Leverancer!BQ$96/1000)</f>
        <v/>
      </c>
      <c r="AQ63" s="128" t="str">
        <f ca="1">IF(AQ$50="","",INDEX(Leverancer!BR:BR,ROW()-ROW(Leverancer!$AU$25)+1)*Leverancer!BR$96/1000)</f>
        <v/>
      </c>
      <c r="AR63" s="128" t="str">
        <f ca="1">IF(AR$50="","",INDEX(Leverancer!BS:BS,ROW()-ROW(Leverancer!$AU$25)+1)*Leverancer!BS$96/1000)</f>
        <v/>
      </c>
      <c r="AS63" s="128" t="str">
        <f ca="1">IF(AS$50="","",INDEX(Leverancer!BT:BT,ROW()-ROW(Leverancer!$AU$25)+1)*Leverancer!BT$96/1000)</f>
        <v/>
      </c>
      <c r="AT63" s="128" t="str">
        <f ca="1">IF(AT$50="","",INDEX(Leverancer!BU:BU,ROW()-ROW(Leverancer!$AU$25)+1)*Leverancer!BU$96/1000)</f>
        <v/>
      </c>
      <c r="AU63" s="128" t="str">
        <f ca="1">IF(AU$50="","",INDEX(Leverancer!BV:BV,ROW()-ROW(Leverancer!$AU$25)+1)*Leverancer!BV$96/1000)</f>
        <v/>
      </c>
      <c r="AV63" s="128" t="str">
        <f ca="1">IF(AV$50="","",INDEX(Leverancer!BW:BW,ROW()-ROW(Leverancer!$AU$25)+1)*Leverancer!BW$96/1000)</f>
        <v/>
      </c>
      <c r="AW63" s="128" t="str">
        <f ca="1">IF(AW$50="","",INDEX(Leverancer!BX:BX,ROW()-ROW(Leverancer!$AU$25)+1)*Leverancer!BX$96/1000)</f>
        <v/>
      </c>
      <c r="AX63" s="104"/>
      <c r="AY63" s="104"/>
      <c r="AZ63" s="101"/>
    </row>
    <row r="64" spans="14:52" ht="12.75" customHeight="1" x14ac:dyDescent="0.25">
      <c r="N64" s="99"/>
      <c r="O64" s="104"/>
      <c r="P64" s="104"/>
      <c r="Q64" s="130" t="str">
        <f>INDEX(Leverancer!$AO$1:$AO$1061,ROW()-ROW(Leverancer!$AU$25)+1)&amp;": "&amp;INDEX(Leverancer!$AP$1:$AP$1061,ROW()-ROW(Leverancer!$AU$25)+1)</f>
        <v xml:space="preserve">L12: </v>
      </c>
      <c r="R64" s="128"/>
      <c r="S64" s="133">
        <f t="shared" ref="S64:S112" ca="1" si="11">SUM(T64:BG64)</f>
        <v>0</v>
      </c>
      <c r="T64" s="128">
        <f ca="1">IF(T$50="","",INDEX(Leverancer!AU:AU,ROW()-ROW(Leverancer!$AU$25)+1)*Leverancer!AU$96/1000)</f>
        <v>0</v>
      </c>
      <c r="U64" s="128">
        <f ca="1">IF(U$50="","",INDEX(Leverancer!AV:AV,ROW()-ROW(Leverancer!$AU$25)+1)*Leverancer!AV$96/1000)</f>
        <v>0</v>
      </c>
      <c r="V64" s="128">
        <f ca="1">IF(V$50="","",INDEX(Leverancer!AW:AW,ROW()-ROW(Leverancer!$AU$25)+1)*Leverancer!AW$96/1000)</f>
        <v>0</v>
      </c>
      <c r="W64" s="128">
        <f ca="1">IF(W$50="","",INDEX(Leverancer!AX:AX,ROW()-ROW(Leverancer!$AU$25)+1)*Leverancer!AX$96/1000)</f>
        <v>0</v>
      </c>
      <c r="X64" s="128" t="str">
        <f ca="1">IF(X$50="","",INDEX(Leverancer!AY:AY,ROW()-ROW(Leverancer!$AU$25)+1)*Leverancer!AY$96/1000)</f>
        <v/>
      </c>
      <c r="Y64" s="128" t="str">
        <f ca="1">IF(Y$50="","",INDEX(Leverancer!AZ:AZ,ROW()-ROW(Leverancer!$AU$25)+1)*Leverancer!AZ$96/1000)</f>
        <v/>
      </c>
      <c r="Z64" s="128" t="str">
        <f ca="1">IF(Z$50="","",INDEX(Leverancer!BA:BA,ROW()-ROW(Leverancer!$AU$25)+1)*Leverancer!BA$96/1000)</f>
        <v/>
      </c>
      <c r="AA64" s="128" t="str">
        <f ca="1">IF(AA$50="","",INDEX(Leverancer!BB:BB,ROW()-ROW(Leverancer!$AU$25)+1)*Leverancer!BB$96/1000)</f>
        <v/>
      </c>
      <c r="AB64" s="128" t="str">
        <f ca="1">IF(AB$50="","",INDEX(Leverancer!BC:BC,ROW()-ROW(Leverancer!$AU$25)+1)*Leverancer!BC$96/1000)</f>
        <v/>
      </c>
      <c r="AC64" s="128" t="str">
        <f ca="1">IF(AC$50="","",INDEX(Leverancer!BD:BD,ROW()-ROW(Leverancer!$AU$25)+1)*Leverancer!BD$96/1000)</f>
        <v/>
      </c>
      <c r="AD64" s="128" t="str">
        <f ca="1">IF(AD$50="","",INDEX(Leverancer!BE:BE,ROW()-ROW(Leverancer!$AU$25)+1)*Leverancer!BE$96/1000)</f>
        <v/>
      </c>
      <c r="AE64" s="128" t="str">
        <f ca="1">IF(AE$50="","",INDEX(Leverancer!BF:BF,ROW()-ROW(Leverancer!$AU$25)+1)*Leverancer!BF$96/1000)</f>
        <v/>
      </c>
      <c r="AF64" s="128" t="str">
        <f ca="1">IF(AF$50="","",INDEX(Leverancer!BG:BG,ROW()-ROW(Leverancer!$AU$25)+1)*Leverancer!BG$96/1000)</f>
        <v/>
      </c>
      <c r="AG64" s="128" t="str">
        <f ca="1">IF(AG$50="","",INDEX(Leverancer!BH:BH,ROW()-ROW(Leverancer!$AU$25)+1)*Leverancer!BH$96/1000)</f>
        <v/>
      </c>
      <c r="AH64" s="128" t="str">
        <f ca="1">IF(AH$50="","",INDEX(Leverancer!BI:BI,ROW()-ROW(Leverancer!$AU$25)+1)*Leverancer!BI$96/1000)</f>
        <v/>
      </c>
      <c r="AI64" s="128" t="str">
        <f ca="1">IF(AI$50="","",INDEX(Leverancer!BJ:BJ,ROW()-ROW(Leverancer!$AU$25)+1)*Leverancer!BJ$96/1000)</f>
        <v/>
      </c>
      <c r="AJ64" s="128" t="str">
        <f ca="1">IF(AJ$50="","",INDEX(Leverancer!BK:BK,ROW()-ROW(Leverancer!$AU$25)+1)*Leverancer!BK$96/1000)</f>
        <v/>
      </c>
      <c r="AK64" s="128" t="str">
        <f ca="1">IF(AK$50="","",INDEX(Leverancer!BL:BL,ROW()-ROW(Leverancer!$AU$25)+1)*Leverancer!BL$96/1000)</f>
        <v/>
      </c>
      <c r="AL64" s="128" t="str">
        <f ca="1">IF(AL$50="","",INDEX(Leverancer!BM:BM,ROW()-ROW(Leverancer!$AU$25)+1)*Leverancer!BM$96/1000)</f>
        <v/>
      </c>
      <c r="AM64" s="128" t="str">
        <f ca="1">IF(AM$50="","",INDEX(Leverancer!BN:BN,ROW()-ROW(Leverancer!$AU$25)+1)*Leverancer!BN$96/1000)</f>
        <v/>
      </c>
      <c r="AN64" s="128" t="str">
        <f ca="1">IF(AN$50="","",INDEX(Leverancer!BO:BO,ROW()-ROW(Leverancer!$AU$25)+1)*Leverancer!BO$96/1000)</f>
        <v/>
      </c>
      <c r="AO64" s="128" t="str">
        <f ca="1">IF(AO$50="","",INDEX(Leverancer!BP:BP,ROW()-ROW(Leverancer!$AU$25)+1)*Leverancer!BP$96/1000)</f>
        <v/>
      </c>
      <c r="AP64" s="128" t="str">
        <f ca="1">IF(AP$50="","",INDEX(Leverancer!BQ:BQ,ROW()-ROW(Leverancer!$AU$25)+1)*Leverancer!BQ$96/1000)</f>
        <v/>
      </c>
      <c r="AQ64" s="128" t="str">
        <f ca="1">IF(AQ$50="","",INDEX(Leverancer!BR:BR,ROW()-ROW(Leverancer!$AU$25)+1)*Leverancer!BR$96/1000)</f>
        <v/>
      </c>
      <c r="AR64" s="128" t="str">
        <f ca="1">IF(AR$50="","",INDEX(Leverancer!BS:BS,ROW()-ROW(Leverancer!$AU$25)+1)*Leverancer!BS$96/1000)</f>
        <v/>
      </c>
      <c r="AS64" s="128" t="str">
        <f ca="1">IF(AS$50="","",INDEX(Leverancer!BT:BT,ROW()-ROW(Leverancer!$AU$25)+1)*Leverancer!BT$96/1000)</f>
        <v/>
      </c>
      <c r="AT64" s="128" t="str">
        <f ca="1">IF(AT$50="","",INDEX(Leverancer!BU:BU,ROW()-ROW(Leverancer!$AU$25)+1)*Leverancer!BU$96/1000)</f>
        <v/>
      </c>
      <c r="AU64" s="128" t="str">
        <f ca="1">IF(AU$50="","",INDEX(Leverancer!BV:BV,ROW()-ROW(Leverancer!$AU$25)+1)*Leverancer!BV$96/1000)</f>
        <v/>
      </c>
      <c r="AV64" s="128" t="str">
        <f ca="1">IF(AV$50="","",INDEX(Leverancer!BW:BW,ROW()-ROW(Leverancer!$AU$25)+1)*Leverancer!BW$96/1000)</f>
        <v/>
      </c>
      <c r="AW64" s="128" t="str">
        <f ca="1">IF(AW$50="","",INDEX(Leverancer!BX:BX,ROW()-ROW(Leverancer!$AU$25)+1)*Leverancer!BX$96/1000)</f>
        <v/>
      </c>
      <c r="AX64" s="104"/>
      <c r="AY64" s="104"/>
      <c r="AZ64" s="101"/>
    </row>
    <row r="65" spans="14:52" ht="12.75" customHeight="1" x14ac:dyDescent="0.25">
      <c r="N65" s="99"/>
      <c r="O65" s="104"/>
      <c r="P65" s="104"/>
      <c r="Q65" s="130" t="str">
        <f>INDEX(Leverancer!$AO$1:$AO$1061,ROW()-ROW(Leverancer!$AU$25)+1)&amp;": "&amp;INDEX(Leverancer!$AP$1:$AP$1061,ROW()-ROW(Leverancer!$AU$25)+1)</f>
        <v xml:space="preserve">L13: </v>
      </c>
      <c r="R65" s="128"/>
      <c r="S65" s="133">
        <f t="shared" ca="1" si="11"/>
        <v>0</v>
      </c>
      <c r="T65" s="128">
        <f ca="1">IF(T$50="","",INDEX(Leverancer!AU:AU,ROW()-ROW(Leverancer!$AU$25)+1)*Leverancer!AU$96/1000)</f>
        <v>0</v>
      </c>
      <c r="U65" s="128">
        <f ca="1">IF(U$50="","",INDEX(Leverancer!AV:AV,ROW()-ROW(Leverancer!$AU$25)+1)*Leverancer!AV$96/1000)</f>
        <v>0</v>
      </c>
      <c r="V65" s="128">
        <f ca="1">IF(V$50="","",INDEX(Leverancer!AW:AW,ROW()-ROW(Leverancer!$AU$25)+1)*Leverancer!AW$96/1000)</f>
        <v>0</v>
      </c>
      <c r="W65" s="128">
        <f ca="1">IF(W$50="","",INDEX(Leverancer!AX:AX,ROW()-ROW(Leverancer!$AU$25)+1)*Leverancer!AX$96/1000)</f>
        <v>0</v>
      </c>
      <c r="X65" s="128" t="str">
        <f ca="1">IF(X$50="","",INDEX(Leverancer!AY:AY,ROW()-ROW(Leverancer!$AU$25)+1)*Leverancer!AY$96/1000)</f>
        <v/>
      </c>
      <c r="Y65" s="128" t="str">
        <f ca="1">IF(Y$50="","",INDEX(Leverancer!AZ:AZ,ROW()-ROW(Leverancer!$AU$25)+1)*Leverancer!AZ$96/1000)</f>
        <v/>
      </c>
      <c r="Z65" s="128" t="str">
        <f ca="1">IF(Z$50="","",INDEX(Leverancer!BA:BA,ROW()-ROW(Leverancer!$AU$25)+1)*Leverancer!BA$96/1000)</f>
        <v/>
      </c>
      <c r="AA65" s="128" t="str">
        <f ca="1">IF(AA$50="","",INDEX(Leverancer!BB:BB,ROW()-ROW(Leverancer!$AU$25)+1)*Leverancer!BB$96/1000)</f>
        <v/>
      </c>
      <c r="AB65" s="128" t="str">
        <f ca="1">IF(AB$50="","",INDEX(Leverancer!BC:BC,ROW()-ROW(Leverancer!$AU$25)+1)*Leverancer!BC$96/1000)</f>
        <v/>
      </c>
      <c r="AC65" s="128" t="str">
        <f ca="1">IF(AC$50="","",INDEX(Leverancer!BD:BD,ROW()-ROW(Leverancer!$AU$25)+1)*Leverancer!BD$96/1000)</f>
        <v/>
      </c>
      <c r="AD65" s="128" t="str">
        <f ca="1">IF(AD$50="","",INDEX(Leverancer!BE:BE,ROW()-ROW(Leverancer!$AU$25)+1)*Leverancer!BE$96/1000)</f>
        <v/>
      </c>
      <c r="AE65" s="128" t="str">
        <f ca="1">IF(AE$50="","",INDEX(Leverancer!BF:BF,ROW()-ROW(Leverancer!$AU$25)+1)*Leverancer!BF$96/1000)</f>
        <v/>
      </c>
      <c r="AF65" s="128" t="str">
        <f ca="1">IF(AF$50="","",INDEX(Leverancer!BG:BG,ROW()-ROW(Leverancer!$AU$25)+1)*Leverancer!BG$96/1000)</f>
        <v/>
      </c>
      <c r="AG65" s="128" t="str">
        <f ca="1">IF(AG$50="","",INDEX(Leverancer!BH:BH,ROW()-ROW(Leverancer!$AU$25)+1)*Leverancer!BH$96/1000)</f>
        <v/>
      </c>
      <c r="AH65" s="128" t="str">
        <f ca="1">IF(AH$50="","",INDEX(Leverancer!BI:BI,ROW()-ROW(Leverancer!$AU$25)+1)*Leverancer!BI$96/1000)</f>
        <v/>
      </c>
      <c r="AI65" s="128" t="str">
        <f ca="1">IF(AI$50="","",INDEX(Leverancer!BJ:BJ,ROW()-ROW(Leverancer!$AU$25)+1)*Leverancer!BJ$96/1000)</f>
        <v/>
      </c>
      <c r="AJ65" s="128" t="str">
        <f ca="1">IF(AJ$50="","",INDEX(Leverancer!BK:BK,ROW()-ROW(Leverancer!$AU$25)+1)*Leverancer!BK$96/1000)</f>
        <v/>
      </c>
      <c r="AK65" s="128" t="str">
        <f ca="1">IF(AK$50="","",INDEX(Leverancer!BL:BL,ROW()-ROW(Leverancer!$AU$25)+1)*Leverancer!BL$96/1000)</f>
        <v/>
      </c>
      <c r="AL65" s="128" t="str">
        <f ca="1">IF(AL$50="","",INDEX(Leverancer!BM:BM,ROW()-ROW(Leverancer!$AU$25)+1)*Leverancer!BM$96/1000)</f>
        <v/>
      </c>
      <c r="AM65" s="128" t="str">
        <f ca="1">IF(AM$50="","",INDEX(Leverancer!BN:BN,ROW()-ROW(Leverancer!$AU$25)+1)*Leverancer!BN$96/1000)</f>
        <v/>
      </c>
      <c r="AN65" s="128" t="str">
        <f ca="1">IF(AN$50="","",INDEX(Leverancer!BO:BO,ROW()-ROW(Leverancer!$AU$25)+1)*Leverancer!BO$96/1000)</f>
        <v/>
      </c>
      <c r="AO65" s="128" t="str">
        <f ca="1">IF(AO$50="","",INDEX(Leverancer!BP:BP,ROW()-ROW(Leverancer!$AU$25)+1)*Leverancer!BP$96/1000)</f>
        <v/>
      </c>
      <c r="AP65" s="128" t="str">
        <f ca="1">IF(AP$50="","",INDEX(Leverancer!BQ:BQ,ROW()-ROW(Leverancer!$AU$25)+1)*Leverancer!BQ$96/1000)</f>
        <v/>
      </c>
      <c r="AQ65" s="128" t="str">
        <f ca="1">IF(AQ$50="","",INDEX(Leverancer!BR:BR,ROW()-ROW(Leverancer!$AU$25)+1)*Leverancer!BR$96/1000)</f>
        <v/>
      </c>
      <c r="AR65" s="128" t="str">
        <f ca="1">IF(AR$50="","",INDEX(Leverancer!BS:BS,ROW()-ROW(Leverancer!$AU$25)+1)*Leverancer!BS$96/1000)</f>
        <v/>
      </c>
      <c r="AS65" s="128" t="str">
        <f ca="1">IF(AS$50="","",INDEX(Leverancer!BT:BT,ROW()-ROW(Leverancer!$AU$25)+1)*Leverancer!BT$96/1000)</f>
        <v/>
      </c>
      <c r="AT65" s="128" t="str">
        <f ca="1">IF(AT$50="","",INDEX(Leverancer!BU:BU,ROW()-ROW(Leverancer!$AU$25)+1)*Leverancer!BU$96/1000)</f>
        <v/>
      </c>
      <c r="AU65" s="128" t="str">
        <f ca="1">IF(AU$50="","",INDEX(Leverancer!BV:BV,ROW()-ROW(Leverancer!$AU$25)+1)*Leverancer!BV$96/1000)</f>
        <v/>
      </c>
      <c r="AV65" s="128" t="str">
        <f ca="1">IF(AV$50="","",INDEX(Leverancer!BW:BW,ROW()-ROW(Leverancer!$AU$25)+1)*Leverancer!BW$96/1000)</f>
        <v/>
      </c>
      <c r="AW65" s="128" t="str">
        <f ca="1">IF(AW$50="","",INDEX(Leverancer!BX:BX,ROW()-ROW(Leverancer!$AU$25)+1)*Leverancer!BX$96/1000)</f>
        <v/>
      </c>
      <c r="AX65" s="104"/>
      <c r="AY65" s="104"/>
      <c r="AZ65" s="101"/>
    </row>
    <row r="66" spans="14:52" ht="12.75" customHeight="1" x14ac:dyDescent="0.25">
      <c r="N66" s="99"/>
      <c r="O66" s="104"/>
      <c r="P66" s="104"/>
      <c r="Q66" s="130" t="str">
        <f>INDEX(Leverancer!$AO$1:$AO$1061,ROW()-ROW(Leverancer!$AU$25)+1)&amp;": "&amp;INDEX(Leverancer!$AP$1:$AP$1061,ROW()-ROW(Leverancer!$AU$25)+1)</f>
        <v xml:space="preserve">L14: </v>
      </c>
      <c r="R66" s="128"/>
      <c r="S66" s="133">
        <f t="shared" ca="1" si="11"/>
        <v>0</v>
      </c>
      <c r="T66" s="128">
        <f ca="1">IF(T$50="","",INDEX(Leverancer!AU:AU,ROW()-ROW(Leverancer!$AU$25)+1)*Leverancer!AU$96/1000)</f>
        <v>0</v>
      </c>
      <c r="U66" s="128">
        <f ca="1">IF(U$50="","",INDEX(Leverancer!AV:AV,ROW()-ROW(Leverancer!$AU$25)+1)*Leverancer!AV$96/1000)</f>
        <v>0</v>
      </c>
      <c r="V66" s="128">
        <f ca="1">IF(V$50="","",INDEX(Leverancer!AW:AW,ROW()-ROW(Leverancer!$AU$25)+1)*Leverancer!AW$96/1000)</f>
        <v>0</v>
      </c>
      <c r="W66" s="128">
        <f ca="1">IF(W$50="","",INDEX(Leverancer!AX:AX,ROW()-ROW(Leverancer!$AU$25)+1)*Leverancer!AX$96/1000)</f>
        <v>0</v>
      </c>
      <c r="X66" s="128" t="str">
        <f ca="1">IF(X$50="","",INDEX(Leverancer!AY:AY,ROW()-ROW(Leverancer!$AU$25)+1)*Leverancer!AY$96/1000)</f>
        <v/>
      </c>
      <c r="Y66" s="128" t="str">
        <f ca="1">IF(Y$50="","",INDEX(Leverancer!AZ:AZ,ROW()-ROW(Leverancer!$AU$25)+1)*Leverancer!AZ$96/1000)</f>
        <v/>
      </c>
      <c r="Z66" s="128" t="str">
        <f ca="1">IF(Z$50="","",INDEX(Leverancer!BA:BA,ROW()-ROW(Leverancer!$AU$25)+1)*Leverancer!BA$96/1000)</f>
        <v/>
      </c>
      <c r="AA66" s="128" t="str">
        <f ca="1">IF(AA$50="","",INDEX(Leverancer!BB:BB,ROW()-ROW(Leverancer!$AU$25)+1)*Leverancer!BB$96/1000)</f>
        <v/>
      </c>
      <c r="AB66" s="128" t="str">
        <f ca="1">IF(AB$50="","",INDEX(Leverancer!BC:BC,ROW()-ROW(Leverancer!$AU$25)+1)*Leverancer!BC$96/1000)</f>
        <v/>
      </c>
      <c r="AC66" s="128" t="str">
        <f ca="1">IF(AC$50="","",INDEX(Leverancer!BD:BD,ROW()-ROW(Leverancer!$AU$25)+1)*Leverancer!BD$96/1000)</f>
        <v/>
      </c>
      <c r="AD66" s="128" t="str">
        <f ca="1">IF(AD$50="","",INDEX(Leverancer!BE:BE,ROW()-ROW(Leverancer!$AU$25)+1)*Leverancer!BE$96/1000)</f>
        <v/>
      </c>
      <c r="AE66" s="128" t="str">
        <f ca="1">IF(AE$50="","",INDEX(Leverancer!BF:BF,ROW()-ROW(Leverancer!$AU$25)+1)*Leverancer!BF$96/1000)</f>
        <v/>
      </c>
      <c r="AF66" s="128" t="str">
        <f ca="1">IF(AF$50="","",INDEX(Leverancer!BG:BG,ROW()-ROW(Leverancer!$AU$25)+1)*Leverancer!BG$96/1000)</f>
        <v/>
      </c>
      <c r="AG66" s="128" t="str">
        <f ca="1">IF(AG$50="","",INDEX(Leverancer!BH:BH,ROW()-ROW(Leverancer!$AU$25)+1)*Leverancer!BH$96/1000)</f>
        <v/>
      </c>
      <c r="AH66" s="128" t="str">
        <f ca="1">IF(AH$50="","",INDEX(Leverancer!BI:BI,ROW()-ROW(Leverancer!$AU$25)+1)*Leverancer!BI$96/1000)</f>
        <v/>
      </c>
      <c r="AI66" s="128" t="str">
        <f ca="1">IF(AI$50="","",INDEX(Leverancer!BJ:BJ,ROW()-ROW(Leverancer!$AU$25)+1)*Leverancer!BJ$96/1000)</f>
        <v/>
      </c>
      <c r="AJ66" s="128" t="str">
        <f ca="1">IF(AJ$50="","",INDEX(Leverancer!BK:BK,ROW()-ROW(Leverancer!$AU$25)+1)*Leverancer!BK$96/1000)</f>
        <v/>
      </c>
      <c r="AK66" s="128" t="str">
        <f ca="1">IF(AK$50="","",INDEX(Leverancer!BL:BL,ROW()-ROW(Leverancer!$AU$25)+1)*Leverancer!BL$96/1000)</f>
        <v/>
      </c>
      <c r="AL66" s="128" t="str">
        <f ca="1">IF(AL$50="","",INDEX(Leverancer!BM:BM,ROW()-ROW(Leverancer!$AU$25)+1)*Leverancer!BM$96/1000)</f>
        <v/>
      </c>
      <c r="AM66" s="128" t="str">
        <f ca="1">IF(AM$50="","",INDEX(Leverancer!BN:BN,ROW()-ROW(Leverancer!$AU$25)+1)*Leverancer!BN$96/1000)</f>
        <v/>
      </c>
      <c r="AN66" s="128" t="str">
        <f ca="1">IF(AN$50="","",INDEX(Leverancer!BO:BO,ROW()-ROW(Leverancer!$AU$25)+1)*Leverancer!BO$96/1000)</f>
        <v/>
      </c>
      <c r="AO66" s="128" t="str">
        <f ca="1">IF(AO$50="","",INDEX(Leverancer!BP:BP,ROW()-ROW(Leverancer!$AU$25)+1)*Leverancer!BP$96/1000)</f>
        <v/>
      </c>
      <c r="AP66" s="128" t="str">
        <f ca="1">IF(AP$50="","",INDEX(Leverancer!BQ:BQ,ROW()-ROW(Leverancer!$AU$25)+1)*Leverancer!BQ$96/1000)</f>
        <v/>
      </c>
      <c r="AQ66" s="128" t="str">
        <f ca="1">IF(AQ$50="","",INDEX(Leverancer!BR:BR,ROW()-ROW(Leverancer!$AU$25)+1)*Leverancer!BR$96/1000)</f>
        <v/>
      </c>
      <c r="AR66" s="128" t="str">
        <f ca="1">IF(AR$50="","",INDEX(Leverancer!BS:BS,ROW()-ROW(Leverancer!$AU$25)+1)*Leverancer!BS$96/1000)</f>
        <v/>
      </c>
      <c r="AS66" s="128" t="str">
        <f ca="1">IF(AS$50="","",INDEX(Leverancer!BT:BT,ROW()-ROW(Leverancer!$AU$25)+1)*Leverancer!BT$96/1000)</f>
        <v/>
      </c>
      <c r="AT66" s="128" t="str">
        <f ca="1">IF(AT$50="","",INDEX(Leverancer!BU:BU,ROW()-ROW(Leverancer!$AU$25)+1)*Leverancer!BU$96/1000)</f>
        <v/>
      </c>
      <c r="AU66" s="128" t="str">
        <f ca="1">IF(AU$50="","",INDEX(Leverancer!BV:BV,ROW()-ROW(Leverancer!$AU$25)+1)*Leverancer!BV$96/1000)</f>
        <v/>
      </c>
      <c r="AV66" s="128" t="str">
        <f ca="1">IF(AV$50="","",INDEX(Leverancer!BW:BW,ROW()-ROW(Leverancer!$AU$25)+1)*Leverancer!BW$96/1000)</f>
        <v/>
      </c>
      <c r="AW66" s="128" t="str">
        <f ca="1">IF(AW$50="","",INDEX(Leverancer!BX:BX,ROW()-ROW(Leverancer!$AU$25)+1)*Leverancer!BX$96/1000)</f>
        <v/>
      </c>
      <c r="AX66" s="104"/>
      <c r="AY66" s="104"/>
      <c r="AZ66" s="101"/>
    </row>
    <row r="67" spans="14:52" ht="12.75" customHeight="1" x14ac:dyDescent="0.25">
      <c r="N67" s="99"/>
      <c r="O67" s="104"/>
      <c r="P67" s="104"/>
      <c r="Q67" s="130" t="str">
        <f>INDEX(Leverancer!$AO$1:$AO$1061,ROW()-ROW(Leverancer!$AU$25)+1)&amp;": "&amp;INDEX(Leverancer!$AP$1:$AP$1061,ROW()-ROW(Leverancer!$AU$25)+1)</f>
        <v xml:space="preserve">L15: </v>
      </c>
      <c r="R67" s="128"/>
      <c r="S67" s="133">
        <f t="shared" ca="1" si="11"/>
        <v>0</v>
      </c>
      <c r="T67" s="128">
        <f ca="1">IF(T$50="","",INDEX(Leverancer!AU:AU,ROW()-ROW(Leverancer!$AU$25)+1)*Leverancer!AU$96/1000)</f>
        <v>0</v>
      </c>
      <c r="U67" s="128">
        <f ca="1">IF(U$50="","",INDEX(Leverancer!AV:AV,ROW()-ROW(Leverancer!$AU$25)+1)*Leverancer!AV$96/1000)</f>
        <v>0</v>
      </c>
      <c r="V67" s="128">
        <f ca="1">IF(V$50="","",INDEX(Leverancer!AW:AW,ROW()-ROW(Leverancer!$AU$25)+1)*Leverancer!AW$96/1000)</f>
        <v>0</v>
      </c>
      <c r="W67" s="128">
        <f ca="1">IF(W$50="","",INDEX(Leverancer!AX:AX,ROW()-ROW(Leverancer!$AU$25)+1)*Leverancer!AX$96/1000)</f>
        <v>0</v>
      </c>
      <c r="X67" s="128" t="str">
        <f ca="1">IF(X$50="","",INDEX(Leverancer!AY:AY,ROW()-ROW(Leverancer!$AU$25)+1)*Leverancer!AY$96/1000)</f>
        <v/>
      </c>
      <c r="Y67" s="128" t="str">
        <f ca="1">IF(Y$50="","",INDEX(Leverancer!AZ:AZ,ROW()-ROW(Leverancer!$AU$25)+1)*Leverancer!AZ$96/1000)</f>
        <v/>
      </c>
      <c r="Z67" s="128" t="str">
        <f ca="1">IF(Z$50="","",INDEX(Leverancer!BA:BA,ROW()-ROW(Leverancer!$AU$25)+1)*Leverancer!BA$96/1000)</f>
        <v/>
      </c>
      <c r="AA67" s="128" t="str">
        <f ca="1">IF(AA$50="","",INDEX(Leverancer!BB:BB,ROW()-ROW(Leverancer!$AU$25)+1)*Leverancer!BB$96/1000)</f>
        <v/>
      </c>
      <c r="AB67" s="128" t="str">
        <f ca="1">IF(AB$50="","",INDEX(Leverancer!BC:BC,ROW()-ROW(Leverancer!$AU$25)+1)*Leverancer!BC$96/1000)</f>
        <v/>
      </c>
      <c r="AC67" s="128" t="str">
        <f ca="1">IF(AC$50="","",INDEX(Leverancer!BD:BD,ROW()-ROW(Leverancer!$AU$25)+1)*Leverancer!BD$96/1000)</f>
        <v/>
      </c>
      <c r="AD67" s="128" t="str">
        <f ca="1">IF(AD$50="","",INDEX(Leverancer!BE:BE,ROW()-ROW(Leverancer!$AU$25)+1)*Leverancer!BE$96/1000)</f>
        <v/>
      </c>
      <c r="AE67" s="128" t="str">
        <f ca="1">IF(AE$50="","",INDEX(Leverancer!BF:BF,ROW()-ROW(Leverancer!$AU$25)+1)*Leverancer!BF$96/1000)</f>
        <v/>
      </c>
      <c r="AF67" s="128" t="str">
        <f ca="1">IF(AF$50="","",INDEX(Leverancer!BG:BG,ROW()-ROW(Leverancer!$AU$25)+1)*Leverancer!BG$96/1000)</f>
        <v/>
      </c>
      <c r="AG67" s="128" t="str">
        <f ca="1">IF(AG$50="","",INDEX(Leverancer!BH:BH,ROW()-ROW(Leverancer!$AU$25)+1)*Leverancer!BH$96/1000)</f>
        <v/>
      </c>
      <c r="AH67" s="128" t="str">
        <f ca="1">IF(AH$50="","",INDEX(Leverancer!BI:BI,ROW()-ROW(Leverancer!$AU$25)+1)*Leverancer!BI$96/1000)</f>
        <v/>
      </c>
      <c r="AI67" s="128" t="str">
        <f ca="1">IF(AI$50="","",INDEX(Leverancer!BJ:BJ,ROW()-ROW(Leverancer!$AU$25)+1)*Leverancer!BJ$96/1000)</f>
        <v/>
      </c>
      <c r="AJ67" s="128" t="str">
        <f ca="1">IF(AJ$50="","",INDEX(Leverancer!BK:BK,ROW()-ROW(Leverancer!$AU$25)+1)*Leverancer!BK$96/1000)</f>
        <v/>
      </c>
      <c r="AK67" s="128" t="str">
        <f ca="1">IF(AK$50="","",INDEX(Leverancer!BL:BL,ROW()-ROW(Leverancer!$AU$25)+1)*Leverancer!BL$96/1000)</f>
        <v/>
      </c>
      <c r="AL67" s="128" t="str">
        <f ca="1">IF(AL$50="","",INDEX(Leverancer!BM:BM,ROW()-ROW(Leverancer!$AU$25)+1)*Leverancer!BM$96/1000)</f>
        <v/>
      </c>
      <c r="AM67" s="128" t="str">
        <f ca="1">IF(AM$50="","",INDEX(Leverancer!BN:BN,ROW()-ROW(Leverancer!$AU$25)+1)*Leverancer!BN$96/1000)</f>
        <v/>
      </c>
      <c r="AN67" s="128" t="str">
        <f ca="1">IF(AN$50="","",INDEX(Leverancer!BO:BO,ROW()-ROW(Leverancer!$AU$25)+1)*Leverancer!BO$96/1000)</f>
        <v/>
      </c>
      <c r="AO67" s="128" t="str">
        <f ca="1">IF(AO$50="","",INDEX(Leverancer!BP:BP,ROW()-ROW(Leverancer!$AU$25)+1)*Leverancer!BP$96/1000)</f>
        <v/>
      </c>
      <c r="AP67" s="128" t="str">
        <f ca="1">IF(AP$50="","",INDEX(Leverancer!BQ:BQ,ROW()-ROW(Leverancer!$AU$25)+1)*Leverancer!BQ$96/1000)</f>
        <v/>
      </c>
      <c r="AQ67" s="128" t="str">
        <f ca="1">IF(AQ$50="","",INDEX(Leverancer!BR:BR,ROW()-ROW(Leverancer!$AU$25)+1)*Leverancer!BR$96/1000)</f>
        <v/>
      </c>
      <c r="AR67" s="128" t="str">
        <f ca="1">IF(AR$50="","",INDEX(Leverancer!BS:BS,ROW()-ROW(Leverancer!$AU$25)+1)*Leverancer!BS$96/1000)</f>
        <v/>
      </c>
      <c r="AS67" s="128" t="str">
        <f ca="1">IF(AS$50="","",INDEX(Leverancer!BT:BT,ROW()-ROW(Leverancer!$AU$25)+1)*Leverancer!BT$96/1000)</f>
        <v/>
      </c>
      <c r="AT67" s="128" t="str">
        <f ca="1">IF(AT$50="","",INDEX(Leverancer!BU:BU,ROW()-ROW(Leverancer!$AU$25)+1)*Leverancer!BU$96/1000)</f>
        <v/>
      </c>
      <c r="AU67" s="128" t="str">
        <f ca="1">IF(AU$50="","",INDEX(Leverancer!BV:BV,ROW()-ROW(Leverancer!$AU$25)+1)*Leverancer!BV$96/1000)</f>
        <v/>
      </c>
      <c r="AV67" s="128" t="str">
        <f ca="1">IF(AV$50="","",INDEX(Leverancer!BW:BW,ROW()-ROW(Leverancer!$AU$25)+1)*Leverancer!BW$96/1000)</f>
        <v/>
      </c>
      <c r="AW67" s="128" t="str">
        <f ca="1">IF(AW$50="","",INDEX(Leverancer!BX:BX,ROW()-ROW(Leverancer!$AU$25)+1)*Leverancer!BX$96/1000)</f>
        <v/>
      </c>
      <c r="AX67" s="104"/>
      <c r="AY67" s="104"/>
      <c r="AZ67" s="101"/>
    </row>
    <row r="68" spans="14:52" ht="12.75" customHeight="1" x14ac:dyDescent="0.25">
      <c r="N68" s="99"/>
      <c r="O68" s="104"/>
      <c r="P68" s="104"/>
      <c r="Q68" s="130" t="str">
        <f>INDEX(Leverancer!$AO$1:$AO$1061,ROW()-ROW(Leverancer!$AU$25)+1)&amp;": "&amp;INDEX(Leverancer!$AP$1:$AP$1061,ROW()-ROW(Leverancer!$AU$25)+1)</f>
        <v xml:space="preserve">L16: </v>
      </c>
      <c r="R68" s="128"/>
      <c r="S68" s="133">
        <f t="shared" ca="1" si="11"/>
        <v>0</v>
      </c>
      <c r="T68" s="128">
        <f ca="1">IF(T$50="","",INDEX(Leverancer!AU:AU,ROW()-ROW(Leverancer!$AU$25)+1)*Leverancer!AU$96/1000)</f>
        <v>0</v>
      </c>
      <c r="U68" s="128">
        <f ca="1">IF(U$50="","",INDEX(Leverancer!AV:AV,ROW()-ROW(Leverancer!$AU$25)+1)*Leverancer!AV$96/1000)</f>
        <v>0</v>
      </c>
      <c r="V68" s="128">
        <f ca="1">IF(V$50="","",INDEX(Leverancer!AW:AW,ROW()-ROW(Leverancer!$AU$25)+1)*Leverancer!AW$96/1000)</f>
        <v>0</v>
      </c>
      <c r="W68" s="128">
        <f ca="1">IF(W$50="","",INDEX(Leverancer!AX:AX,ROW()-ROW(Leverancer!$AU$25)+1)*Leverancer!AX$96/1000)</f>
        <v>0</v>
      </c>
      <c r="X68" s="128" t="str">
        <f ca="1">IF(X$50="","",INDEX(Leverancer!AY:AY,ROW()-ROW(Leverancer!$AU$25)+1)*Leverancer!AY$96/1000)</f>
        <v/>
      </c>
      <c r="Y68" s="128" t="str">
        <f ca="1">IF(Y$50="","",INDEX(Leverancer!AZ:AZ,ROW()-ROW(Leverancer!$AU$25)+1)*Leverancer!AZ$96/1000)</f>
        <v/>
      </c>
      <c r="Z68" s="128" t="str">
        <f ca="1">IF(Z$50="","",INDEX(Leverancer!BA:BA,ROW()-ROW(Leverancer!$AU$25)+1)*Leverancer!BA$96/1000)</f>
        <v/>
      </c>
      <c r="AA68" s="128" t="str">
        <f ca="1">IF(AA$50="","",INDEX(Leverancer!BB:BB,ROW()-ROW(Leverancer!$AU$25)+1)*Leverancer!BB$96/1000)</f>
        <v/>
      </c>
      <c r="AB68" s="128" t="str">
        <f ca="1">IF(AB$50="","",INDEX(Leverancer!BC:BC,ROW()-ROW(Leverancer!$AU$25)+1)*Leverancer!BC$96/1000)</f>
        <v/>
      </c>
      <c r="AC68" s="128" t="str">
        <f ca="1">IF(AC$50="","",INDEX(Leverancer!BD:BD,ROW()-ROW(Leverancer!$AU$25)+1)*Leverancer!BD$96/1000)</f>
        <v/>
      </c>
      <c r="AD68" s="128" t="str">
        <f ca="1">IF(AD$50="","",INDEX(Leverancer!BE:BE,ROW()-ROW(Leverancer!$AU$25)+1)*Leverancer!BE$96/1000)</f>
        <v/>
      </c>
      <c r="AE68" s="128" t="str">
        <f ca="1">IF(AE$50="","",INDEX(Leverancer!BF:BF,ROW()-ROW(Leverancer!$AU$25)+1)*Leverancer!BF$96/1000)</f>
        <v/>
      </c>
      <c r="AF68" s="128" t="str">
        <f ca="1">IF(AF$50="","",INDEX(Leverancer!BG:BG,ROW()-ROW(Leverancer!$AU$25)+1)*Leverancer!BG$96/1000)</f>
        <v/>
      </c>
      <c r="AG68" s="128" t="str">
        <f ca="1">IF(AG$50="","",INDEX(Leverancer!BH:BH,ROW()-ROW(Leverancer!$AU$25)+1)*Leverancer!BH$96/1000)</f>
        <v/>
      </c>
      <c r="AH68" s="128" t="str">
        <f ca="1">IF(AH$50="","",INDEX(Leverancer!BI:BI,ROW()-ROW(Leverancer!$AU$25)+1)*Leverancer!BI$96/1000)</f>
        <v/>
      </c>
      <c r="AI68" s="128" t="str">
        <f ca="1">IF(AI$50="","",INDEX(Leverancer!BJ:BJ,ROW()-ROW(Leverancer!$AU$25)+1)*Leverancer!BJ$96/1000)</f>
        <v/>
      </c>
      <c r="AJ68" s="128" t="str">
        <f ca="1">IF(AJ$50="","",INDEX(Leverancer!BK:BK,ROW()-ROW(Leverancer!$AU$25)+1)*Leverancer!BK$96/1000)</f>
        <v/>
      </c>
      <c r="AK68" s="128" t="str">
        <f ca="1">IF(AK$50="","",INDEX(Leverancer!BL:BL,ROW()-ROW(Leverancer!$AU$25)+1)*Leverancer!BL$96/1000)</f>
        <v/>
      </c>
      <c r="AL68" s="128" t="str">
        <f ca="1">IF(AL$50="","",INDEX(Leverancer!BM:BM,ROW()-ROW(Leverancer!$AU$25)+1)*Leverancer!BM$96/1000)</f>
        <v/>
      </c>
      <c r="AM68" s="128" t="str">
        <f ca="1">IF(AM$50="","",INDEX(Leverancer!BN:BN,ROW()-ROW(Leverancer!$AU$25)+1)*Leverancer!BN$96/1000)</f>
        <v/>
      </c>
      <c r="AN68" s="128" t="str">
        <f ca="1">IF(AN$50="","",INDEX(Leverancer!BO:BO,ROW()-ROW(Leverancer!$AU$25)+1)*Leverancer!BO$96/1000)</f>
        <v/>
      </c>
      <c r="AO68" s="128" t="str">
        <f ca="1">IF(AO$50="","",INDEX(Leverancer!BP:BP,ROW()-ROW(Leverancer!$AU$25)+1)*Leverancer!BP$96/1000)</f>
        <v/>
      </c>
      <c r="AP68" s="128" t="str">
        <f ca="1">IF(AP$50="","",INDEX(Leverancer!BQ:BQ,ROW()-ROW(Leverancer!$AU$25)+1)*Leverancer!BQ$96/1000)</f>
        <v/>
      </c>
      <c r="AQ68" s="128" t="str">
        <f ca="1">IF(AQ$50="","",INDEX(Leverancer!BR:BR,ROW()-ROW(Leverancer!$AU$25)+1)*Leverancer!BR$96/1000)</f>
        <v/>
      </c>
      <c r="AR68" s="128" t="str">
        <f ca="1">IF(AR$50="","",INDEX(Leverancer!BS:BS,ROW()-ROW(Leverancer!$AU$25)+1)*Leverancer!BS$96/1000)</f>
        <v/>
      </c>
      <c r="AS68" s="128" t="str">
        <f ca="1">IF(AS$50="","",INDEX(Leverancer!BT:BT,ROW()-ROW(Leverancer!$AU$25)+1)*Leverancer!BT$96/1000)</f>
        <v/>
      </c>
      <c r="AT68" s="128" t="str">
        <f ca="1">IF(AT$50="","",INDEX(Leverancer!BU:BU,ROW()-ROW(Leverancer!$AU$25)+1)*Leverancer!BU$96/1000)</f>
        <v/>
      </c>
      <c r="AU68" s="128" t="str">
        <f ca="1">IF(AU$50="","",INDEX(Leverancer!BV:BV,ROW()-ROW(Leverancer!$AU$25)+1)*Leverancer!BV$96/1000)</f>
        <v/>
      </c>
      <c r="AV68" s="128" t="str">
        <f ca="1">IF(AV$50="","",INDEX(Leverancer!BW:BW,ROW()-ROW(Leverancer!$AU$25)+1)*Leverancer!BW$96/1000)</f>
        <v/>
      </c>
      <c r="AW68" s="128" t="str">
        <f ca="1">IF(AW$50="","",INDEX(Leverancer!BX:BX,ROW()-ROW(Leverancer!$AU$25)+1)*Leverancer!BX$96/1000)</f>
        <v/>
      </c>
      <c r="AX68" s="104"/>
      <c r="AY68" s="104"/>
      <c r="AZ68" s="101"/>
    </row>
    <row r="69" spans="14:52" ht="12.75" customHeight="1" x14ac:dyDescent="0.25">
      <c r="N69" s="99"/>
      <c r="O69" s="104"/>
      <c r="P69" s="104"/>
      <c r="Q69" s="130" t="str">
        <f>INDEX(Leverancer!$AO$1:$AO$1061,ROW()-ROW(Leverancer!$AU$25)+1)&amp;": "&amp;INDEX(Leverancer!$AP$1:$AP$1061,ROW()-ROW(Leverancer!$AU$25)+1)</f>
        <v xml:space="preserve">L17: </v>
      </c>
      <c r="R69" s="128"/>
      <c r="S69" s="133">
        <f t="shared" ca="1" si="11"/>
        <v>0</v>
      </c>
      <c r="T69" s="128">
        <f ca="1">IF(T$50="","",INDEX(Leverancer!AU:AU,ROW()-ROW(Leverancer!$AU$25)+1)*Leverancer!AU$96/1000)</f>
        <v>0</v>
      </c>
      <c r="U69" s="128">
        <f ca="1">IF(U$50="","",INDEX(Leverancer!AV:AV,ROW()-ROW(Leverancer!$AU$25)+1)*Leverancer!AV$96/1000)</f>
        <v>0</v>
      </c>
      <c r="V69" s="128">
        <f ca="1">IF(V$50="","",INDEX(Leverancer!AW:AW,ROW()-ROW(Leverancer!$AU$25)+1)*Leverancer!AW$96/1000)</f>
        <v>0</v>
      </c>
      <c r="W69" s="128">
        <f ca="1">IF(W$50="","",INDEX(Leverancer!AX:AX,ROW()-ROW(Leverancer!$AU$25)+1)*Leverancer!AX$96/1000)</f>
        <v>0</v>
      </c>
      <c r="X69" s="128" t="str">
        <f ca="1">IF(X$50="","",INDEX(Leverancer!AY:AY,ROW()-ROW(Leverancer!$AU$25)+1)*Leverancer!AY$96/1000)</f>
        <v/>
      </c>
      <c r="Y69" s="128" t="str">
        <f ca="1">IF(Y$50="","",INDEX(Leverancer!AZ:AZ,ROW()-ROW(Leverancer!$AU$25)+1)*Leverancer!AZ$96/1000)</f>
        <v/>
      </c>
      <c r="Z69" s="128" t="str">
        <f ca="1">IF(Z$50="","",INDEX(Leverancer!BA:BA,ROW()-ROW(Leverancer!$AU$25)+1)*Leverancer!BA$96/1000)</f>
        <v/>
      </c>
      <c r="AA69" s="128" t="str">
        <f ca="1">IF(AA$50="","",INDEX(Leverancer!BB:BB,ROW()-ROW(Leverancer!$AU$25)+1)*Leverancer!BB$96/1000)</f>
        <v/>
      </c>
      <c r="AB69" s="128" t="str">
        <f ca="1">IF(AB$50="","",INDEX(Leverancer!BC:BC,ROW()-ROW(Leverancer!$AU$25)+1)*Leverancer!BC$96/1000)</f>
        <v/>
      </c>
      <c r="AC69" s="128" t="str">
        <f ca="1">IF(AC$50="","",INDEX(Leverancer!BD:BD,ROW()-ROW(Leverancer!$AU$25)+1)*Leverancer!BD$96/1000)</f>
        <v/>
      </c>
      <c r="AD69" s="128" t="str">
        <f ca="1">IF(AD$50="","",INDEX(Leverancer!BE:BE,ROW()-ROW(Leverancer!$AU$25)+1)*Leverancer!BE$96/1000)</f>
        <v/>
      </c>
      <c r="AE69" s="128" t="str">
        <f ca="1">IF(AE$50="","",INDEX(Leverancer!BF:BF,ROW()-ROW(Leverancer!$AU$25)+1)*Leverancer!BF$96/1000)</f>
        <v/>
      </c>
      <c r="AF69" s="128" t="str">
        <f ca="1">IF(AF$50="","",INDEX(Leverancer!BG:BG,ROW()-ROW(Leverancer!$AU$25)+1)*Leverancer!BG$96/1000)</f>
        <v/>
      </c>
      <c r="AG69" s="128" t="str">
        <f ca="1">IF(AG$50="","",INDEX(Leverancer!BH:BH,ROW()-ROW(Leverancer!$AU$25)+1)*Leverancer!BH$96/1000)</f>
        <v/>
      </c>
      <c r="AH69" s="128" t="str">
        <f ca="1">IF(AH$50="","",INDEX(Leverancer!BI:BI,ROW()-ROW(Leverancer!$AU$25)+1)*Leverancer!BI$96/1000)</f>
        <v/>
      </c>
      <c r="AI69" s="128" t="str">
        <f ca="1">IF(AI$50="","",INDEX(Leverancer!BJ:BJ,ROW()-ROW(Leverancer!$AU$25)+1)*Leverancer!BJ$96/1000)</f>
        <v/>
      </c>
      <c r="AJ69" s="128" t="str">
        <f ca="1">IF(AJ$50="","",INDEX(Leverancer!BK:BK,ROW()-ROW(Leverancer!$AU$25)+1)*Leverancer!BK$96/1000)</f>
        <v/>
      </c>
      <c r="AK69" s="128" t="str">
        <f ca="1">IF(AK$50="","",INDEX(Leverancer!BL:BL,ROW()-ROW(Leverancer!$AU$25)+1)*Leverancer!BL$96/1000)</f>
        <v/>
      </c>
      <c r="AL69" s="128" t="str">
        <f ca="1">IF(AL$50="","",INDEX(Leverancer!BM:BM,ROW()-ROW(Leverancer!$AU$25)+1)*Leverancer!BM$96/1000)</f>
        <v/>
      </c>
      <c r="AM69" s="128" t="str">
        <f ca="1">IF(AM$50="","",INDEX(Leverancer!BN:BN,ROW()-ROW(Leverancer!$AU$25)+1)*Leverancer!BN$96/1000)</f>
        <v/>
      </c>
      <c r="AN69" s="128" t="str">
        <f ca="1">IF(AN$50="","",INDEX(Leverancer!BO:BO,ROW()-ROW(Leverancer!$AU$25)+1)*Leverancer!BO$96/1000)</f>
        <v/>
      </c>
      <c r="AO69" s="128" t="str">
        <f ca="1">IF(AO$50="","",INDEX(Leverancer!BP:BP,ROW()-ROW(Leverancer!$AU$25)+1)*Leverancer!BP$96/1000)</f>
        <v/>
      </c>
      <c r="AP69" s="128" t="str">
        <f ca="1">IF(AP$50="","",INDEX(Leverancer!BQ:BQ,ROW()-ROW(Leverancer!$AU$25)+1)*Leverancer!BQ$96/1000)</f>
        <v/>
      </c>
      <c r="AQ69" s="128" t="str">
        <f ca="1">IF(AQ$50="","",INDEX(Leverancer!BR:BR,ROW()-ROW(Leverancer!$AU$25)+1)*Leverancer!BR$96/1000)</f>
        <v/>
      </c>
      <c r="AR69" s="128" t="str">
        <f ca="1">IF(AR$50="","",INDEX(Leverancer!BS:BS,ROW()-ROW(Leverancer!$AU$25)+1)*Leverancer!BS$96/1000)</f>
        <v/>
      </c>
      <c r="AS69" s="128" t="str">
        <f ca="1">IF(AS$50="","",INDEX(Leverancer!BT:BT,ROW()-ROW(Leverancer!$AU$25)+1)*Leverancer!BT$96/1000)</f>
        <v/>
      </c>
      <c r="AT69" s="128" t="str">
        <f ca="1">IF(AT$50="","",INDEX(Leverancer!BU:BU,ROW()-ROW(Leverancer!$AU$25)+1)*Leverancer!BU$96/1000)</f>
        <v/>
      </c>
      <c r="AU69" s="128" t="str">
        <f ca="1">IF(AU$50="","",INDEX(Leverancer!BV:BV,ROW()-ROW(Leverancer!$AU$25)+1)*Leverancer!BV$96/1000)</f>
        <v/>
      </c>
      <c r="AV69" s="128" t="str">
        <f ca="1">IF(AV$50="","",INDEX(Leverancer!BW:BW,ROW()-ROW(Leverancer!$AU$25)+1)*Leverancer!BW$96/1000)</f>
        <v/>
      </c>
      <c r="AW69" s="128" t="str">
        <f ca="1">IF(AW$50="","",INDEX(Leverancer!BX:BX,ROW()-ROW(Leverancer!$AU$25)+1)*Leverancer!BX$96/1000)</f>
        <v/>
      </c>
      <c r="AX69" s="104"/>
      <c r="AY69" s="104"/>
      <c r="AZ69" s="101"/>
    </row>
    <row r="70" spans="14:52" ht="12.75" customHeight="1" x14ac:dyDescent="0.25">
      <c r="N70" s="99"/>
      <c r="O70" s="104"/>
      <c r="P70" s="104"/>
      <c r="Q70" s="130" t="str">
        <f>INDEX(Leverancer!$AO$1:$AO$1061,ROW()-ROW(Leverancer!$AU$25)+1)&amp;": "&amp;INDEX(Leverancer!$AP$1:$AP$1061,ROW()-ROW(Leverancer!$AU$25)+1)</f>
        <v xml:space="preserve">L18: </v>
      </c>
      <c r="R70" s="128"/>
      <c r="S70" s="133">
        <f t="shared" ca="1" si="11"/>
        <v>0</v>
      </c>
      <c r="T70" s="128">
        <f ca="1">IF(T$50="","",INDEX(Leverancer!AU:AU,ROW()-ROW(Leverancer!$AU$25)+1)*Leverancer!AU$96/1000)</f>
        <v>0</v>
      </c>
      <c r="U70" s="128">
        <f ca="1">IF(U$50="","",INDEX(Leverancer!AV:AV,ROW()-ROW(Leverancer!$AU$25)+1)*Leverancer!AV$96/1000)</f>
        <v>0</v>
      </c>
      <c r="V70" s="128">
        <f ca="1">IF(V$50="","",INDEX(Leverancer!AW:AW,ROW()-ROW(Leverancer!$AU$25)+1)*Leverancer!AW$96/1000)</f>
        <v>0</v>
      </c>
      <c r="W70" s="128">
        <f ca="1">IF(W$50="","",INDEX(Leverancer!AX:AX,ROW()-ROW(Leverancer!$AU$25)+1)*Leverancer!AX$96/1000)</f>
        <v>0</v>
      </c>
      <c r="X70" s="128" t="str">
        <f ca="1">IF(X$50="","",INDEX(Leverancer!AY:AY,ROW()-ROW(Leverancer!$AU$25)+1)*Leverancer!AY$96/1000)</f>
        <v/>
      </c>
      <c r="Y70" s="128" t="str">
        <f ca="1">IF(Y$50="","",INDEX(Leverancer!AZ:AZ,ROW()-ROW(Leverancer!$AU$25)+1)*Leverancer!AZ$96/1000)</f>
        <v/>
      </c>
      <c r="Z70" s="128" t="str">
        <f ca="1">IF(Z$50="","",INDEX(Leverancer!BA:BA,ROW()-ROW(Leverancer!$AU$25)+1)*Leverancer!BA$96/1000)</f>
        <v/>
      </c>
      <c r="AA70" s="128" t="str">
        <f ca="1">IF(AA$50="","",INDEX(Leverancer!BB:BB,ROW()-ROW(Leverancer!$AU$25)+1)*Leverancer!BB$96/1000)</f>
        <v/>
      </c>
      <c r="AB70" s="128" t="str">
        <f ca="1">IF(AB$50="","",INDEX(Leverancer!BC:BC,ROW()-ROW(Leverancer!$AU$25)+1)*Leverancer!BC$96/1000)</f>
        <v/>
      </c>
      <c r="AC70" s="128" t="str">
        <f ca="1">IF(AC$50="","",INDEX(Leverancer!BD:BD,ROW()-ROW(Leverancer!$AU$25)+1)*Leverancer!BD$96/1000)</f>
        <v/>
      </c>
      <c r="AD70" s="128" t="str">
        <f ca="1">IF(AD$50="","",INDEX(Leverancer!BE:BE,ROW()-ROW(Leverancer!$AU$25)+1)*Leverancer!BE$96/1000)</f>
        <v/>
      </c>
      <c r="AE70" s="128" t="str">
        <f ca="1">IF(AE$50="","",INDEX(Leverancer!BF:BF,ROW()-ROW(Leverancer!$AU$25)+1)*Leverancer!BF$96/1000)</f>
        <v/>
      </c>
      <c r="AF70" s="128" t="str">
        <f ca="1">IF(AF$50="","",INDEX(Leverancer!BG:BG,ROW()-ROW(Leverancer!$AU$25)+1)*Leverancer!BG$96/1000)</f>
        <v/>
      </c>
      <c r="AG70" s="128" t="str">
        <f ca="1">IF(AG$50="","",INDEX(Leverancer!BH:BH,ROW()-ROW(Leverancer!$AU$25)+1)*Leverancer!BH$96/1000)</f>
        <v/>
      </c>
      <c r="AH70" s="128" t="str">
        <f ca="1">IF(AH$50="","",INDEX(Leverancer!BI:BI,ROW()-ROW(Leverancer!$AU$25)+1)*Leverancer!BI$96/1000)</f>
        <v/>
      </c>
      <c r="AI70" s="128" t="str">
        <f ca="1">IF(AI$50="","",INDEX(Leverancer!BJ:BJ,ROW()-ROW(Leverancer!$AU$25)+1)*Leverancer!BJ$96/1000)</f>
        <v/>
      </c>
      <c r="AJ70" s="128" t="str">
        <f ca="1">IF(AJ$50="","",INDEX(Leverancer!BK:BK,ROW()-ROW(Leverancer!$AU$25)+1)*Leverancer!BK$96/1000)</f>
        <v/>
      </c>
      <c r="AK70" s="128" t="str">
        <f ca="1">IF(AK$50="","",INDEX(Leverancer!BL:BL,ROW()-ROW(Leverancer!$AU$25)+1)*Leverancer!BL$96/1000)</f>
        <v/>
      </c>
      <c r="AL70" s="128" t="str">
        <f ca="1">IF(AL$50="","",INDEX(Leverancer!BM:BM,ROW()-ROW(Leverancer!$AU$25)+1)*Leverancer!BM$96/1000)</f>
        <v/>
      </c>
      <c r="AM70" s="128" t="str">
        <f ca="1">IF(AM$50="","",INDEX(Leverancer!BN:BN,ROW()-ROW(Leverancer!$AU$25)+1)*Leverancer!BN$96/1000)</f>
        <v/>
      </c>
      <c r="AN70" s="128" t="str">
        <f ca="1">IF(AN$50="","",INDEX(Leverancer!BO:BO,ROW()-ROW(Leverancer!$AU$25)+1)*Leverancer!BO$96/1000)</f>
        <v/>
      </c>
      <c r="AO70" s="128" t="str">
        <f ca="1">IF(AO$50="","",INDEX(Leverancer!BP:BP,ROW()-ROW(Leverancer!$AU$25)+1)*Leverancer!BP$96/1000)</f>
        <v/>
      </c>
      <c r="AP70" s="128" t="str">
        <f ca="1">IF(AP$50="","",INDEX(Leverancer!BQ:BQ,ROW()-ROW(Leverancer!$AU$25)+1)*Leverancer!BQ$96/1000)</f>
        <v/>
      </c>
      <c r="AQ70" s="128" t="str">
        <f ca="1">IF(AQ$50="","",INDEX(Leverancer!BR:BR,ROW()-ROW(Leverancer!$AU$25)+1)*Leverancer!BR$96/1000)</f>
        <v/>
      </c>
      <c r="AR70" s="128" t="str">
        <f ca="1">IF(AR$50="","",INDEX(Leverancer!BS:BS,ROW()-ROW(Leverancer!$AU$25)+1)*Leverancer!BS$96/1000)</f>
        <v/>
      </c>
      <c r="AS70" s="128" t="str">
        <f ca="1">IF(AS$50="","",INDEX(Leverancer!BT:BT,ROW()-ROW(Leverancer!$AU$25)+1)*Leverancer!BT$96/1000)</f>
        <v/>
      </c>
      <c r="AT70" s="128" t="str">
        <f ca="1">IF(AT$50="","",INDEX(Leverancer!BU:BU,ROW()-ROW(Leverancer!$AU$25)+1)*Leverancer!BU$96/1000)</f>
        <v/>
      </c>
      <c r="AU70" s="128" t="str">
        <f ca="1">IF(AU$50="","",INDEX(Leverancer!BV:BV,ROW()-ROW(Leverancer!$AU$25)+1)*Leverancer!BV$96/1000)</f>
        <v/>
      </c>
      <c r="AV70" s="128" t="str">
        <f ca="1">IF(AV$50="","",INDEX(Leverancer!BW:BW,ROW()-ROW(Leverancer!$AU$25)+1)*Leverancer!BW$96/1000)</f>
        <v/>
      </c>
      <c r="AW70" s="128" t="str">
        <f ca="1">IF(AW$50="","",INDEX(Leverancer!BX:BX,ROW()-ROW(Leverancer!$AU$25)+1)*Leverancer!BX$96/1000)</f>
        <v/>
      </c>
      <c r="AX70" s="104"/>
      <c r="AY70" s="104"/>
      <c r="AZ70" s="101"/>
    </row>
    <row r="71" spans="14:52" ht="12.75" customHeight="1" x14ac:dyDescent="0.25">
      <c r="N71" s="99"/>
      <c r="O71" s="104"/>
      <c r="P71" s="104"/>
      <c r="Q71" s="130" t="str">
        <f>INDEX(Leverancer!$AO$1:$AO$1061,ROW()-ROW(Leverancer!$AU$25)+1)&amp;": "&amp;INDEX(Leverancer!$AP$1:$AP$1061,ROW()-ROW(Leverancer!$AU$25)+1)</f>
        <v xml:space="preserve">L19: </v>
      </c>
      <c r="R71" s="128"/>
      <c r="S71" s="133">
        <f t="shared" ca="1" si="11"/>
        <v>0</v>
      </c>
      <c r="T71" s="128">
        <f ca="1">IF(T$50="","",INDEX(Leverancer!AU:AU,ROW()-ROW(Leverancer!$AU$25)+1)*Leverancer!AU$96/1000)</f>
        <v>0</v>
      </c>
      <c r="U71" s="128">
        <f ca="1">IF(U$50="","",INDEX(Leverancer!AV:AV,ROW()-ROW(Leverancer!$AU$25)+1)*Leverancer!AV$96/1000)</f>
        <v>0</v>
      </c>
      <c r="V71" s="128">
        <f ca="1">IF(V$50="","",INDEX(Leverancer!AW:AW,ROW()-ROW(Leverancer!$AU$25)+1)*Leverancer!AW$96/1000)</f>
        <v>0</v>
      </c>
      <c r="W71" s="128">
        <f ca="1">IF(W$50="","",INDEX(Leverancer!AX:AX,ROW()-ROW(Leverancer!$AU$25)+1)*Leverancer!AX$96/1000)</f>
        <v>0</v>
      </c>
      <c r="X71" s="128" t="str">
        <f ca="1">IF(X$50="","",INDEX(Leverancer!AY:AY,ROW()-ROW(Leverancer!$AU$25)+1)*Leverancer!AY$96/1000)</f>
        <v/>
      </c>
      <c r="Y71" s="128" t="str">
        <f ca="1">IF(Y$50="","",INDEX(Leverancer!AZ:AZ,ROW()-ROW(Leverancer!$AU$25)+1)*Leverancer!AZ$96/1000)</f>
        <v/>
      </c>
      <c r="Z71" s="128" t="str">
        <f ca="1">IF(Z$50="","",INDEX(Leverancer!BA:BA,ROW()-ROW(Leverancer!$AU$25)+1)*Leverancer!BA$96/1000)</f>
        <v/>
      </c>
      <c r="AA71" s="128" t="str">
        <f ca="1">IF(AA$50="","",INDEX(Leverancer!BB:BB,ROW()-ROW(Leverancer!$AU$25)+1)*Leverancer!BB$96/1000)</f>
        <v/>
      </c>
      <c r="AB71" s="128" t="str">
        <f ca="1">IF(AB$50="","",INDEX(Leverancer!BC:BC,ROW()-ROW(Leverancer!$AU$25)+1)*Leverancer!BC$96/1000)</f>
        <v/>
      </c>
      <c r="AC71" s="128" t="str">
        <f ca="1">IF(AC$50="","",INDEX(Leverancer!BD:BD,ROW()-ROW(Leverancer!$AU$25)+1)*Leverancer!BD$96/1000)</f>
        <v/>
      </c>
      <c r="AD71" s="128" t="str">
        <f ca="1">IF(AD$50="","",INDEX(Leverancer!BE:BE,ROW()-ROW(Leverancer!$AU$25)+1)*Leverancer!BE$96/1000)</f>
        <v/>
      </c>
      <c r="AE71" s="128" t="str">
        <f ca="1">IF(AE$50="","",INDEX(Leverancer!BF:BF,ROW()-ROW(Leverancer!$AU$25)+1)*Leverancer!BF$96/1000)</f>
        <v/>
      </c>
      <c r="AF71" s="128" t="str">
        <f ca="1">IF(AF$50="","",INDEX(Leverancer!BG:BG,ROW()-ROW(Leverancer!$AU$25)+1)*Leverancer!BG$96/1000)</f>
        <v/>
      </c>
      <c r="AG71" s="128" t="str">
        <f ca="1">IF(AG$50="","",INDEX(Leverancer!BH:BH,ROW()-ROW(Leverancer!$AU$25)+1)*Leverancer!BH$96/1000)</f>
        <v/>
      </c>
      <c r="AH71" s="128" t="str">
        <f ca="1">IF(AH$50="","",INDEX(Leverancer!BI:BI,ROW()-ROW(Leverancer!$AU$25)+1)*Leverancer!BI$96/1000)</f>
        <v/>
      </c>
      <c r="AI71" s="128" t="str">
        <f ca="1">IF(AI$50="","",INDEX(Leverancer!BJ:BJ,ROW()-ROW(Leverancer!$AU$25)+1)*Leverancer!BJ$96/1000)</f>
        <v/>
      </c>
      <c r="AJ71" s="128" t="str">
        <f ca="1">IF(AJ$50="","",INDEX(Leverancer!BK:BK,ROW()-ROW(Leverancer!$AU$25)+1)*Leverancer!BK$96/1000)</f>
        <v/>
      </c>
      <c r="AK71" s="128" t="str">
        <f ca="1">IF(AK$50="","",INDEX(Leverancer!BL:BL,ROW()-ROW(Leverancer!$AU$25)+1)*Leverancer!BL$96/1000)</f>
        <v/>
      </c>
      <c r="AL71" s="128" t="str">
        <f ca="1">IF(AL$50="","",INDEX(Leverancer!BM:BM,ROW()-ROW(Leverancer!$AU$25)+1)*Leverancer!BM$96/1000)</f>
        <v/>
      </c>
      <c r="AM71" s="128" t="str">
        <f ca="1">IF(AM$50="","",INDEX(Leverancer!BN:BN,ROW()-ROW(Leverancer!$AU$25)+1)*Leverancer!BN$96/1000)</f>
        <v/>
      </c>
      <c r="AN71" s="128" t="str">
        <f ca="1">IF(AN$50="","",INDEX(Leverancer!BO:BO,ROW()-ROW(Leverancer!$AU$25)+1)*Leverancer!BO$96/1000)</f>
        <v/>
      </c>
      <c r="AO71" s="128" t="str">
        <f ca="1">IF(AO$50="","",INDEX(Leverancer!BP:BP,ROW()-ROW(Leverancer!$AU$25)+1)*Leverancer!BP$96/1000)</f>
        <v/>
      </c>
      <c r="AP71" s="128" t="str">
        <f ca="1">IF(AP$50="","",INDEX(Leverancer!BQ:BQ,ROW()-ROW(Leverancer!$AU$25)+1)*Leverancer!BQ$96/1000)</f>
        <v/>
      </c>
      <c r="AQ71" s="128" t="str">
        <f ca="1">IF(AQ$50="","",INDEX(Leverancer!BR:BR,ROW()-ROW(Leverancer!$AU$25)+1)*Leverancer!BR$96/1000)</f>
        <v/>
      </c>
      <c r="AR71" s="128" t="str">
        <f ca="1">IF(AR$50="","",INDEX(Leverancer!BS:BS,ROW()-ROW(Leverancer!$AU$25)+1)*Leverancer!BS$96/1000)</f>
        <v/>
      </c>
      <c r="AS71" s="128" t="str">
        <f ca="1">IF(AS$50="","",INDEX(Leverancer!BT:BT,ROW()-ROW(Leverancer!$AU$25)+1)*Leverancer!BT$96/1000)</f>
        <v/>
      </c>
      <c r="AT71" s="128" t="str">
        <f ca="1">IF(AT$50="","",INDEX(Leverancer!BU:BU,ROW()-ROW(Leverancer!$AU$25)+1)*Leverancer!BU$96/1000)</f>
        <v/>
      </c>
      <c r="AU71" s="128" t="str">
        <f ca="1">IF(AU$50="","",INDEX(Leverancer!BV:BV,ROW()-ROW(Leverancer!$AU$25)+1)*Leverancer!BV$96/1000)</f>
        <v/>
      </c>
      <c r="AV71" s="128" t="str">
        <f ca="1">IF(AV$50="","",INDEX(Leverancer!BW:BW,ROW()-ROW(Leverancer!$AU$25)+1)*Leverancer!BW$96/1000)</f>
        <v/>
      </c>
      <c r="AW71" s="128" t="str">
        <f ca="1">IF(AW$50="","",INDEX(Leverancer!BX:BX,ROW()-ROW(Leverancer!$AU$25)+1)*Leverancer!BX$96/1000)</f>
        <v/>
      </c>
      <c r="AX71" s="104"/>
      <c r="AY71" s="104"/>
      <c r="AZ71" s="101"/>
    </row>
    <row r="72" spans="14:52" ht="12.75" customHeight="1" x14ac:dyDescent="0.25">
      <c r="N72" s="99"/>
      <c r="O72" s="104"/>
      <c r="P72" s="104"/>
      <c r="Q72" s="130" t="str">
        <f>INDEX(Leverancer!$AO$1:$AO$1061,ROW()-ROW(Leverancer!$AU$25)+1)&amp;": "&amp;INDEX(Leverancer!$AP$1:$AP$1061,ROW()-ROW(Leverancer!$AU$25)+1)</f>
        <v xml:space="preserve">L20: </v>
      </c>
      <c r="R72" s="128"/>
      <c r="S72" s="133">
        <f t="shared" ca="1" si="11"/>
        <v>0</v>
      </c>
      <c r="T72" s="128">
        <f ca="1">IF(T$50="","",INDEX(Leverancer!AU:AU,ROW()-ROW(Leverancer!$AU$25)+1)*Leverancer!AU$96/1000)</f>
        <v>0</v>
      </c>
      <c r="U72" s="128">
        <f ca="1">IF(U$50="","",INDEX(Leverancer!AV:AV,ROW()-ROW(Leverancer!$AU$25)+1)*Leverancer!AV$96/1000)</f>
        <v>0</v>
      </c>
      <c r="V72" s="128">
        <f ca="1">IF(V$50="","",INDEX(Leverancer!AW:AW,ROW()-ROW(Leverancer!$AU$25)+1)*Leverancer!AW$96/1000)</f>
        <v>0</v>
      </c>
      <c r="W72" s="128">
        <f ca="1">IF(W$50="","",INDEX(Leverancer!AX:AX,ROW()-ROW(Leverancer!$AU$25)+1)*Leverancer!AX$96/1000)</f>
        <v>0</v>
      </c>
      <c r="X72" s="128" t="str">
        <f ca="1">IF(X$50="","",INDEX(Leverancer!AY:AY,ROW()-ROW(Leverancer!$AU$25)+1)*Leverancer!AY$96/1000)</f>
        <v/>
      </c>
      <c r="Y72" s="128" t="str">
        <f ca="1">IF(Y$50="","",INDEX(Leverancer!AZ:AZ,ROW()-ROW(Leverancer!$AU$25)+1)*Leverancer!AZ$96/1000)</f>
        <v/>
      </c>
      <c r="Z72" s="128" t="str">
        <f ca="1">IF(Z$50="","",INDEX(Leverancer!BA:BA,ROW()-ROW(Leverancer!$AU$25)+1)*Leverancer!BA$96/1000)</f>
        <v/>
      </c>
      <c r="AA72" s="128" t="str">
        <f ca="1">IF(AA$50="","",INDEX(Leverancer!BB:BB,ROW()-ROW(Leverancer!$AU$25)+1)*Leverancer!BB$96/1000)</f>
        <v/>
      </c>
      <c r="AB72" s="128" t="str">
        <f ca="1">IF(AB$50="","",INDEX(Leverancer!BC:BC,ROW()-ROW(Leverancer!$AU$25)+1)*Leverancer!BC$96/1000)</f>
        <v/>
      </c>
      <c r="AC72" s="128" t="str">
        <f ca="1">IF(AC$50="","",INDEX(Leverancer!BD:BD,ROW()-ROW(Leverancer!$AU$25)+1)*Leverancer!BD$96/1000)</f>
        <v/>
      </c>
      <c r="AD72" s="128" t="str">
        <f ca="1">IF(AD$50="","",INDEX(Leverancer!BE:BE,ROW()-ROW(Leverancer!$AU$25)+1)*Leverancer!BE$96/1000)</f>
        <v/>
      </c>
      <c r="AE72" s="128" t="str">
        <f ca="1">IF(AE$50="","",INDEX(Leverancer!BF:BF,ROW()-ROW(Leverancer!$AU$25)+1)*Leverancer!BF$96/1000)</f>
        <v/>
      </c>
      <c r="AF72" s="128" t="str">
        <f ca="1">IF(AF$50="","",INDEX(Leverancer!BG:BG,ROW()-ROW(Leverancer!$AU$25)+1)*Leverancer!BG$96/1000)</f>
        <v/>
      </c>
      <c r="AG72" s="128" t="str">
        <f ca="1">IF(AG$50="","",INDEX(Leverancer!BH:BH,ROW()-ROW(Leverancer!$AU$25)+1)*Leverancer!BH$96/1000)</f>
        <v/>
      </c>
      <c r="AH72" s="128" t="str">
        <f ca="1">IF(AH$50="","",INDEX(Leverancer!BI:BI,ROW()-ROW(Leverancer!$AU$25)+1)*Leverancer!BI$96/1000)</f>
        <v/>
      </c>
      <c r="AI72" s="128" t="str">
        <f ca="1">IF(AI$50="","",INDEX(Leverancer!BJ:BJ,ROW()-ROW(Leverancer!$AU$25)+1)*Leverancer!BJ$96/1000)</f>
        <v/>
      </c>
      <c r="AJ72" s="128" t="str">
        <f ca="1">IF(AJ$50="","",INDEX(Leverancer!BK:BK,ROW()-ROW(Leverancer!$AU$25)+1)*Leverancer!BK$96/1000)</f>
        <v/>
      </c>
      <c r="AK72" s="128" t="str">
        <f ca="1">IF(AK$50="","",INDEX(Leverancer!BL:BL,ROW()-ROW(Leverancer!$AU$25)+1)*Leverancer!BL$96/1000)</f>
        <v/>
      </c>
      <c r="AL72" s="128" t="str">
        <f ca="1">IF(AL$50="","",INDEX(Leverancer!BM:BM,ROW()-ROW(Leverancer!$AU$25)+1)*Leverancer!BM$96/1000)</f>
        <v/>
      </c>
      <c r="AM72" s="128" t="str">
        <f ca="1">IF(AM$50="","",INDEX(Leverancer!BN:BN,ROW()-ROW(Leverancer!$AU$25)+1)*Leverancer!BN$96/1000)</f>
        <v/>
      </c>
      <c r="AN72" s="128" t="str">
        <f ca="1">IF(AN$50="","",INDEX(Leverancer!BO:BO,ROW()-ROW(Leverancer!$AU$25)+1)*Leverancer!BO$96/1000)</f>
        <v/>
      </c>
      <c r="AO72" s="128" t="str">
        <f ca="1">IF(AO$50="","",INDEX(Leverancer!BP:BP,ROW()-ROW(Leverancer!$AU$25)+1)*Leverancer!BP$96/1000)</f>
        <v/>
      </c>
      <c r="AP72" s="128" t="str">
        <f ca="1">IF(AP$50="","",INDEX(Leverancer!BQ:BQ,ROW()-ROW(Leverancer!$AU$25)+1)*Leverancer!BQ$96/1000)</f>
        <v/>
      </c>
      <c r="AQ72" s="128" t="str">
        <f ca="1">IF(AQ$50="","",INDEX(Leverancer!BR:BR,ROW()-ROW(Leverancer!$AU$25)+1)*Leverancer!BR$96/1000)</f>
        <v/>
      </c>
      <c r="AR72" s="128" t="str">
        <f ca="1">IF(AR$50="","",INDEX(Leverancer!BS:BS,ROW()-ROW(Leverancer!$AU$25)+1)*Leverancer!BS$96/1000)</f>
        <v/>
      </c>
      <c r="AS72" s="128" t="str">
        <f ca="1">IF(AS$50="","",INDEX(Leverancer!BT:BT,ROW()-ROW(Leverancer!$AU$25)+1)*Leverancer!BT$96/1000)</f>
        <v/>
      </c>
      <c r="AT72" s="128" t="str">
        <f ca="1">IF(AT$50="","",INDEX(Leverancer!BU:BU,ROW()-ROW(Leverancer!$AU$25)+1)*Leverancer!BU$96/1000)</f>
        <v/>
      </c>
      <c r="AU72" s="128" t="str">
        <f ca="1">IF(AU$50="","",INDEX(Leverancer!BV:BV,ROW()-ROW(Leverancer!$AU$25)+1)*Leverancer!BV$96/1000)</f>
        <v/>
      </c>
      <c r="AV72" s="128" t="str">
        <f ca="1">IF(AV$50="","",INDEX(Leverancer!BW:BW,ROW()-ROW(Leverancer!$AU$25)+1)*Leverancer!BW$96/1000)</f>
        <v/>
      </c>
      <c r="AW72" s="128" t="str">
        <f ca="1">IF(AW$50="","",INDEX(Leverancer!BX:BX,ROW()-ROW(Leverancer!$AU$25)+1)*Leverancer!BX$96/1000)</f>
        <v/>
      </c>
      <c r="AX72" s="104"/>
      <c r="AY72" s="104"/>
      <c r="AZ72" s="101"/>
    </row>
    <row r="73" spans="14:52" ht="12.75" customHeight="1" x14ac:dyDescent="0.25">
      <c r="N73" s="99"/>
      <c r="O73" s="104"/>
      <c r="P73" s="104"/>
      <c r="Q73" s="130" t="str">
        <f>INDEX(Leverancer!$AO$1:$AO$1061,ROW()-ROW(Leverancer!$AU$25)+1)&amp;": "&amp;INDEX(Leverancer!$AP$1:$AP$1061,ROW()-ROW(Leverancer!$AU$25)+1)</f>
        <v xml:space="preserve">L21: </v>
      </c>
      <c r="R73" s="128"/>
      <c r="S73" s="133">
        <f t="shared" ca="1" si="11"/>
        <v>0</v>
      </c>
      <c r="T73" s="128">
        <f ca="1">IF(T$50="","",INDEX(Leverancer!AU:AU,ROW()-ROW(Leverancer!$AU$25)+1)*Leverancer!AU$96/1000)</f>
        <v>0</v>
      </c>
      <c r="U73" s="128">
        <f ca="1">IF(U$50="","",INDEX(Leverancer!AV:AV,ROW()-ROW(Leverancer!$AU$25)+1)*Leverancer!AV$96/1000)</f>
        <v>0</v>
      </c>
      <c r="V73" s="128">
        <f ca="1">IF(V$50="","",INDEX(Leverancer!AW:AW,ROW()-ROW(Leverancer!$AU$25)+1)*Leverancer!AW$96/1000)</f>
        <v>0</v>
      </c>
      <c r="W73" s="128">
        <f ca="1">IF(W$50="","",INDEX(Leverancer!AX:AX,ROW()-ROW(Leverancer!$AU$25)+1)*Leverancer!AX$96/1000)</f>
        <v>0</v>
      </c>
      <c r="X73" s="128" t="str">
        <f ca="1">IF(X$50="","",INDEX(Leverancer!AY:AY,ROW()-ROW(Leverancer!$AU$25)+1)*Leverancer!AY$96/1000)</f>
        <v/>
      </c>
      <c r="Y73" s="128" t="str">
        <f ca="1">IF(Y$50="","",INDEX(Leverancer!AZ:AZ,ROW()-ROW(Leverancer!$AU$25)+1)*Leverancer!AZ$96/1000)</f>
        <v/>
      </c>
      <c r="Z73" s="128" t="str">
        <f ca="1">IF(Z$50="","",INDEX(Leverancer!BA:BA,ROW()-ROW(Leverancer!$AU$25)+1)*Leverancer!BA$96/1000)</f>
        <v/>
      </c>
      <c r="AA73" s="128" t="str">
        <f ca="1">IF(AA$50="","",INDEX(Leverancer!BB:BB,ROW()-ROW(Leverancer!$AU$25)+1)*Leverancer!BB$96/1000)</f>
        <v/>
      </c>
      <c r="AB73" s="128" t="str">
        <f ca="1">IF(AB$50="","",INDEX(Leverancer!BC:BC,ROW()-ROW(Leverancer!$AU$25)+1)*Leverancer!BC$96/1000)</f>
        <v/>
      </c>
      <c r="AC73" s="128" t="str">
        <f ca="1">IF(AC$50="","",INDEX(Leverancer!BD:BD,ROW()-ROW(Leverancer!$AU$25)+1)*Leverancer!BD$96/1000)</f>
        <v/>
      </c>
      <c r="AD73" s="128" t="str">
        <f ca="1">IF(AD$50="","",INDEX(Leverancer!BE:BE,ROW()-ROW(Leverancer!$AU$25)+1)*Leverancer!BE$96/1000)</f>
        <v/>
      </c>
      <c r="AE73" s="128" t="str">
        <f ca="1">IF(AE$50="","",INDEX(Leverancer!BF:BF,ROW()-ROW(Leverancer!$AU$25)+1)*Leverancer!BF$96/1000)</f>
        <v/>
      </c>
      <c r="AF73" s="128" t="str">
        <f ca="1">IF(AF$50="","",INDEX(Leverancer!BG:BG,ROW()-ROW(Leverancer!$AU$25)+1)*Leverancer!BG$96/1000)</f>
        <v/>
      </c>
      <c r="AG73" s="128" t="str">
        <f ca="1">IF(AG$50="","",INDEX(Leverancer!BH:BH,ROW()-ROW(Leverancer!$AU$25)+1)*Leverancer!BH$96/1000)</f>
        <v/>
      </c>
      <c r="AH73" s="128" t="str">
        <f ca="1">IF(AH$50="","",INDEX(Leverancer!BI:BI,ROW()-ROW(Leverancer!$AU$25)+1)*Leverancer!BI$96/1000)</f>
        <v/>
      </c>
      <c r="AI73" s="128" t="str">
        <f ca="1">IF(AI$50="","",INDEX(Leverancer!BJ:BJ,ROW()-ROW(Leverancer!$AU$25)+1)*Leverancer!BJ$96/1000)</f>
        <v/>
      </c>
      <c r="AJ73" s="128" t="str">
        <f ca="1">IF(AJ$50="","",INDEX(Leverancer!BK:BK,ROW()-ROW(Leverancer!$AU$25)+1)*Leverancer!BK$96/1000)</f>
        <v/>
      </c>
      <c r="AK73" s="128" t="str">
        <f ca="1">IF(AK$50="","",INDEX(Leverancer!BL:BL,ROW()-ROW(Leverancer!$AU$25)+1)*Leverancer!BL$96/1000)</f>
        <v/>
      </c>
      <c r="AL73" s="128" t="str">
        <f ca="1">IF(AL$50="","",INDEX(Leverancer!BM:BM,ROW()-ROW(Leverancer!$AU$25)+1)*Leverancer!BM$96/1000)</f>
        <v/>
      </c>
      <c r="AM73" s="128" t="str">
        <f ca="1">IF(AM$50="","",INDEX(Leverancer!BN:BN,ROW()-ROW(Leverancer!$AU$25)+1)*Leverancer!BN$96/1000)</f>
        <v/>
      </c>
      <c r="AN73" s="128" t="str">
        <f ca="1">IF(AN$50="","",INDEX(Leverancer!BO:BO,ROW()-ROW(Leverancer!$AU$25)+1)*Leverancer!BO$96/1000)</f>
        <v/>
      </c>
      <c r="AO73" s="128" t="str">
        <f ca="1">IF(AO$50="","",INDEX(Leverancer!BP:BP,ROW()-ROW(Leverancer!$AU$25)+1)*Leverancer!BP$96/1000)</f>
        <v/>
      </c>
      <c r="AP73" s="128" t="str">
        <f ca="1">IF(AP$50="","",INDEX(Leverancer!BQ:BQ,ROW()-ROW(Leverancer!$AU$25)+1)*Leverancer!BQ$96/1000)</f>
        <v/>
      </c>
      <c r="AQ73" s="128" t="str">
        <f ca="1">IF(AQ$50="","",INDEX(Leverancer!BR:BR,ROW()-ROW(Leverancer!$AU$25)+1)*Leverancer!BR$96/1000)</f>
        <v/>
      </c>
      <c r="AR73" s="128" t="str">
        <f ca="1">IF(AR$50="","",INDEX(Leverancer!BS:BS,ROW()-ROW(Leverancer!$AU$25)+1)*Leverancer!BS$96/1000)</f>
        <v/>
      </c>
      <c r="AS73" s="128" t="str">
        <f ca="1">IF(AS$50="","",INDEX(Leverancer!BT:BT,ROW()-ROW(Leverancer!$AU$25)+1)*Leverancer!BT$96/1000)</f>
        <v/>
      </c>
      <c r="AT73" s="128" t="str">
        <f ca="1">IF(AT$50="","",INDEX(Leverancer!BU:BU,ROW()-ROW(Leverancer!$AU$25)+1)*Leverancer!BU$96/1000)</f>
        <v/>
      </c>
      <c r="AU73" s="128" t="str">
        <f ca="1">IF(AU$50="","",INDEX(Leverancer!BV:BV,ROW()-ROW(Leverancer!$AU$25)+1)*Leverancer!BV$96/1000)</f>
        <v/>
      </c>
      <c r="AV73" s="128" t="str">
        <f ca="1">IF(AV$50="","",INDEX(Leverancer!BW:BW,ROW()-ROW(Leverancer!$AU$25)+1)*Leverancer!BW$96/1000)</f>
        <v/>
      </c>
      <c r="AW73" s="128" t="str">
        <f ca="1">IF(AW$50="","",INDEX(Leverancer!BX:BX,ROW()-ROW(Leverancer!$AU$25)+1)*Leverancer!BX$96/1000)</f>
        <v/>
      </c>
      <c r="AX73" s="104"/>
      <c r="AY73" s="104"/>
      <c r="AZ73" s="101"/>
    </row>
    <row r="74" spans="14:52" ht="12.75" customHeight="1" x14ac:dyDescent="0.25">
      <c r="N74" s="99"/>
      <c r="O74" s="104"/>
      <c r="P74" s="104"/>
      <c r="Q74" s="130" t="str">
        <f>INDEX(Leverancer!$AO$1:$AO$1061,ROW()-ROW(Leverancer!$AU$25)+1)&amp;": "&amp;INDEX(Leverancer!$AP$1:$AP$1061,ROW()-ROW(Leverancer!$AU$25)+1)</f>
        <v xml:space="preserve">L22: </v>
      </c>
      <c r="R74" s="128"/>
      <c r="S74" s="133">
        <f t="shared" ca="1" si="11"/>
        <v>0</v>
      </c>
      <c r="T74" s="128">
        <f ca="1">IF(T$50="","",INDEX(Leverancer!AU:AU,ROW()-ROW(Leverancer!$AU$25)+1)*Leverancer!AU$96/1000)</f>
        <v>0</v>
      </c>
      <c r="U74" s="128">
        <f ca="1">IF(U$50="","",INDEX(Leverancer!AV:AV,ROW()-ROW(Leverancer!$AU$25)+1)*Leverancer!AV$96/1000)</f>
        <v>0</v>
      </c>
      <c r="V74" s="128">
        <f ca="1">IF(V$50="","",INDEX(Leverancer!AW:AW,ROW()-ROW(Leverancer!$AU$25)+1)*Leverancer!AW$96/1000)</f>
        <v>0</v>
      </c>
      <c r="W74" s="128">
        <f ca="1">IF(W$50="","",INDEX(Leverancer!AX:AX,ROW()-ROW(Leverancer!$AU$25)+1)*Leverancer!AX$96/1000)</f>
        <v>0</v>
      </c>
      <c r="X74" s="128" t="str">
        <f ca="1">IF(X$50="","",INDEX(Leverancer!AY:AY,ROW()-ROW(Leverancer!$AU$25)+1)*Leverancer!AY$96/1000)</f>
        <v/>
      </c>
      <c r="Y74" s="128" t="str">
        <f ca="1">IF(Y$50="","",INDEX(Leverancer!AZ:AZ,ROW()-ROW(Leverancer!$AU$25)+1)*Leverancer!AZ$96/1000)</f>
        <v/>
      </c>
      <c r="Z74" s="128" t="str">
        <f ca="1">IF(Z$50="","",INDEX(Leverancer!BA:BA,ROW()-ROW(Leverancer!$AU$25)+1)*Leverancer!BA$96/1000)</f>
        <v/>
      </c>
      <c r="AA74" s="128" t="str">
        <f ca="1">IF(AA$50="","",INDEX(Leverancer!BB:BB,ROW()-ROW(Leverancer!$AU$25)+1)*Leverancer!BB$96/1000)</f>
        <v/>
      </c>
      <c r="AB74" s="128" t="str">
        <f ca="1">IF(AB$50="","",INDEX(Leverancer!BC:BC,ROW()-ROW(Leverancer!$AU$25)+1)*Leverancer!BC$96/1000)</f>
        <v/>
      </c>
      <c r="AC74" s="128" t="str">
        <f ca="1">IF(AC$50="","",INDEX(Leverancer!BD:BD,ROW()-ROW(Leverancer!$AU$25)+1)*Leverancer!BD$96/1000)</f>
        <v/>
      </c>
      <c r="AD74" s="128" t="str">
        <f ca="1">IF(AD$50="","",INDEX(Leverancer!BE:BE,ROW()-ROW(Leverancer!$AU$25)+1)*Leverancer!BE$96/1000)</f>
        <v/>
      </c>
      <c r="AE74" s="128" t="str">
        <f ca="1">IF(AE$50="","",INDEX(Leverancer!BF:BF,ROW()-ROW(Leverancer!$AU$25)+1)*Leverancer!BF$96/1000)</f>
        <v/>
      </c>
      <c r="AF74" s="128" t="str">
        <f ca="1">IF(AF$50="","",INDEX(Leverancer!BG:BG,ROW()-ROW(Leverancer!$AU$25)+1)*Leverancer!BG$96/1000)</f>
        <v/>
      </c>
      <c r="AG74" s="128" t="str">
        <f ca="1">IF(AG$50="","",INDEX(Leverancer!BH:BH,ROW()-ROW(Leverancer!$AU$25)+1)*Leverancer!BH$96/1000)</f>
        <v/>
      </c>
      <c r="AH74" s="128" t="str">
        <f ca="1">IF(AH$50="","",INDEX(Leverancer!BI:BI,ROW()-ROW(Leverancer!$AU$25)+1)*Leverancer!BI$96/1000)</f>
        <v/>
      </c>
      <c r="AI74" s="128" t="str">
        <f ca="1">IF(AI$50="","",INDEX(Leverancer!BJ:BJ,ROW()-ROW(Leverancer!$AU$25)+1)*Leverancer!BJ$96/1000)</f>
        <v/>
      </c>
      <c r="AJ74" s="128" t="str">
        <f ca="1">IF(AJ$50="","",INDEX(Leverancer!BK:BK,ROW()-ROW(Leverancer!$AU$25)+1)*Leverancer!BK$96/1000)</f>
        <v/>
      </c>
      <c r="AK74" s="128" t="str">
        <f ca="1">IF(AK$50="","",INDEX(Leverancer!BL:BL,ROW()-ROW(Leverancer!$AU$25)+1)*Leverancer!BL$96/1000)</f>
        <v/>
      </c>
      <c r="AL74" s="128" t="str">
        <f ca="1">IF(AL$50="","",INDEX(Leverancer!BM:BM,ROW()-ROW(Leverancer!$AU$25)+1)*Leverancer!BM$96/1000)</f>
        <v/>
      </c>
      <c r="AM74" s="128" t="str">
        <f ca="1">IF(AM$50="","",INDEX(Leverancer!BN:BN,ROW()-ROW(Leverancer!$AU$25)+1)*Leverancer!BN$96/1000)</f>
        <v/>
      </c>
      <c r="AN74" s="128" t="str">
        <f ca="1">IF(AN$50="","",INDEX(Leverancer!BO:BO,ROW()-ROW(Leverancer!$AU$25)+1)*Leverancer!BO$96/1000)</f>
        <v/>
      </c>
      <c r="AO74" s="128" t="str">
        <f ca="1">IF(AO$50="","",INDEX(Leverancer!BP:BP,ROW()-ROW(Leverancer!$AU$25)+1)*Leverancer!BP$96/1000)</f>
        <v/>
      </c>
      <c r="AP74" s="128" t="str">
        <f ca="1">IF(AP$50="","",INDEX(Leverancer!BQ:BQ,ROW()-ROW(Leverancer!$AU$25)+1)*Leverancer!BQ$96/1000)</f>
        <v/>
      </c>
      <c r="AQ74" s="128" t="str">
        <f ca="1">IF(AQ$50="","",INDEX(Leverancer!BR:BR,ROW()-ROW(Leverancer!$AU$25)+1)*Leverancer!BR$96/1000)</f>
        <v/>
      </c>
      <c r="AR74" s="128" t="str">
        <f ca="1">IF(AR$50="","",INDEX(Leverancer!BS:BS,ROW()-ROW(Leverancer!$AU$25)+1)*Leverancer!BS$96/1000)</f>
        <v/>
      </c>
      <c r="AS74" s="128" t="str">
        <f ca="1">IF(AS$50="","",INDEX(Leverancer!BT:BT,ROW()-ROW(Leverancer!$AU$25)+1)*Leverancer!BT$96/1000)</f>
        <v/>
      </c>
      <c r="AT74" s="128" t="str">
        <f ca="1">IF(AT$50="","",INDEX(Leverancer!BU:BU,ROW()-ROW(Leverancer!$AU$25)+1)*Leverancer!BU$96/1000)</f>
        <v/>
      </c>
      <c r="AU74" s="128" t="str">
        <f ca="1">IF(AU$50="","",INDEX(Leverancer!BV:BV,ROW()-ROW(Leverancer!$AU$25)+1)*Leverancer!BV$96/1000)</f>
        <v/>
      </c>
      <c r="AV74" s="128" t="str">
        <f ca="1">IF(AV$50="","",INDEX(Leverancer!BW:BW,ROW()-ROW(Leverancer!$AU$25)+1)*Leverancer!BW$96/1000)</f>
        <v/>
      </c>
      <c r="AW74" s="128" t="str">
        <f ca="1">IF(AW$50="","",INDEX(Leverancer!BX:BX,ROW()-ROW(Leverancer!$AU$25)+1)*Leverancer!BX$96/1000)</f>
        <v/>
      </c>
      <c r="AX74" s="104"/>
      <c r="AY74" s="104"/>
      <c r="AZ74" s="101"/>
    </row>
    <row r="75" spans="14:52" ht="12.75" customHeight="1" x14ac:dyDescent="0.25">
      <c r="N75" s="99"/>
      <c r="O75" s="104"/>
      <c r="P75" s="104"/>
      <c r="Q75" s="130" t="str">
        <f>INDEX(Leverancer!$AO$1:$AO$1061,ROW()-ROW(Leverancer!$AU$25)+1)&amp;": "&amp;INDEX(Leverancer!$AP$1:$AP$1061,ROW()-ROW(Leverancer!$AU$25)+1)</f>
        <v xml:space="preserve">L23: </v>
      </c>
      <c r="R75" s="128"/>
      <c r="S75" s="133">
        <f t="shared" ca="1" si="11"/>
        <v>0</v>
      </c>
      <c r="T75" s="128">
        <f ca="1">IF(T$50="","",INDEX(Leverancer!AU:AU,ROW()-ROW(Leverancer!$AU$25)+1)*Leverancer!AU$96/1000)</f>
        <v>0</v>
      </c>
      <c r="U75" s="128">
        <f ca="1">IF(U$50="","",INDEX(Leverancer!AV:AV,ROW()-ROW(Leverancer!$AU$25)+1)*Leverancer!AV$96/1000)</f>
        <v>0</v>
      </c>
      <c r="V75" s="128">
        <f ca="1">IF(V$50="","",INDEX(Leverancer!AW:AW,ROW()-ROW(Leverancer!$AU$25)+1)*Leverancer!AW$96/1000)</f>
        <v>0</v>
      </c>
      <c r="W75" s="128">
        <f ca="1">IF(W$50="","",INDEX(Leverancer!AX:AX,ROW()-ROW(Leverancer!$AU$25)+1)*Leverancer!AX$96/1000)</f>
        <v>0</v>
      </c>
      <c r="X75" s="128" t="str">
        <f ca="1">IF(X$50="","",INDEX(Leverancer!AY:AY,ROW()-ROW(Leverancer!$AU$25)+1)*Leverancer!AY$96/1000)</f>
        <v/>
      </c>
      <c r="Y75" s="128" t="str">
        <f ca="1">IF(Y$50="","",INDEX(Leverancer!AZ:AZ,ROW()-ROW(Leverancer!$AU$25)+1)*Leverancer!AZ$96/1000)</f>
        <v/>
      </c>
      <c r="Z75" s="128" t="str">
        <f ca="1">IF(Z$50="","",INDEX(Leverancer!BA:BA,ROW()-ROW(Leverancer!$AU$25)+1)*Leverancer!BA$96/1000)</f>
        <v/>
      </c>
      <c r="AA75" s="128" t="str">
        <f ca="1">IF(AA$50="","",INDEX(Leverancer!BB:BB,ROW()-ROW(Leverancer!$AU$25)+1)*Leverancer!BB$96/1000)</f>
        <v/>
      </c>
      <c r="AB75" s="128" t="str">
        <f ca="1">IF(AB$50="","",INDEX(Leverancer!BC:BC,ROW()-ROW(Leverancer!$AU$25)+1)*Leverancer!BC$96/1000)</f>
        <v/>
      </c>
      <c r="AC75" s="128" t="str">
        <f ca="1">IF(AC$50="","",INDEX(Leverancer!BD:BD,ROW()-ROW(Leverancer!$AU$25)+1)*Leverancer!BD$96/1000)</f>
        <v/>
      </c>
      <c r="AD75" s="128" t="str">
        <f ca="1">IF(AD$50="","",INDEX(Leverancer!BE:BE,ROW()-ROW(Leverancer!$AU$25)+1)*Leverancer!BE$96/1000)</f>
        <v/>
      </c>
      <c r="AE75" s="128" t="str">
        <f ca="1">IF(AE$50="","",INDEX(Leverancer!BF:BF,ROW()-ROW(Leverancer!$AU$25)+1)*Leverancer!BF$96/1000)</f>
        <v/>
      </c>
      <c r="AF75" s="128" t="str">
        <f ca="1">IF(AF$50="","",INDEX(Leverancer!BG:BG,ROW()-ROW(Leverancer!$AU$25)+1)*Leverancer!BG$96/1000)</f>
        <v/>
      </c>
      <c r="AG75" s="128" t="str">
        <f ca="1">IF(AG$50="","",INDEX(Leverancer!BH:BH,ROW()-ROW(Leverancer!$AU$25)+1)*Leverancer!BH$96/1000)</f>
        <v/>
      </c>
      <c r="AH75" s="128" t="str">
        <f ca="1">IF(AH$50="","",INDEX(Leverancer!BI:BI,ROW()-ROW(Leverancer!$AU$25)+1)*Leverancer!BI$96/1000)</f>
        <v/>
      </c>
      <c r="AI75" s="128" t="str">
        <f ca="1">IF(AI$50="","",INDEX(Leverancer!BJ:BJ,ROW()-ROW(Leverancer!$AU$25)+1)*Leverancer!BJ$96/1000)</f>
        <v/>
      </c>
      <c r="AJ75" s="128" t="str">
        <f ca="1">IF(AJ$50="","",INDEX(Leverancer!BK:BK,ROW()-ROW(Leverancer!$AU$25)+1)*Leverancer!BK$96/1000)</f>
        <v/>
      </c>
      <c r="AK75" s="128" t="str">
        <f ca="1">IF(AK$50="","",INDEX(Leverancer!BL:BL,ROW()-ROW(Leverancer!$AU$25)+1)*Leverancer!BL$96/1000)</f>
        <v/>
      </c>
      <c r="AL75" s="128" t="str">
        <f ca="1">IF(AL$50="","",INDEX(Leverancer!BM:BM,ROW()-ROW(Leverancer!$AU$25)+1)*Leverancer!BM$96/1000)</f>
        <v/>
      </c>
      <c r="AM75" s="128" t="str">
        <f ca="1">IF(AM$50="","",INDEX(Leverancer!BN:BN,ROW()-ROW(Leverancer!$AU$25)+1)*Leverancer!BN$96/1000)</f>
        <v/>
      </c>
      <c r="AN75" s="128" t="str">
        <f ca="1">IF(AN$50="","",INDEX(Leverancer!BO:BO,ROW()-ROW(Leverancer!$AU$25)+1)*Leverancer!BO$96/1000)</f>
        <v/>
      </c>
      <c r="AO75" s="128" t="str">
        <f ca="1">IF(AO$50="","",INDEX(Leverancer!BP:BP,ROW()-ROW(Leverancer!$AU$25)+1)*Leverancer!BP$96/1000)</f>
        <v/>
      </c>
      <c r="AP75" s="128" t="str">
        <f ca="1">IF(AP$50="","",INDEX(Leverancer!BQ:BQ,ROW()-ROW(Leverancer!$AU$25)+1)*Leverancer!BQ$96/1000)</f>
        <v/>
      </c>
      <c r="AQ75" s="128" t="str">
        <f ca="1">IF(AQ$50="","",INDEX(Leverancer!BR:BR,ROW()-ROW(Leverancer!$AU$25)+1)*Leverancer!BR$96/1000)</f>
        <v/>
      </c>
      <c r="AR75" s="128" t="str">
        <f ca="1">IF(AR$50="","",INDEX(Leverancer!BS:BS,ROW()-ROW(Leverancer!$AU$25)+1)*Leverancer!BS$96/1000)</f>
        <v/>
      </c>
      <c r="AS75" s="128" t="str">
        <f ca="1">IF(AS$50="","",INDEX(Leverancer!BT:BT,ROW()-ROW(Leverancer!$AU$25)+1)*Leverancer!BT$96/1000)</f>
        <v/>
      </c>
      <c r="AT75" s="128" t="str">
        <f ca="1">IF(AT$50="","",INDEX(Leverancer!BU:BU,ROW()-ROW(Leverancer!$AU$25)+1)*Leverancer!BU$96/1000)</f>
        <v/>
      </c>
      <c r="AU75" s="128" t="str">
        <f ca="1">IF(AU$50="","",INDEX(Leverancer!BV:BV,ROW()-ROW(Leverancer!$AU$25)+1)*Leverancer!BV$96/1000)</f>
        <v/>
      </c>
      <c r="AV75" s="128" t="str">
        <f ca="1">IF(AV$50="","",INDEX(Leverancer!BW:BW,ROW()-ROW(Leverancer!$AU$25)+1)*Leverancer!BW$96/1000)</f>
        <v/>
      </c>
      <c r="AW75" s="128" t="str">
        <f ca="1">IF(AW$50="","",INDEX(Leverancer!BX:BX,ROW()-ROW(Leverancer!$AU$25)+1)*Leverancer!BX$96/1000)</f>
        <v/>
      </c>
      <c r="AX75" s="104"/>
      <c r="AY75" s="104"/>
      <c r="AZ75" s="101"/>
    </row>
    <row r="76" spans="14:52" ht="12.75" customHeight="1" x14ac:dyDescent="0.25">
      <c r="N76" s="99"/>
      <c r="O76" s="104"/>
      <c r="P76" s="104"/>
      <c r="Q76" s="130" t="str">
        <f>INDEX(Leverancer!$AO$1:$AO$1061,ROW()-ROW(Leverancer!$AU$25)+1)&amp;": "&amp;INDEX(Leverancer!$AP$1:$AP$1061,ROW()-ROW(Leverancer!$AU$25)+1)</f>
        <v xml:space="preserve">L24: </v>
      </c>
      <c r="R76" s="128"/>
      <c r="S76" s="133">
        <f t="shared" ca="1" si="11"/>
        <v>0</v>
      </c>
      <c r="T76" s="128">
        <f ca="1">IF(T$50="","",INDEX(Leverancer!AU:AU,ROW()-ROW(Leverancer!$AU$25)+1)*Leverancer!AU$96/1000)</f>
        <v>0</v>
      </c>
      <c r="U76" s="128">
        <f ca="1">IF(U$50="","",INDEX(Leverancer!AV:AV,ROW()-ROW(Leverancer!$AU$25)+1)*Leverancer!AV$96/1000)</f>
        <v>0</v>
      </c>
      <c r="V76" s="128">
        <f ca="1">IF(V$50="","",INDEX(Leverancer!AW:AW,ROW()-ROW(Leverancer!$AU$25)+1)*Leverancer!AW$96/1000)</f>
        <v>0</v>
      </c>
      <c r="W76" s="128">
        <f ca="1">IF(W$50="","",INDEX(Leverancer!AX:AX,ROW()-ROW(Leverancer!$AU$25)+1)*Leverancer!AX$96/1000)</f>
        <v>0</v>
      </c>
      <c r="X76" s="128" t="str">
        <f ca="1">IF(X$50="","",INDEX(Leverancer!AY:AY,ROW()-ROW(Leverancer!$AU$25)+1)*Leverancer!AY$96/1000)</f>
        <v/>
      </c>
      <c r="Y76" s="128" t="str">
        <f ca="1">IF(Y$50="","",INDEX(Leverancer!AZ:AZ,ROW()-ROW(Leverancer!$AU$25)+1)*Leverancer!AZ$96/1000)</f>
        <v/>
      </c>
      <c r="Z76" s="128" t="str">
        <f ca="1">IF(Z$50="","",INDEX(Leverancer!BA:BA,ROW()-ROW(Leverancer!$AU$25)+1)*Leverancer!BA$96/1000)</f>
        <v/>
      </c>
      <c r="AA76" s="128" t="str">
        <f ca="1">IF(AA$50="","",INDEX(Leverancer!BB:BB,ROW()-ROW(Leverancer!$AU$25)+1)*Leverancer!BB$96/1000)</f>
        <v/>
      </c>
      <c r="AB76" s="128" t="str">
        <f ca="1">IF(AB$50="","",INDEX(Leverancer!BC:BC,ROW()-ROW(Leverancer!$AU$25)+1)*Leverancer!BC$96/1000)</f>
        <v/>
      </c>
      <c r="AC76" s="128" t="str">
        <f ca="1">IF(AC$50="","",INDEX(Leverancer!BD:BD,ROW()-ROW(Leverancer!$AU$25)+1)*Leverancer!BD$96/1000)</f>
        <v/>
      </c>
      <c r="AD76" s="128" t="str">
        <f ca="1">IF(AD$50="","",INDEX(Leverancer!BE:BE,ROW()-ROW(Leverancer!$AU$25)+1)*Leverancer!BE$96/1000)</f>
        <v/>
      </c>
      <c r="AE76" s="128" t="str">
        <f ca="1">IF(AE$50="","",INDEX(Leverancer!BF:BF,ROW()-ROW(Leverancer!$AU$25)+1)*Leverancer!BF$96/1000)</f>
        <v/>
      </c>
      <c r="AF76" s="128" t="str">
        <f ca="1">IF(AF$50="","",INDEX(Leverancer!BG:BG,ROW()-ROW(Leverancer!$AU$25)+1)*Leverancer!BG$96/1000)</f>
        <v/>
      </c>
      <c r="AG76" s="128" t="str">
        <f ca="1">IF(AG$50="","",INDEX(Leverancer!BH:BH,ROW()-ROW(Leverancer!$AU$25)+1)*Leverancer!BH$96/1000)</f>
        <v/>
      </c>
      <c r="AH76" s="128" t="str">
        <f ca="1">IF(AH$50="","",INDEX(Leverancer!BI:BI,ROW()-ROW(Leverancer!$AU$25)+1)*Leverancer!BI$96/1000)</f>
        <v/>
      </c>
      <c r="AI76" s="128" t="str">
        <f ca="1">IF(AI$50="","",INDEX(Leverancer!BJ:BJ,ROW()-ROW(Leverancer!$AU$25)+1)*Leverancer!BJ$96/1000)</f>
        <v/>
      </c>
      <c r="AJ76" s="128" t="str">
        <f ca="1">IF(AJ$50="","",INDEX(Leverancer!BK:BK,ROW()-ROW(Leverancer!$AU$25)+1)*Leverancer!BK$96/1000)</f>
        <v/>
      </c>
      <c r="AK76" s="128" t="str">
        <f ca="1">IF(AK$50="","",INDEX(Leverancer!BL:BL,ROW()-ROW(Leverancer!$AU$25)+1)*Leverancer!BL$96/1000)</f>
        <v/>
      </c>
      <c r="AL76" s="128" t="str">
        <f ca="1">IF(AL$50="","",INDEX(Leverancer!BM:BM,ROW()-ROW(Leverancer!$AU$25)+1)*Leverancer!BM$96/1000)</f>
        <v/>
      </c>
      <c r="AM76" s="128" t="str">
        <f ca="1">IF(AM$50="","",INDEX(Leverancer!BN:BN,ROW()-ROW(Leverancer!$AU$25)+1)*Leverancer!BN$96/1000)</f>
        <v/>
      </c>
      <c r="AN76" s="128" t="str">
        <f ca="1">IF(AN$50="","",INDEX(Leverancer!BO:BO,ROW()-ROW(Leverancer!$AU$25)+1)*Leverancer!BO$96/1000)</f>
        <v/>
      </c>
      <c r="AO76" s="128" t="str">
        <f ca="1">IF(AO$50="","",INDEX(Leverancer!BP:BP,ROW()-ROW(Leverancer!$AU$25)+1)*Leverancer!BP$96/1000)</f>
        <v/>
      </c>
      <c r="AP76" s="128" t="str">
        <f ca="1">IF(AP$50="","",INDEX(Leverancer!BQ:BQ,ROW()-ROW(Leverancer!$AU$25)+1)*Leverancer!BQ$96/1000)</f>
        <v/>
      </c>
      <c r="AQ76" s="128" t="str">
        <f ca="1">IF(AQ$50="","",INDEX(Leverancer!BR:BR,ROW()-ROW(Leverancer!$AU$25)+1)*Leverancer!BR$96/1000)</f>
        <v/>
      </c>
      <c r="AR76" s="128" t="str">
        <f ca="1">IF(AR$50="","",INDEX(Leverancer!BS:BS,ROW()-ROW(Leverancer!$AU$25)+1)*Leverancer!BS$96/1000)</f>
        <v/>
      </c>
      <c r="AS76" s="128" t="str">
        <f ca="1">IF(AS$50="","",INDEX(Leverancer!BT:BT,ROW()-ROW(Leverancer!$AU$25)+1)*Leverancer!BT$96/1000)</f>
        <v/>
      </c>
      <c r="AT76" s="128" t="str">
        <f ca="1">IF(AT$50="","",INDEX(Leverancer!BU:BU,ROW()-ROW(Leverancer!$AU$25)+1)*Leverancer!BU$96/1000)</f>
        <v/>
      </c>
      <c r="AU76" s="128" t="str">
        <f ca="1">IF(AU$50="","",INDEX(Leverancer!BV:BV,ROW()-ROW(Leverancer!$AU$25)+1)*Leverancer!BV$96/1000)</f>
        <v/>
      </c>
      <c r="AV76" s="128" t="str">
        <f ca="1">IF(AV$50="","",INDEX(Leverancer!BW:BW,ROW()-ROW(Leverancer!$AU$25)+1)*Leverancer!BW$96/1000)</f>
        <v/>
      </c>
      <c r="AW76" s="128" t="str">
        <f ca="1">IF(AW$50="","",INDEX(Leverancer!BX:BX,ROW()-ROW(Leverancer!$AU$25)+1)*Leverancer!BX$96/1000)</f>
        <v/>
      </c>
      <c r="AX76" s="104"/>
      <c r="AY76" s="104"/>
      <c r="AZ76" s="101"/>
    </row>
    <row r="77" spans="14:52" ht="12.75" customHeight="1" x14ac:dyDescent="0.25">
      <c r="N77" s="99"/>
      <c r="O77" s="104"/>
      <c r="P77" s="104"/>
      <c r="Q77" s="130" t="str">
        <f>INDEX(Leverancer!$AO$1:$AO$1061,ROW()-ROW(Leverancer!$AU$25)+1)&amp;": "&amp;INDEX(Leverancer!$AP$1:$AP$1061,ROW()-ROW(Leverancer!$AU$25)+1)</f>
        <v xml:space="preserve">L25: </v>
      </c>
      <c r="R77" s="128"/>
      <c r="S77" s="133">
        <f t="shared" ca="1" si="11"/>
        <v>0</v>
      </c>
      <c r="T77" s="128">
        <f ca="1">IF(T$50="","",INDEX(Leverancer!AU:AU,ROW()-ROW(Leverancer!$AU$25)+1)*Leverancer!AU$96/1000)</f>
        <v>0</v>
      </c>
      <c r="U77" s="128">
        <f ca="1">IF(U$50="","",INDEX(Leverancer!AV:AV,ROW()-ROW(Leverancer!$AU$25)+1)*Leverancer!AV$96/1000)</f>
        <v>0</v>
      </c>
      <c r="V77" s="128">
        <f ca="1">IF(V$50="","",INDEX(Leverancer!AW:AW,ROW()-ROW(Leverancer!$AU$25)+1)*Leverancer!AW$96/1000)</f>
        <v>0</v>
      </c>
      <c r="W77" s="128">
        <f ca="1">IF(W$50="","",INDEX(Leverancer!AX:AX,ROW()-ROW(Leverancer!$AU$25)+1)*Leverancer!AX$96/1000)</f>
        <v>0</v>
      </c>
      <c r="X77" s="128" t="str">
        <f ca="1">IF(X$50="","",INDEX(Leverancer!AY:AY,ROW()-ROW(Leverancer!$AU$25)+1)*Leverancer!AY$96/1000)</f>
        <v/>
      </c>
      <c r="Y77" s="128" t="str">
        <f ca="1">IF(Y$50="","",INDEX(Leverancer!AZ:AZ,ROW()-ROW(Leverancer!$AU$25)+1)*Leverancer!AZ$96/1000)</f>
        <v/>
      </c>
      <c r="Z77" s="128" t="str">
        <f ca="1">IF(Z$50="","",INDEX(Leverancer!BA:BA,ROW()-ROW(Leverancer!$AU$25)+1)*Leverancer!BA$96/1000)</f>
        <v/>
      </c>
      <c r="AA77" s="128" t="str">
        <f ca="1">IF(AA$50="","",INDEX(Leverancer!BB:BB,ROW()-ROW(Leverancer!$AU$25)+1)*Leverancer!BB$96/1000)</f>
        <v/>
      </c>
      <c r="AB77" s="128" t="str">
        <f ca="1">IF(AB$50="","",INDEX(Leverancer!BC:BC,ROW()-ROW(Leverancer!$AU$25)+1)*Leverancer!BC$96/1000)</f>
        <v/>
      </c>
      <c r="AC77" s="128" t="str">
        <f ca="1">IF(AC$50="","",INDEX(Leverancer!BD:BD,ROW()-ROW(Leverancer!$AU$25)+1)*Leverancer!BD$96/1000)</f>
        <v/>
      </c>
      <c r="AD77" s="128" t="str">
        <f ca="1">IF(AD$50="","",INDEX(Leverancer!BE:BE,ROW()-ROW(Leverancer!$AU$25)+1)*Leverancer!BE$96/1000)</f>
        <v/>
      </c>
      <c r="AE77" s="128" t="str">
        <f ca="1">IF(AE$50="","",INDEX(Leverancer!BF:BF,ROW()-ROW(Leverancer!$AU$25)+1)*Leverancer!BF$96/1000)</f>
        <v/>
      </c>
      <c r="AF77" s="128" t="str">
        <f ca="1">IF(AF$50="","",INDEX(Leverancer!BG:BG,ROW()-ROW(Leverancer!$AU$25)+1)*Leverancer!BG$96/1000)</f>
        <v/>
      </c>
      <c r="AG77" s="128" t="str">
        <f ca="1">IF(AG$50="","",INDEX(Leverancer!BH:BH,ROW()-ROW(Leverancer!$AU$25)+1)*Leverancer!BH$96/1000)</f>
        <v/>
      </c>
      <c r="AH77" s="128" t="str">
        <f ca="1">IF(AH$50="","",INDEX(Leverancer!BI:BI,ROW()-ROW(Leverancer!$AU$25)+1)*Leverancer!BI$96/1000)</f>
        <v/>
      </c>
      <c r="AI77" s="128" t="str">
        <f ca="1">IF(AI$50="","",INDEX(Leverancer!BJ:BJ,ROW()-ROW(Leverancer!$AU$25)+1)*Leverancer!BJ$96/1000)</f>
        <v/>
      </c>
      <c r="AJ77" s="128" t="str">
        <f ca="1">IF(AJ$50="","",INDEX(Leverancer!BK:BK,ROW()-ROW(Leverancer!$AU$25)+1)*Leverancer!BK$96/1000)</f>
        <v/>
      </c>
      <c r="AK77" s="128" t="str">
        <f ca="1">IF(AK$50="","",INDEX(Leverancer!BL:BL,ROW()-ROW(Leverancer!$AU$25)+1)*Leverancer!BL$96/1000)</f>
        <v/>
      </c>
      <c r="AL77" s="128" t="str">
        <f ca="1">IF(AL$50="","",INDEX(Leverancer!BM:BM,ROW()-ROW(Leverancer!$AU$25)+1)*Leverancer!BM$96/1000)</f>
        <v/>
      </c>
      <c r="AM77" s="128" t="str">
        <f ca="1">IF(AM$50="","",INDEX(Leverancer!BN:BN,ROW()-ROW(Leverancer!$AU$25)+1)*Leverancer!BN$96/1000)</f>
        <v/>
      </c>
      <c r="AN77" s="128" t="str">
        <f ca="1">IF(AN$50="","",INDEX(Leverancer!BO:BO,ROW()-ROW(Leverancer!$AU$25)+1)*Leverancer!BO$96/1000)</f>
        <v/>
      </c>
      <c r="AO77" s="128" t="str">
        <f ca="1">IF(AO$50="","",INDEX(Leverancer!BP:BP,ROW()-ROW(Leverancer!$AU$25)+1)*Leverancer!BP$96/1000)</f>
        <v/>
      </c>
      <c r="AP77" s="128" t="str">
        <f ca="1">IF(AP$50="","",INDEX(Leverancer!BQ:BQ,ROW()-ROW(Leverancer!$AU$25)+1)*Leverancer!BQ$96/1000)</f>
        <v/>
      </c>
      <c r="AQ77" s="128" t="str">
        <f ca="1">IF(AQ$50="","",INDEX(Leverancer!BR:BR,ROW()-ROW(Leverancer!$AU$25)+1)*Leverancer!BR$96/1000)</f>
        <v/>
      </c>
      <c r="AR77" s="128" t="str">
        <f ca="1">IF(AR$50="","",INDEX(Leverancer!BS:BS,ROW()-ROW(Leverancer!$AU$25)+1)*Leverancer!BS$96/1000)</f>
        <v/>
      </c>
      <c r="AS77" s="128" t="str">
        <f ca="1">IF(AS$50="","",INDEX(Leverancer!BT:BT,ROW()-ROW(Leverancer!$AU$25)+1)*Leverancer!BT$96/1000)</f>
        <v/>
      </c>
      <c r="AT77" s="128" t="str">
        <f ca="1">IF(AT$50="","",INDEX(Leverancer!BU:BU,ROW()-ROW(Leverancer!$AU$25)+1)*Leverancer!BU$96/1000)</f>
        <v/>
      </c>
      <c r="AU77" s="128" t="str">
        <f ca="1">IF(AU$50="","",INDEX(Leverancer!BV:BV,ROW()-ROW(Leverancer!$AU$25)+1)*Leverancer!BV$96/1000)</f>
        <v/>
      </c>
      <c r="AV77" s="128" t="str">
        <f ca="1">IF(AV$50="","",INDEX(Leverancer!BW:BW,ROW()-ROW(Leverancer!$AU$25)+1)*Leverancer!BW$96/1000)</f>
        <v/>
      </c>
      <c r="AW77" s="128" t="str">
        <f ca="1">IF(AW$50="","",INDEX(Leverancer!BX:BX,ROW()-ROW(Leverancer!$AU$25)+1)*Leverancer!BX$96/1000)</f>
        <v/>
      </c>
      <c r="AX77" s="104"/>
      <c r="AY77" s="104"/>
      <c r="AZ77" s="101"/>
    </row>
    <row r="78" spans="14:52" ht="12.75" customHeight="1" x14ac:dyDescent="0.25">
      <c r="N78" s="99"/>
      <c r="O78" s="104"/>
      <c r="P78" s="104"/>
      <c r="Q78" s="130" t="str">
        <f>INDEX(Leverancer!$AO$1:$AO$1061,ROW()-ROW(Leverancer!$AU$25)+1)&amp;": "&amp;INDEX(Leverancer!$AP$1:$AP$1061,ROW()-ROW(Leverancer!$AU$25)+1)</f>
        <v xml:space="preserve">L26: </v>
      </c>
      <c r="R78" s="128"/>
      <c r="S78" s="133">
        <f t="shared" ca="1" si="11"/>
        <v>0</v>
      </c>
      <c r="T78" s="128">
        <f ca="1">IF(T$50="","",INDEX(Leverancer!AU:AU,ROW()-ROW(Leverancer!$AU$25)+1)*Leverancer!AU$96/1000)</f>
        <v>0</v>
      </c>
      <c r="U78" s="128">
        <f ca="1">IF(U$50="","",INDEX(Leverancer!AV:AV,ROW()-ROW(Leverancer!$AU$25)+1)*Leverancer!AV$96/1000)</f>
        <v>0</v>
      </c>
      <c r="V78" s="128">
        <f ca="1">IF(V$50="","",INDEX(Leverancer!AW:AW,ROW()-ROW(Leverancer!$AU$25)+1)*Leverancer!AW$96/1000)</f>
        <v>0</v>
      </c>
      <c r="W78" s="128">
        <f ca="1">IF(W$50="","",INDEX(Leverancer!AX:AX,ROW()-ROW(Leverancer!$AU$25)+1)*Leverancer!AX$96/1000)</f>
        <v>0</v>
      </c>
      <c r="X78" s="128" t="str">
        <f ca="1">IF(X$50="","",INDEX(Leverancer!AY:AY,ROW()-ROW(Leverancer!$AU$25)+1)*Leverancer!AY$96/1000)</f>
        <v/>
      </c>
      <c r="Y78" s="128" t="str">
        <f ca="1">IF(Y$50="","",INDEX(Leverancer!AZ:AZ,ROW()-ROW(Leverancer!$AU$25)+1)*Leverancer!AZ$96/1000)</f>
        <v/>
      </c>
      <c r="Z78" s="128" t="str">
        <f ca="1">IF(Z$50="","",INDEX(Leverancer!BA:BA,ROW()-ROW(Leverancer!$AU$25)+1)*Leverancer!BA$96/1000)</f>
        <v/>
      </c>
      <c r="AA78" s="128" t="str">
        <f ca="1">IF(AA$50="","",INDEX(Leverancer!BB:BB,ROW()-ROW(Leverancer!$AU$25)+1)*Leverancer!BB$96/1000)</f>
        <v/>
      </c>
      <c r="AB78" s="128" t="str">
        <f ca="1">IF(AB$50="","",INDEX(Leverancer!BC:BC,ROW()-ROW(Leverancer!$AU$25)+1)*Leverancer!BC$96/1000)</f>
        <v/>
      </c>
      <c r="AC78" s="128" t="str">
        <f ca="1">IF(AC$50="","",INDEX(Leverancer!BD:BD,ROW()-ROW(Leverancer!$AU$25)+1)*Leverancer!BD$96/1000)</f>
        <v/>
      </c>
      <c r="AD78" s="128" t="str">
        <f ca="1">IF(AD$50="","",INDEX(Leverancer!BE:BE,ROW()-ROW(Leverancer!$AU$25)+1)*Leverancer!BE$96/1000)</f>
        <v/>
      </c>
      <c r="AE78" s="128" t="str">
        <f ca="1">IF(AE$50="","",INDEX(Leverancer!BF:BF,ROW()-ROW(Leverancer!$AU$25)+1)*Leverancer!BF$96/1000)</f>
        <v/>
      </c>
      <c r="AF78" s="128" t="str">
        <f ca="1">IF(AF$50="","",INDEX(Leverancer!BG:BG,ROW()-ROW(Leverancer!$AU$25)+1)*Leverancer!BG$96/1000)</f>
        <v/>
      </c>
      <c r="AG78" s="128" t="str">
        <f ca="1">IF(AG$50="","",INDEX(Leverancer!BH:BH,ROW()-ROW(Leverancer!$AU$25)+1)*Leverancer!BH$96/1000)</f>
        <v/>
      </c>
      <c r="AH78" s="128" t="str">
        <f ca="1">IF(AH$50="","",INDEX(Leverancer!BI:BI,ROW()-ROW(Leverancer!$AU$25)+1)*Leverancer!BI$96/1000)</f>
        <v/>
      </c>
      <c r="AI78" s="128" t="str">
        <f ca="1">IF(AI$50="","",INDEX(Leverancer!BJ:BJ,ROW()-ROW(Leverancer!$AU$25)+1)*Leverancer!BJ$96/1000)</f>
        <v/>
      </c>
      <c r="AJ78" s="128" t="str">
        <f ca="1">IF(AJ$50="","",INDEX(Leverancer!BK:BK,ROW()-ROW(Leverancer!$AU$25)+1)*Leverancer!BK$96/1000)</f>
        <v/>
      </c>
      <c r="AK78" s="128" t="str">
        <f ca="1">IF(AK$50="","",INDEX(Leverancer!BL:BL,ROW()-ROW(Leverancer!$AU$25)+1)*Leverancer!BL$96/1000)</f>
        <v/>
      </c>
      <c r="AL78" s="128" t="str">
        <f ca="1">IF(AL$50="","",INDEX(Leverancer!BM:BM,ROW()-ROW(Leverancer!$AU$25)+1)*Leverancer!BM$96/1000)</f>
        <v/>
      </c>
      <c r="AM78" s="128" t="str">
        <f ca="1">IF(AM$50="","",INDEX(Leverancer!BN:BN,ROW()-ROW(Leverancer!$AU$25)+1)*Leverancer!BN$96/1000)</f>
        <v/>
      </c>
      <c r="AN78" s="128" t="str">
        <f ca="1">IF(AN$50="","",INDEX(Leverancer!BO:BO,ROW()-ROW(Leverancer!$AU$25)+1)*Leverancer!BO$96/1000)</f>
        <v/>
      </c>
      <c r="AO78" s="128" t="str">
        <f ca="1">IF(AO$50="","",INDEX(Leverancer!BP:BP,ROW()-ROW(Leverancer!$AU$25)+1)*Leverancer!BP$96/1000)</f>
        <v/>
      </c>
      <c r="AP78" s="128" t="str">
        <f ca="1">IF(AP$50="","",INDEX(Leverancer!BQ:BQ,ROW()-ROW(Leverancer!$AU$25)+1)*Leverancer!BQ$96/1000)</f>
        <v/>
      </c>
      <c r="AQ78" s="128" t="str">
        <f ca="1">IF(AQ$50="","",INDEX(Leverancer!BR:BR,ROW()-ROW(Leverancer!$AU$25)+1)*Leverancer!BR$96/1000)</f>
        <v/>
      </c>
      <c r="AR78" s="128" t="str">
        <f ca="1">IF(AR$50="","",INDEX(Leverancer!BS:BS,ROW()-ROW(Leverancer!$AU$25)+1)*Leverancer!BS$96/1000)</f>
        <v/>
      </c>
      <c r="AS78" s="128" t="str">
        <f ca="1">IF(AS$50="","",INDEX(Leverancer!BT:BT,ROW()-ROW(Leverancer!$AU$25)+1)*Leverancer!BT$96/1000)</f>
        <v/>
      </c>
      <c r="AT78" s="128" t="str">
        <f ca="1">IF(AT$50="","",INDEX(Leverancer!BU:BU,ROW()-ROW(Leverancer!$AU$25)+1)*Leverancer!BU$96/1000)</f>
        <v/>
      </c>
      <c r="AU78" s="128" t="str">
        <f ca="1">IF(AU$50="","",INDEX(Leverancer!BV:BV,ROW()-ROW(Leverancer!$AU$25)+1)*Leverancer!BV$96/1000)</f>
        <v/>
      </c>
      <c r="AV78" s="128" t="str">
        <f ca="1">IF(AV$50="","",INDEX(Leverancer!BW:BW,ROW()-ROW(Leverancer!$AU$25)+1)*Leverancer!BW$96/1000)</f>
        <v/>
      </c>
      <c r="AW78" s="128" t="str">
        <f ca="1">IF(AW$50="","",INDEX(Leverancer!BX:BX,ROW()-ROW(Leverancer!$AU$25)+1)*Leverancer!BX$96/1000)</f>
        <v/>
      </c>
      <c r="AX78" s="104"/>
      <c r="AY78" s="104"/>
      <c r="AZ78" s="101"/>
    </row>
    <row r="79" spans="14:52" ht="12.75" customHeight="1" x14ac:dyDescent="0.25">
      <c r="N79" s="99"/>
      <c r="O79" s="104"/>
      <c r="P79" s="104"/>
      <c r="Q79" s="130" t="str">
        <f>INDEX(Leverancer!$AO$1:$AO$1061,ROW()-ROW(Leverancer!$AU$25)+1)&amp;": "&amp;INDEX(Leverancer!$AP$1:$AP$1061,ROW()-ROW(Leverancer!$AU$25)+1)</f>
        <v xml:space="preserve">L27: </v>
      </c>
      <c r="R79" s="128"/>
      <c r="S79" s="133">
        <f t="shared" ca="1" si="11"/>
        <v>0</v>
      </c>
      <c r="T79" s="128">
        <f ca="1">IF(T$50="","",INDEX(Leverancer!AU:AU,ROW()-ROW(Leverancer!$AU$25)+1)*Leverancer!AU$96/1000)</f>
        <v>0</v>
      </c>
      <c r="U79" s="128">
        <f ca="1">IF(U$50="","",INDEX(Leverancer!AV:AV,ROW()-ROW(Leverancer!$AU$25)+1)*Leverancer!AV$96/1000)</f>
        <v>0</v>
      </c>
      <c r="V79" s="128">
        <f ca="1">IF(V$50="","",INDEX(Leverancer!AW:AW,ROW()-ROW(Leverancer!$AU$25)+1)*Leverancer!AW$96/1000)</f>
        <v>0</v>
      </c>
      <c r="W79" s="128">
        <f ca="1">IF(W$50="","",INDEX(Leverancer!AX:AX,ROW()-ROW(Leverancer!$AU$25)+1)*Leverancer!AX$96/1000)</f>
        <v>0</v>
      </c>
      <c r="X79" s="128" t="str">
        <f ca="1">IF(X$50="","",INDEX(Leverancer!AY:AY,ROW()-ROW(Leverancer!$AU$25)+1)*Leverancer!AY$96/1000)</f>
        <v/>
      </c>
      <c r="Y79" s="128" t="str">
        <f ca="1">IF(Y$50="","",INDEX(Leverancer!AZ:AZ,ROW()-ROW(Leverancer!$AU$25)+1)*Leverancer!AZ$96/1000)</f>
        <v/>
      </c>
      <c r="Z79" s="128" t="str">
        <f ca="1">IF(Z$50="","",INDEX(Leverancer!BA:BA,ROW()-ROW(Leverancer!$AU$25)+1)*Leverancer!BA$96/1000)</f>
        <v/>
      </c>
      <c r="AA79" s="128" t="str">
        <f ca="1">IF(AA$50="","",INDEX(Leverancer!BB:BB,ROW()-ROW(Leverancer!$AU$25)+1)*Leverancer!BB$96/1000)</f>
        <v/>
      </c>
      <c r="AB79" s="128" t="str">
        <f ca="1">IF(AB$50="","",INDEX(Leverancer!BC:BC,ROW()-ROW(Leverancer!$AU$25)+1)*Leverancer!BC$96/1000)</f>
        <v/>
      </c>
      <c r="AC79" s="128" t="str">
        <f ca="1">IF(AC$50="","",INDEX(Leverancer!BD:BD,ROW()-ROW(Leverancer!$AU$25)+1)*Leverancer!BD$96/1000)</f>
        <v/>
      </c>
      <c r="AD79" s="128" t="str">
        <f ca="1">IF(AD$50="","",INDEX(Leverancer!BE:BE,ROW()-ROW(Leverancer!$AU$25)+1)*Leverancer!BE$96/1000)</f>
        <v/>
      </c>
      <c r="AE79" s="128" t="str">
        <f ca="1">IF(AE$50="","",INDEX(Leverancer!BF:BF,ROW()-ROW(Leverancer!$AU$25)+1)*Leverancer!BF$96/1000)</f>
        <v/>
      </c>
      <c r="AF79" s="128" t="str">
        <f ca="1">IF(AF$50="","",INDEX(Leverancer!BG:BG,ROW()-ROW(Leverancer!$AU$25)+1)*Leverancer!BG$96/1000)</f>
        <v/>
      </c>
      <c r="AG79" s="128" t="str">
        <f ca="1">IF(AG$50="","",INDEX(Leverancer!BH:BH,ROW()-ROW(Leverancer!$AU$25)+1)*Leverancer!BH$96/1000)</f>
        <v/>
      </c>
      <c r="AH79" s="128" t="str">
        <f ca="1">IF(AH$50="","",INDEX(Leverancer!BI:BI,ROW()-ROW(Leverancer!$AU$25)+1)*Leverancer!BI$96/1000)</f>
        <v/>
      </c>
      <c r="AI79" s="128" t="str">
        <f ca="1">IF(AI$50="","",INDEX(Leverancer!BJ:BJ,ROW()-ROW(Leverancer!$AU$25)+1)*Leverancer!BJ$96/1000)</f>
        <v/>
      </c>
      <c r="AJ79" s="128" t="str">
        <f ca="1">IF(AJ$50="","",INDEX(Leverancer!BK:BK,ROW()-ROW(Leverancer!$AU$25)+1)*Leverancer!BK$96/1000)</f>
        <v/>
      </c>
      <c r="AK79" s="128" t="str">
        <f ca="1">IF(AK$50="","",INDEX(Leverancer!BL:BL,ROW()-ROW(Leverancer!$AU$25)+1)*Leverancer!BL$96/1000)</f>
        <v/>
      </c>
      <c r="AL79" s="128" t="str">
        <f ca="1">IF(AL$50="","",INDEX(Leverancer!BM:BM,ROW()-ROW(Leverancer!$AU$25)+1)*Leverancer!BM$96/1000)</f>
        <v/>
      </c>
      <c r="AM79" s="128" t="str">
        <f ca="1">IF(AM$50="","",INDEX(Leverancer!BN:BN,ROW()-ROW(Leverancer!$AU$25)+1)*Leverancer!BN$96/1000)</f>
        <v/>
      </c>
      <c r="AN79" s="128" t="str">
        <f ca="1">IF(AN$50="","",INDEX(Leverancer!BO:BO,ROW()-ROW(Leverancer!$AU$25)+1)*Leverancer!BO$96/1000)</f>
        <v/>
      </c>
      <c r="AO79" s="128" t="str">
        <f ca="1">IF(AO$50="","",INDEX(Leverancer!BP:BP,ROW()-ROW(Leverancer!$AU$25)+1)*Leverancer!BP$96/1000)</f>
        <v/>
      </c>
      <c r="AP79" s="128" t="str">
        <f ca="1">IF(AP$50="","",INDEX(Leverancer!BQ:BQ,ROW()-ROW(Leverancer!$AU$25)+1)*Leverancer!BQ$96/1000)</f>
        <v/>
      </c>
      <c r="AQ79" s="128" t="str">
        <f ca="1">IF(AQ$50="","",INDEX(Leverancer!BR:BR,ROW()-ROW(Leverancer!$AU$25)+1)*Leverancer!BR$96/1000)</f>
        <v/>
      </c>
      <c r="AR79" s="128" t="str">
        <f ca="1">IF(AR$50="","",INDEX(Leverancer!BS:BS,ROW()-ROW(Leverancer!$AU$25)+1)*Leverancer!BS$96/1000)</f>
        <v/>
      </c>
      <c r="AS79" s="128" t="str">
        <f ca="1">IF(AS$50="","",INDEX(Leverancer!BT:BT,ROW()-ROW(Leverancer!$AU$25)+1)*Leverancer!BT$96/1000)</f>
        <v/>
      </c>
      <c r="AT79" s="128" t="str">
        <f ca="1">IF(AT$50="","",INDEX(Leverancer!BU:BU,ROW()-ROW(Leverancer!$AU$25)+1)*Leverancer!BU$96/1000)</f>
        <v/>
      </c>
      <c r="AU79" s="128" t="str">
        <f ca="1">IF(AU$50="","",INDEX(Leverancer!BV:BV,ROW()-ROW(Leverancer!$AU$25)+1)*Leverancer!BV$96/1000)</f>
        <v/>
      </c>
      <c r="AV79" s="128" t="str">
        <f ca="1">IF(AV$50="","",INDEX(Leverancer!BW:BW,ROW()-ROW(Leverancer!$AU$25)+1)*Leverancer!BW$96/1000)</f>
        <v/>
      </c>
      <c r="AW79" s="128" t="str">
        <f ca="1">IF(AW$50="","",INDEX(Leverancer!BX:BX,ROW()-ROW(Leverancer!$AU$25)+1)*Leverancer!BX$96/1000)</f>
        <v/>
      </c>
      <c r="AX79" s="104"/>
      <c r="AY79" s="104"/>
      <c r="AZ79" s="101"/>
    </row>
    <row r="80" spans="14:52" ht="12.75" customHeight="1" x14ac:dyDescent="0.25">
      <c r="N80" s="99"/>
      <c r="O80" s="104"/>
      <c r="P80" s="104"/>
      <c r="Q80" s="130" t="str">
        <f>INDEX(Leverancer!$AO$1:$AO$1061,ROW()-ROW(Leverancer!$AU$25)+1)&amp;": "&amp;INDEX(Leverancer!$AP$1:$AP$1061,ROW()-ROW(Leverancer!$AU$25)+1)</f>
        <v xml:space="preserve">L28: </v>
      </c>
      <c r="R80" s="128"/>
      <c r="S80" s="133">
        <f t="shared" ca="1" si="11"/>
        <v>0</v>
      </c>
      <c r="T80" s="128">
        <f ca="1">IF(T$50="","",INDEX(Leverancer!AU:AU,ROW()-ROW(Leverancer!$AU$25)+1)*Leverancer!AU$96/1000)</f>
        <v>0</v>
      </c>
      <c r="U80" s="128">
        <f ca="1">IF(U$50="","",INDEX(Leverancer!AV:AV,ROW()-ROW(Leverancer!$AU$25)+1)*Leverancer!AV$96/1000)</f>
        <v>0</v>
      </c>
      <c r="V80" s="128">
        <f ca="1">IF(V$50="","",INDEX(Leverancer!AW:AW,ROW()-ROW(Leverancer!$AU$25)+1)*Leverancer!AW$96/1000)</f>
        <v>0</v>
      </c>
      <c r="W80" s="128">
        <f ca="1">IF(W$50="","",INDEX(Leverancer!AX:AX,ROW()-ROW(Leverancer!$AU$25)+1)*Leverancer!AX$96/1000)</f>
        <v>0</v>
      </c>
      <c r="X80" s="128" t="str">
        <f ca="1">IF(X$50="","",INDEX(Leverancer!AY:AY,ROW()-ROW(Leverancer!$AU$25)+1)*Leverancer!AY$96/1000)</f>
        <v/>
      </c>
      <c r="Y80" s="128" t="str">
        <f ca="1">IF(Y$50="","",INDEX(Leverancer!AZ:AZ,ROW()-ROW(Leverancer!$AU$25)+1)*Leverancer!AZ$96/1000)</f>
        <v/>
      </c>
      <c r="Z80" s="128" t="str">
        <f ca="1">IF(Z$50="","",INDEX(Leverancer!BA:BA,ROW()-ROW(Leverancer!$AU$25)+1)*Leverancer!BA$96/1000)</f>
        <v/>
      </c>
      <c r="AA80" s="128" t="str">
        <f ca="1">IF(AA$50="","",INDEX(Leverancer!BB:BB,ROW()-ROW(Leverancer!$AU$25)+1)*Leverancer!BB$96/1000)</f>
        <v/>
      </c>
      <c r="AB80" s="128" t="str">
        <f ca="1">IF(AB$50="","",INDEX(Leverancer!BC:BC,ROW()-ROW(Leverancer!$AU$25)+1)*Leverancer!BC$96/1000)</f>
        <v/>
      </c>
      <c r="AC80" s="128" t="str">
        <f ca="1">IF(AC$50="","",INDEX(Leverancer!BD:BD,ROW()-ROW(Leverancer!$AU$25)+1)*Leverancer!BD$96/1000)</f>
        <v/>
      </c>
      <c r="AD80" s="128" t="str">
        <f ca="1">IF(AD$50="","",INDEX(Leverancer!BE:BE,ROW()-ROW(Leverancer!$AU$25)+1)*Leverancer!BE$96/1000)</f>
        <v/>
      </c>
      <c r="AE80" s="128" t="str">
        <f ca="1">IF(AE$50="","",INDEX(Leverancer!BF:BF,ROW()-ROW(Leverancer!$AU$25)+1)*Leverancer!BF$96/1000)</f>
        <v/>
      </c>
      <c r="AF80" s="128" t="str">
        <f ca="1">IF(AF$50="","",INDEX(Leverancer!BG:BG,ROW()-ROW(Leverancer!$AU$25)+1)*Leverancer!BG$96/1000)</f>
        <v/>
      </c>
      <c r="AG80" s="128" t="str">
        <f ca="1">IF(AG$50="","",INDEX(Leverancer!BH:BH,ROW()-ROW(Leverancer!$AU$25)+1)*Leverancer!BH$96/1000)</f>
        <v/>
      </c>
      <c r="AH80" s="128" t="str">
        <f ca="1">IF(AH$50="","",INDEX(Leverancer!BI:BI,ROW()-ROW(Leverancer!$AU$25)+1)*Leverancer!BI$96/1000)</f>
        <v/>
      </c>
      <c r="AI80" s="128" t="str">
        <f ca="1">IF(AI$50="","",INDEX(Leverancer!BJ:BJ,ROW()-ROW(Leverancer!$AU$25)+1)*Leverancer!BJ$96/1000)</f>
        <v/>
      </c>
      <c r="AJ80" s="128" t="str">
        <f ca="1">IF(AJ$50="","",INDEX(Leverancer!BK:BK,ROW()-ROW(Leverancer!$AU$25)+1)*Leverancer!BK$96/1000)</f>
        <v/>
      </c>
      <c r="AK80" s="128" t="str">
        <f ca="1">IF(AK$50="","",INDEX(Leverancer!BL:BL,ROW()-ROW(Leverancer!$AU$25)+1)*Leverancer!BL$96/1000)</f>
        <v/>
      </c>
      <c r="AL80" s="128" t="str">
        <f ca="1">IF(AL$50="","",INDEX(Leverancer!BM:BM,ROW()-ROW(Leverancer!$AU$25)+1)*Leverancer!BM$96/1000)</f>
        <v/>
      </c>
      <c r="AM80" s="128" t="str">
        <f ca="1">IF(AM$50="","",INDEX(Leverancer!BN:BN,ROW()-ROW(Leverancer!$AU$25)+1)*Leverancer!BN$96/1000)</f>
        <v/>
      </c>
      <c r="AN80" s="128" t="str">
        <f ca="1">IF(AN$50="","",INDEX(Leverancer!BO:BO,ROW()-ROW(Leverancer!$AU$25)+1)*Leverancer!BO$96/1000)</f>
        <v/>
      </c>
      <c r="AO80" s="128" t="str">
        <f ca="1">IF(AO$50="","",INDEX(Leverancer!BP:BP,ROW()-ROW(Leverancer!$AU$25)+1)*Leverancer!BP$96/1000)</f>
        <v/>
      </c>
      <c r="AP80" s="128" t="str">
        <f ca="1">IF(AP$50="","",INDEX(Leverancer!BQ:BQ,ROW()-ROW(Leverancer!$AU$25)+1)*Leverancer!BQ$96/1000)</f>
        <v/>
      </c>
      <c r="AQ80" s="128" t="str">
        <f ca="1">IF(AQ$50="","",INDEX(Leverancer!BR:BR,ROW()-ROW(Leverancer!$AU$25)+1)*Leverancer!BR$96/1000)</f>
        <v/>
      </c>
      <c r="AR80" s="128" t="str">
        <f ca="1">IF(AR$50="","",INDEX(Leverancer!BS:BS,ROW()-ROW(Leverancer!$AU$25)+1)*Leverancer!BS$96/1000)</f>
        <v/>
      </c>
      <c r="AS80" s="128" t="str">
        <f ca="1">IF(AS$50="","",INDEX(Leverancer!BT:BT,ROW()-ROW(Leverancer!$AU$25)+1)*Leverancer!BT$96/1000)</f>
        <v/>
      </c>
      <c r="AT80" s="128" t="str">
        <f ca="1">IF(AT$50="","",INDEX(Leverancer!BU:BU,ROW()-ROW(Leverancer!$AU$25)+1)*Leverancer!BU$96/1000)</f>
        <v/>
      </c>
      <c r="AU80" s="128" t="str">
        <f ca="1">IF(AU$50="","",INDEX(Leverancer!BV:BV,ROW()-ROW(Leverancer!$AU$25)+1)*Leverancer!BV$96/1000)</f>
        <v/>
      </c>
      <c r="AV80" s="128" t="str">
        <f ca="1">IF(AV$50="","",INDEX(Leverancer!BW:BW,ROW()-ROW(Leverancer!$AU$25)+1)*Leverancer!BW$96/1000)</f>
        <v/>
      </c>
      <c r="AW80" s="128" t="str">
        <f ca="1">IF(AW$50="","",INDEX(Leverancer!BX:BX,ROW()-ROW(Leverancer!$AU$25)+1)*Leverancer!BX$96/1000)</f>
        <v/>
      </c>
      <c r="AX80" s="104"/>
      <c r="AY80" s="104"/>
      <c r="AZ80" s="101"/>
    </row>
    <row r="81" spans="14:52" ht="12.75" customHeight="1" x14ac:dyDescent="0.25">
      <c r="N81" s="99"/>
      <c r="O81" s="104"/>
      <c r="P81" s="104"/>
      <c r="Q81" s="130" t="str">
        <f>INDEX(Leverancer!$AO$1:$AO$1061,ROW()-ROW(Leverancer!$AU$25)+1)&amp;": "&amp;INDEX(Leverancer!$AP$1:$AP$1061,ROW()-ROW(Leverancer!$AU$25)+1)</f>
        <v xml:space="preserve">L29: </v>
      </c>
      <c r="R81" s="128"/>
      <c r="S81" s="133">
        <f t="shared" ca="1" si="11"/>
        <v>0</v>
      </c>
      <c r="T81" s="128">
        <f ca="1">IF(T$50="","",INDEX(Leverancer!AU:AU,ROW()-ROW(Leverancer!$AU$25)+1)*Leverancer!AU$96/1000)</f>
        <v>0</v>
      </c>
      <c r="U81" s="128">
        <f ca="1">IF(U$50="","",INDEX(Leverancer!AV:AV,ROW()-ROW(Leverancer!$AU$25)+1)*Leverancer!AV$96/1000)</f>
        <v>0</v>
      </c>
      <c r="V81" s="128">
        <f ca="1">IF(V$50="","",INDEX(Leverancer!AW:AW,ROW()-ROW(Leverancer!$AU$25)+1)*Leverancer!AW$96/1000)</f>
        <v>0</v>
      </c>
      <c r="W81" s="128">
        <f ca="1">IF(W$50="","",INDEX(Leverancer!AX:AX,ROW()-ROW(Leverancer!$AU$25)+1)*Leverancer!AX$96/1000)</f>
        <v>0</v>
      </c>
      <c r="X81" s="128" t="str">
        <f ca="1">IF(X$50="","",INDEX(Leverancer!AY:AY,ROW()-ROW(Leverancer!$AU$25)+1)*Leverancer!AY$96/1000)</f>
        <v/>
      </c>
      <c r="Y81" s="128" t="str">
        <f ca="1">IF(Y$50="","",INDEX(Leverancer!AZ:AZ,ROW()-ROW(Leverancer!$AU$25)+1)*Leverancer!AZ$96/1000)</f>
        <v/>
      </c>
      <c r="Z81" s="128" t="str">
        <f ca="1">IF(Z$50="","",INDEX(Leverancer!BA:BA,ROW()-ROW(Leverancer!$AU$25)+1)*Leverancer!BA$96/1000)</f>
        <v/>
      </c>
      <c r="AA81" s="128" t="str">
        <f ca="1">IF(AA$50="","",INDEX(Leverancer!BB:BB,ROW()-ROW(Leverancer!$AU$25)+1)*Leverancer!BB$96/1000)</f>
        <v/>
      </c>
      <c r="AB81" s="128" t="str">
        <f ca="1">IF(AB$50="","",INDEX(Leverancer!BC:BC,ROW()-ROW(Leverancer!$AU$25)+1)*Leverancer!BC$96/1000)</f>
        <v/>
      </c>
      <c r="AC81" s="128" t="str">
        <f ca="1">IF(AC$50="","",INDEX(Leverancer!BD:BD,ROW()-ROW(Leverancer!$AU$25)+1)*Leverancer!BD$96/1000)</f>
        <v/>
      </c>
      <c r="AD81" s="128" t="str">
        <f ca="1">IF(AD$50="","",INDEX(Leverancer!BE:BE,ROW()-ROW(Leverancer!$AU$25)+1)*Leverancer!BE$96/1000)</f>
        <v/>
      </c>
      <c r="AE81" s="128" t="str">
        <f ca="1">IF(AE$50="","",INDEX(Leverancer!BF:BF,ROW()-ROW(Leverancer!$AU$25)+1)*Leverancer!BF$96/1000)</f>
        <v/>
      </c>
      <c r="AF81" s="128" t="str">
        <f ca="1">IF(AF$50="","",INDEX(Leverancer!BG:BG,ROW()-ROW(Leverancer!$AU$25)+1)*Leverancer!BG$96/1000)</f>
        <v/>
      </c>
      <c r="AG81" s="128" t="str">
        <f ca="1">IF(AG$50="","",INDEX(Leverancer!BH:BH,ROW()-ROW(Leverancer!$AU$25)+1)*Leverancer!BH$96/1000)</f>
        <v/>
      </c>
      <c r="AH81" s="128" t="str">
        <f ca="1">IF(AH$50="","",INDEX(Leverancer!BI:BI,ROW()-ROW(Leverancer!$AU$25)+1)*Leverancer!BI$96/1000)</f>
        <v/>
      </c>
      <c r="AI81" s="128" t="str">
        <f ca="1">IF(AI$50="","",INDEX(Leverancer!BJ:BJ,ROW()-ROW(Leverancer!$AU$25)+1)*Leverancer!BJ$96/1000)</f>
        <v/>
      </c>
      <c r="AJ81" s="128" t="str">
        <f ca="1">IF(AJ$50="","",INDEX(Leverancer!BK:BK,ROW()-ROW(Leverancer!$AU$25)+1)*Leverancer!BK$96/1000)</f>
        <v/>
      </c>
      <c r="AK81" s="128" t="str">
        <f ca="1">IF(AK$50="","",INDEX(Leverancer!BL:BL,ROW()-ROW(Leverancer!$AU$25)+1)*Leverancer!BL$96/1000)</f>
        <v/>
      </c>
      <c r="AL81" s="128" t="str">
        <f ca="1">IF(AL$50="","",INDEX(Leverancer!BM:BM,ROW()-ROW(Leverancer!$AU$25)+1)*Leverancer!BM$96/1000)</f>
        <v/>
      </c>
      <c r="AM81" s="128" t="str">
        <f ca="1">IF(AM$50="","",INDEX(Leverancer!BN:BN,ROW()-ROW(Leverancer!$AU$25)+1)*Leverancer!BN$96/1000)</f>
        <v/>
      </c>
      <c r="AN81" s="128" t="str">
        <f ca="1">IF(AN$50="","",INDEX(Leverancer!BO:BO,ROW()-ROW(Leverancer!$AU$25)+1)*Leverancer!BO$96/1000)</f>
        <v/>
      </c>
      <c r="AO81" s="128" t="str">
        <f ca="1">IF(AO$50="","",INDEX(Leverancer!BP:BP,ROW()-ROW(Leverancer!$AU$25)+1)*Leverancer!BP$96/1000)</f>
        <v/>
      </c>
      <c r="AP81" s="128" t="str">
        <f ca="1">IF(AP$50="","",INDEX(Leverancer!BQ:BQ,ROW()-ROW(Leverancer!$AU$25)+1)*Leverancer!BQ$96/1000)</f>
        <v/>
      </c>
      <c r="AQ81" s="128" t="str">
        <f ca="1">IF(AQ$50="","",INDEX(Leverancer!BR:BR,ROW()-ROW(Leverancer!$AU$25)+1)*Leverancer!BR$96/1000)</f>
        <v/>
      </c>
      <c r="AR81" s="128" t="str">
        <f ca="1">IF(AR$50="","",INDEX(Leverancer!BS:BS,ROW()-ROW(Leverancer!$AU$25)+1)*Leverancer!BS$96/1000)</f>
        <v/>
      </c>
      <c r="AS81" s="128" t="str">
        <f ca="1">IF(AS$50="","",INDEX(Leverancer!BT:BT,ROW()-ROW(Leverancer!$AU$25)+1)*Leverancer!BT$96/1000)</f>
        <v/>
      </c>
      <c r="AT81" s="128" t="str">
        <f ca="1">IF(AT$50="","",INDEX(Leverancer!BU:BU,ROW()-ROW(Leverancer!$AU$25)+1)*Leverancer!BU$96/1000)</f>
        <v/>
      </c>
      <c r="AU81" s="128" t="str">
        <f ca="1">IF(AU$50="","",INDEX(Leverancer!BV:BV,ROW()-ROW(Leverancer!$AU$25)+1)*Leverancer!BV$96/1000)</f>
        <v/>
      </c>
      <c r="AV81" s="128" t="str">
        <f ca="1">IF(AV$50="","",INDEX(Leverancer!BW:BW,ROW()-ROW(Leverancer!$AU$25)+1)*Leverancer!BW$96/1000)</f>
        <v/>
      </c>
      <c r="AW81" s="128" t="str">
        <f ca="1">IF(AW$50="","",INDEX(Leverancer!BX:BX,ROW()-ROW(Leverancer!$AU$25)+1)*Leverancer!BX$96/1000)</f>
        <v/>
      </c>
      <c r="AX81" s="104"/>
      <c r="AY81" s="104"/>
      <c r="AZ81" s="101"/>
    </row>
    <row r="82" spans="14:52" ht="12.75" customHeight="1" x14ac:dyDescent="0.25">
      <c r="N82" s="99"/>
      <c r="O82" s="104"/>
      <c r="P82" s="104"/>
      <c r="Q82" s="130" t="str">
        <f>INDEX(Leverancer!$AO$1:$AO$1061,ROW()-ROW(Leverancer!$AU$25)+1)&amp;": "&amp;INDEX(Leverancer!$AP$1:$AP$1061,ROW()-ROW(Leverancer!$AU$25)+1)</f>
        <v xml:space="preserve">L30: </v>
      </c>
      <c r="R82" s="128"/>
      <c r="S82" s="133">
        <f t="shared" ca="1" si="11"/>
        <v>0</v>
      </c>
      <c r="T82" s="128">
        <f ca="1">IF(T$50="","",INDEX(Leverancer!AU:AU,ROW()-ROW(Leverancer!$AU$25)+1)*Leverancer!AU$96/1000)</f>
        <v>0</v>
      </c>
      <c r="U82" s="128">
        <f ca="1">IF(U$50="","",INDEX(Leverancer!AV:AV,ROW()-ROW(Leverancer!$AU$25)+1)*Leverancer!AV$96/1000)</f>
        <v>0</v>
      </c>
      <c r="V82" s="128">
        <f ca="1">IF(V$50="","",INDEX(Leverancer!AW:AW,ROW()-ROW(Leverancer!$AU$25)+1)*Leverancer!AW$96/1000)</f>
        <v>0</v>
      </c>
      <c r="W82" s="128">
        <f ca="1">IF(W$50="","",INDEX(Leverancer!AX:AX,ROW()-ROW(Leverancer!$AU$25)+1)*Leverancer!AX$96/1000)</f>
        <v>0</v>
      </c>
      <c r="X82" s="128" t="str">
        <f ca="1">IF(X$50="","",INDEX(Leverancer!AY:AY,ROW()-ROW(Leverancer!$AU$25)+1)*Leverancer!AY$96/1000)</f>
        <v/>
      </c>
      <c r="Y82" s="128" t="str">
        <f ca="1">IF(Y$50="","",INDEX(Leverancer!AZ:AZ,ROW()-ROW(Leverancer!$AU$25)+1)*Leverancer!AZ$96/1000)</f>
        <v/>
      </c>
      <c r="Z82" s="128" t="str">
        <f ca="1">IF(Z$50="","",INDEX(Leverancer!BA:BA,ROW()-ROW(Leverancer!$AU$25)+1)*Leverancer!BA$96/1000)</f>
        <v/>
      </c>
      <c r="AA82" s="128" t="str">
        <f ca="1">IF(AA$50="","",INDEX(Leverancer!BB:BB,ROW()-ROW(Leverancer!$AU$25)+1)*Leverancer!BB$96/1000)</f>
        <v/>
      </c>
      <c r="AB82" s="128" t="str">
        <f ca="1">IF(AB$50="","",INDEX(Leverancer!BC:BC,ROW()-ROW(Leverancer!$AU$25)+1)*Leverancer!BC$96/1000)</f>
        <v/>
      </c>
      <c r="AC82" s="128" t="str">
        <f ca="1">IF(AC$50="","",INDEX(Leverancer!BD:BD,ROW()-ROW(Leverancer!$AU$25)+1)*Leverancer!BD$96/1000)</f>
        <v/>
      </c>
      <c r="AD82" s="128" t="str">
        <f ca="1">IF(AD$50="","",INDEX(Leverancer!BE:BE,ROW()-ROW(Leverancer!$AU$25)+1)*Leverancer!BE$96/1000)</f>
        <v/>
      </c>
      <c r="AE82" s="128" t="str">
        <f ca="1">IF(AE$50="","",INDEX(Leverancer!BF:BF,ROW()-ROW(Leverancer!$AU$25)+1)*Leverancer!BF$96/1000)</f>
        <v/>
      </c>
      <c r="AF82" s="128" t="str">
        <f ca="1">IF(AF$50="","",INDEX(Leverancer!BG:BG,ROW()-ROW(Leverancer!$AU$25)+1)*Leverancer!BG$96/1000)</f>
        <v/>
      </c>
      <c r="AG82" s="128" t="str">
        <f ca="1">IF(AG$50="","",INDEX(Leverancer!BH:BH,ROW()-ROW(Leverancer!$AU$25)+1)*Leverancer!BH$96/1000)</f>
        <v/>
      </c>
      <c r="AH82" s="128" t="str">
        <f ca="1">IF(AH$50="","",INDEX(Leverancer!BI:BI,ROW()-ROW(Leverancer!$AU$25)+1)*Leverancer!BI$96/1000)</f>
        <v/>
      </c>
      <c r="AI82" s="128" t="str">
        <f ca="1">IF(AI$50="","",INDEX(Leverancer!BJ:BJ,ROW()-ROW(Leverancer!$AU$25)+1)*Leverancer!BJ$96/1000)</f>
        <v/>
      </c>
      <c r="AJ82" s="128" t="str">
        <f ca="1">IF(AJ$50="","",INDEX(Leverancer!BK:BK,ROW()-ROW(Leverancer!$AU$25)+1)*Leverancer!BK$96/1000)</f>
        <v/>
      </c>
      <c r="AK82" s="128" t="str">
        <f ca="1">IF(AK$50="","",INDEX(Leverancer!BL:BL,ROW()-ROW(Leverancer!$AU$25)+1)*Leverancer!BL$96/1000)</f>
        <v/>
      </c>
      <c r="AL82" s="128" t="str">
        <f ca="1">IF(AL$50="","",INDEX(Leverancer!BM:BM,ROW()-ROW(Leverancer!$AU$25)+1)*Leverancer!BM$96/1000)</f>
        <v/>
      </c>
      <c r="AM82" s="128" t="str">
        <f ca="1">IF(AM$50="","",INDEX(Leverancer!BN:BN,ROW()-ROW(Leverancer!$AU$25)+1)*Leverancer!BN$96/1000)</f>
        <v/>
      </c>
      <c r="AN82" s="128" t="str">
        <f ca="1">IF(AN$50="","",INDEX(Leverancer!BO:BO,ROW()-ROW(Leverancer!$AU$25)+1)*Leverancer!BO$96/1000)</f>
        <v/>
      </c>
      <c r="AO82" s="128" t="str">
        <f ca="1">IF(AO$50="","",INDEX(Leverancer!BP:BP,ROW()-ROW(Leverancer!$AU$25)+1)*Leverancer!BP$96/1000)</f>
        <v/>
      </c>
      <c r="AP82" s="128" t="str">
        <f ca="1">IF(AP$50="","",INDEX(Leverancer!BQ:BQ,ROW()-ROW(Leverancer!$AU$25)+1)*Leverancer!BQ$96/1000)</f>
        <v/>
      </c>
      <c r="AQ82" s="128" t="str">
        <f ca="1">IF(AQ$50="","",INDEX(Leverancer!BR:BR,ROW()-ROW(Leverancer!$AU$25)+1)*Leverancer!BR$96/1000)</f>
        <v/>
      </c>
      <c r="AR82" s="128" t="str">
        <f ca="1">IF(AR$50="","",INDEX(Leverancer!BS:BS,ROW()-ROW(Leverancer!$AU$25)+1)*Leverancer!BS$96/1000)</f>
        <v/>
      </c>
      <c r="AS82" s="128" t="str">
        <f ca="1">IF(AS$50="","",INDEX(Leverancer!BT:BT,ROW()-ROW(Leverancer!$AU$25)+1)*Leverancer!BT$96/1000)</f>
        <v/>
      </c>
      <c r="AT82" s="128" t="str">
        <f ca="1">IF(AT$50="","",INDEX(Leverancer!BU:BU,ROW()-ROW(Leverancer!$AU$25)+1)*Leverancer!BU$96/1000)</f>
        <v/>
      </c>
      <c r="AU82" s="128" t="str">
        <f ca="1">IF(AU$50="","",INDEX(Leverancer!BV:BV,ROW()-ROW(Leverancer!$AU$25)+1)*Leverancer!BV$96/1000)</f>
        <v/>
      </c>
      <c r="AV82" s="128" t="str">
        <f ca="1">IF(AV$50="","",INDEX(Leverancer!BW:BW,ROW()-ROW(Leverancer!$AU$25)+1)*Leverancer!BW$96/1000)</f>
        <v/>
      </c>
      <c r="AW82" s="128" t="str">
        <f ca="1">IF(AW$50="","",INDEX(Leverancer!BX:BX,ROW()-ROW(Leverancer!$AU$25)+1)*Leverancer!BX$96/1000)</f>
        <v/>
      </c>
      <c r="AX82" s="104"/>
      <c r="AY82" s="104"/>
      <c r="AZ82" s="101"/>
    </row>
    <row r="83" spans="14:52" ht="12.75" hidden="1" customHeight="1" outlineLevel="1" x14ac:dyDescent="0.25">
      <c r="N83" s="99"/>
      <c r="O83" s="104"/>
      <c r="P83" s="104"/>
      <c r="Q83" s="130" t="str">
        <f>INDEX(Leverancer!$AO$1:$AO$1061,ROW()-ROW(Leverancer!$AU$25)+1)&amp;": "&amp;INDEX(Leverancer!$AP$1:$AP$1061,ROW()-ROW(Leverancer!$AU$25)+1)</f>
        <v xml:space="preserve">L31: </v>
      </c>
      <c r="R83" s="128"/>
      <c r="S83" s="133">
        <f t="shared" ca="1" si="11"/>
        <v>0</v>
      </c>
      <c r="T83" s="128">
        <f ca="1">IF(T$50="","",INDEX(Leverancer!AU:AU,ROW()-ROW(Leverancer!$AU$25)+1)*Leverancer!AU$96/1000)</f>
        <v>0</v>
      </c>
      <c r="U83" s="128">
        <f ca="1">IF(U$50="","",INDEX(Leverancer!AV:AV,ROW()-ROW(Leverancer!$AU$25)+1)*Leverancer!AV$96/1000)</f>
        <v>0</v>
      </c>
      <c r="V83" s="128">
        <f ca="1">IF(V$50="","",INDEX(Leverancer!AW:AW,ROW()-ROW(Leverancer!$AU$25)+1)*Leverancer!AW$96/1000)</f>
        <v>0</v>
      </c>
      <c r="W83" s="128">
        <f ca="1">IF(W$50="","",INDEX(Leverancer!AX:AX,ROW()-ROW(Leverancer!$AU$25)+1)*Leverancer!AX$96/1000)</f>
        <v>0</v>
      </c>
      <c r="X83" s="128" t="str">
        <f ca="1">IF(X$50="","",INDEX(Leverancer!AY:AY,ROW()-ROW(Leverancer!$AU$25)+1)*Leverancer!AY$96/1000)</f>
        <v/>
      </c>
      <c r="Y83" s="128" t="str">
        <f ca="1">IF(Y$50="","",INDEX(Leverancer!AZ:AZ,ROW()-ROW(Leverancer!$AU$25)+1)*Leverancer!AZ$96/1000)</f>
        <v/>
      </c>
      <c r="Z83" s="128" t="str">
        <f ca="1">IF(Z$50="","",INDEX(Leverancer!BA:BA,ROW()-ROW(Leverancer!$AU$25)+1)*Leverancer!BA$96/1000)</f>
        <v/>
      </c>
      <c r="AA83" s="128" t="str">
        <f ca="1">IF(AA$50="","",INDEX(Leverancer!BB:BB,ROW()-ROW(Leverancer!$AU$25)+1)*Leverancer!BB$96/1000)</f>
        <v/>
      </c>
      <c r="AB83" s="128" t="str">
        <f ca="1">IF(AB$50="","",INDEX(Leverancer!BC:BC,ROW()-ROW(Leverancer!$AU$25)+1)*Leverancer!BC$96/1000)</f>
        <v/>
      </c>
      <c r="AC83" s="128" t="str">
        <f ca="1">IF(AC$50="","",INDEX(Leverancer!BD:BD,ROW()-ROW(Leverancer!$AU$25)+1)*Leverancer!BD$96/1000)</f>
        <v/>
      </c>
      <c r="AD83" s="128" t="str">
        <f ca="1">IF(AD$50="","",INDEX(Leverancer!BE:BE,ROW()-ROW(Leverancer!$AU$25)+1)*Leverancer!BE$96/1000)</f>
        <v/>
      </c>
      <c r="AE83" s="128" t="str">
        <f ca="1">IF(AE$50="","",INDEX(Leverancer!BF:BF,ROW()-ROW(Leverancer!$AU$25)+1)*Leverancer!BF$96/1000)</f>
        <v/>
      </c>
      <c r="AF83" s="128" t="str">
        <f ca="1">IF(AF$50="","",INDEX(Leverancer!BG:BG,ROW()-ROW(Leverancer!$AU$25)+1)*Leverancer!BG$96/1000)</f>
        <v/>
      </c>
      <c r="AG83" s="128" t="str">
        <f ca="1">IF(AG$50="","",INDEX(Leverancer!BH:BH,ROW()-ROW(Leverancer!$AU$25)+1)*Leverancer!BH$96/1000)</f>
        <v/>
      </c>
      <c r="AH83" s="128" t="str">
        <f ca="1">IF(AH$50="","",INDEX(Leverancer!BI:BI,ROW()-ROW(Leverancer!$AU$25)+1)*Leverancer!BI$96/1000)</f>
        <v/>
      </c>
      <c r="AI83" s="128" t="str">
        <f ca="1">IF(AI$50="","",INDEX(Leverancer!BJ:BJ,ROW()-ROW(Leverancer!$AU$25)+1)*Leverancer!BJ$96/1000)</f>
        <v/>
      </c>
      <c r="AJ83" s="128" t="str">
        <f ca="1">IF(AJ$50="","",INDEX(Leverancer!BK:BK,ROW()-ROW(Leverancer!$AU$25)+1)*Leverancer!BK$96/1000)</f>
        <v/>
      </c>
      <c r="AK83" s="128" t="str">
        <f ca="1">IF(AK$50="","",INDEX(Leverancer!BL:BL,ROW()-ROW(Leverancer!$AU$25)+1)*Leverancer!BL$96/1000)</f>
        <v/>
      </c>
      <c r="AL83" s="128" t="str">
        <f ca="1">IF(AL$50="","",INDEX(Leverancer!BM:BM,ROW()-ROW(Leverancer!$AU$25)+1)*Leverancer!BM$96/1000)</f>
        <v/>
      </c>
      <c r="AM83" s="128" t="str">
        <f ca="1">IF(AM$50="","",INDEX(Leverancer!BN:BN,ROW()-ROW(Leverancer!$AU$25)+1)*Leverancer!BN$96/1000)</f>
        <v/>
      </c>
      <c r="AN83" s="128" t="str">
        <f ca="1">IF(AN$50="","",INDEX(Leverancer!BO:BO,ROW()-ROW(Leverancer!$AU$25)+1)*Leverancer!BO$96/1000)</f>
        <v/>
      </c>
      <c r="AO83" s="128" t="str">
        <f ca="1">IF(AO$50="","",INDEX(Leverancer!BP:BP,ROW()-ROW(Leverancer!$AU$25)+1)*Leverancer!BP$96/1000)</f>
        <v/>
      </c>
      <c r="AP83" s="128" t="str">
        <f ca="1">IF(AP$50="","",INDEX(Leverancer!BQ:BQ,ROW()-ROW(Leverancer!$AU$25)+1)*Leverancer!BQ$96/1000)</f>
        <v/>
      </c>
      <c r="AQ83" s="128" t="str">
        <f ca="1">IF(AQ$50="","",INDEX(Leverancer!BR:BR,ROW()-ROW(Leverancer!$AU$25)+1)*Leverancer!BR$96/1000)</f>
        <v/>
      </c>
      <c r="AR83" s="128" t="str">
        <f ca="1">IF(AR$50="","",INDEX(Leverancer!BS:BS,ROW()-ROW(Leverancer!$AU$25)+1)*Leverancer!BS$96/1000)</f>
        <v/>
      </c>
      <c r="AS83" s="128" t="str">
        <f ca="1">IF(AS$50="","",INDEX(Leverancer!BT:BT,ROW()-ROW(Leverancer!$AU$25)+1)*Leverancer!BT$96/1000)</f>
        <v/>
      </c>
      <c r="AT83" s="128" t="str">
        <f ca="1">IF(AT$50="","",INDEX(Leverancer!BU:BU,ROW()-ROW(Leverancer!$AU$25)+1)*Leverancer!BU$96/1000)</f>
        <v/>
      </c>
      <c r="AU83" s="128" t="str">
        <f ca="1">IF(AU$50="","",INDEX(Leverancer!BV:BV,ROW()-ROW(Leverancer!$AU$25)+1)*Leverancer!BV$96/1000)</f>
        <v/>
      </c>
      <c r="AV83" s="128" t="str">
        <f ca="1">IF(AV$50="","",INDEX(Leverancer!BW:BW,ROW()-ROW(Leverancer!$AU$25)+1)*Leverancer!BW$96/1000)</f>
        <v/>
      </c>
      <c r="AW83" s="128" t="str">
        <f ca="1">IF(AW$50="","",INDEX(Leverancer!BX:BX,ROW()-ROW(Leverancer!$AU$25)+1)*Leverancer!BX$96/1000)</f>
        <v/>
      </c>
      <c r="AX83" s="104"/>
      <c r="AY83" s="104"/>
      <c r="AZ83" s="101"/>
    </row>
    <row r="84" spans="14:52" ht="12.75" hidden="1" customHeight="1" outlineLevel="1" x14ac:dyDescent="0.25">
      <c r="N84" s="99"/>
      <c r="O84" s="104"/>
      <c r="P84" s="104"/>
      <c r="Q84" s="130" t="str">
        <f>INDEX(Leverancer!$AO$1:$AO$1061,ROW()-ROW(Leverancer!$AU$25)+1)&amp;": "&amp;INDEX(Leverancer!$AP$1:$AP$1061,ROW()-ROW(Leverancer!$AU$25)+1)</f>
        <v xml:space="preserve">L32: </v>
      </c>
      <c r="R84" s="128"/>
      <c r="S84" s="133">
        <f t="shared" ca="1" si="11"/>
        <v>0</v>
      </c>
      <c r="T84" s="128">
        <f ca="1">IF(T$50="","",INDEX(Leverancer!AU:AU,ROW()-ROW(Leverancer!$AU$25)+1)*Leverancer!AU$96/1000)</f>
        <v>0</v>
      </c>
      <c r="U84" s="128">
        <f ca="1">IF(U$50="","",INDEX(Leverancer!AV:AV,ROW()-ROW(Leverancer!$AU$25)+1)*Leverancer!AV$96/1000)</f>
        <v>0</v>
      </c>
      <c r="V84" s="128">
        <f ca="1">IF(V$50="","",INDEX(Leverancer!AW:AW,ROW()-ROW(Leverancer!$AU$25)+1)*Leverancer!AW$96/1000)</f>
        <v>0</v>
      </c>
      <c r="W84" s="128">
        <f ca="1">IF(W$50="","",INDEX(Leverancer!AX:AX,ROW()-ROW(Leverancer!$AU$25)+1)*Leverancer!AX$96/1000)</f>
        <v>0</v>
      </c>
      <c r="X84" s="128" t="str">
        <f ca="1">IF(X$50="","",INDEX(Leverancer!AY:AY,ROW()-ROW(Leverancer!$AU$25)+1)*Leverancer!AY$96/1000)</f>
        <v/>
      </c>
      <c r="Y84" s="128" t="str">
        <f ca="1">IF(Y$50="","",INDEX(Leverancer!AZ:AZ,ROW()-ROW(Leverancer!$AU$25)+1)*Leverancer!AZ$96/1000)</f>
        <v/>
      </c>
      <c r="Z84" s="128" t="str">
        <f ca="1">IF(Z$50="","",INDEX(Leverancer!BA:BA,ROW()-ROW(Leverancer!$AU$25)+1)*Leverancer!BA$96/1000)</f>
        <v/>
      </c>
      <c r="AA84" s="128" t="str">
        <f ca="1">IF(AA$50="","",INDEX(Leverancer!BB:BB,ROW()-ROW(Leverancer!$AU$25)+1)*Leverancer!BB$96/1000)</f>
        <v/>
      </c>
      <c r="AB84" s="128" t="str">
        <f ca="1">IF(AB$50="","",INDEX(Leverancer!BC:BC,ROW()-ROW(Leverancer!$AU$25)+1)*Leverancer!BC$96/1000)</f>
        <v/>
      </c>
      <c r="AC84" s="128" t="str">
        <f ca="1">IF(AC$50="","",INDEX(Leverancer!BD:BD,ROW()-ROW(Leverancer!$AU$25)+1)*Leverancer!BD$96/1000)</f>
        <v/>
      </c>
      <c r="AD84" s="128" t="str">
        <f ca="1">IF(AD$50="","",INDEX(Leverancer!BE:BE,ROW()-ROW(Leverancer!$AU$25)+1)*Leverancer!BE$96/1000)</f>
        <v/>
      </c>
      <c r="AE84" s="128" t="str">
        <f ca="1">IF(AE$50="","",INDEX(Leverancer!BF:BF,ROW()-ROW(Leverancer!$AU$25)+1)*Leverancer!BF$96/1000)</f>
        <v/>
      </c>
      <c r="AF84" s="128" t="str">
        <f ca="1">IF(AF$50="","",INDEX(Leverancer!BG:BG,ROW()-ROW(Leverancer!$AU$25)+1)*Leverancer!BG$96/1000)</f>
        <v/>
      </c>
      <c r="AG84" s="128" t="str">
        <f ca="1">IF(AG$50="","",INDEX(Leverancer!BH:BH,ROW()-ROW(Leverancer!$AU$25)+1)*Leverancer!BH$96/1000)</f>
        <v/>
      </c>
      <c r="AH84" s="128" t="str">
        <f ca="1">IF(AH$50="","",INDEX(Leverancer!BI:BI,ROW()-ROW(Leverancer!$AU$25)+1)*Leverancer!BI$96/1000)</f>
        <v/>
      </c>
      <c r="AI84" s="128" t="str">
        <f ca="1">IF(AI$50="","",INDEX(Leverancer!BJ:BJ,ROW()-ROW(Leverancer!$AU$25)+1)*Leverancer!BJ$96/1000)</f>
        <v/>
      </c>
      <c r="AJ84" s="128" t="str">
        <f ca="1">IF(AJ$50="","",INDEX(Leverancer!BK:BK,ROW()-ROW(Leverancer!$AU$25)+1)*Leverancer!BK$96/1000)</f>
        <v/>
      </c>
      <c r="AK84" s="128" t="str">
        <f ca="1">IF(AK$50="","",INDEX(Leverancer!BL:BL,ROW()-ROW(Leverancer!$AU$25)+1)*Leverancer!BL$96/1000)</f>
        <v/>
      </c>
      <c r="AL84" s="128" t="str">
        <f ca="1">IF(AL$50="","",INDEX(Leverancer!BM:BM,ROW()-ROW(Leverancer!$AU$25)+1)*Leverancer!BM$96/1000)</f>
        <v/>
      </c>
      <c r="AM84" s="128" t="str">
        <f ca="1">IF(AM$50="","",INDEX(Leverancer!BN:BN,ROW()-ROW(Leverancer!$AU$25)+1)*Leverancer!BN$96/1000)</f>
        <v/>
      </c>
      <c r="AN84" s="128" t="str">
        <f ca="1">IF(AN$50="","",INDEX(Leverancer!BO:BO,ROW()-ROW(Leverancer!$AU$25)+1)*Leverancer!BO$96/1000)</f>
        <v/>
      </c>
      <c r="AO84" s="128" t="str">
        <f ca="1">IF(AO$50="","",INDEX(Leverancer!BP:BP,ROW()-ROW(Leverancer!$AU$25)+1)*Leverancer!BP$96/1000)</f>
        <v/>
      </c>
      <c r="AP84" s="128" t="str">
        <f ca="1">IF(AP$50="","",INDEX(Leverancer!BQ:BQ,ROW()-ROW(Leverancer!$AU$25)+1)*Leverancer!BQ$96/1000)</f>
        <v/>
      </c>
      <c r="AQ84" s="128" t="str">
        <f ca="1">IF(AQ$50="","",INDEX(Leverancer!BR:BR,ROW()-ROW(Leverancer!$AU$25)+1)*Leverancer!BR$96/1000)</f>
        <v/>
      </c>
      <c r="AR84" s="128" t="str">
        <f ca="1">IF(AR$50="","",INDEX(Leverancer!BS:BS,ROW()-ROW(Leverancer!$AU$25)+1)*Leverancer!BS$96/1000)</f>
        <v/>
      </c>
      <c r="AS84" s="128" t="str">
        <f ca="1">IF(AS$50="","",INDEX(Leverancer!BT:BT,ROW()-ROW(Leverancer!$AU$25)+1)*Leverancer!BT$96/1000)</f>
        <v/>
      </c>
      <c r="AT84" s="128" t="str">
        <f ca="1">IF(AT$50="","",INDEX(Leverancer!BU:BU,ROW()-ROW(Leverancer!$AU$25)+1)*Leverancer!BU$96/1000)</f>
        <v/>
      </c>
      <c r="AU84" s="128" t="str">
        <f ca="1">IF(AU$50="","",INDEX(Leverancer!BV:BV,ROW()-ROW(Leverancer!$AU$25)+1)*Leverancer!BV$96/1000)</f>
        <v/>
      </c>
      <c r="AV84" s="128" t="str">
        <f ca="1">IF(AV$50="","",INDEX(Leverancer!BW:BW,ROW()-ROW(Leverancer!$AU$25)+1)*Leverancer!BW$96/1000)</f>
        <v/>
      </c>
      <c r="AW84" s="128" t="str">
        <f ca="1">IF(AW$50="","",INDEX(Leverancer!BX:BX,ROW()-ROW(Leverancer!$AU$25)+1)*Leverancer!BX$96/1000)</f>
        <v/>
      </c>
      <c r="AX84" s="104"/>
      <c r="AY84" s="104"/>
      <c r="AZ84" s="101"/>
    </row>
    <row r="85" spans="14:52" ht="12.75" hidden="1" customHeight="1" outlineLevel="1" x14ac:dyDescent="0.25">
      <c r="N85" s="99"/>
      <c r="O85" s="104"/>
      <c r="P85" s="104"/>
      <c r="Q85" s="130" t="str">
        <f>INDEX(Leverancer!$AO$1:$AO$1061,ROW()-ROW(Leverancer!$AU$25)+1)&amp;": "&amp;INDEX(Leverancer!$AP$1:$AP$1061,ROW()-ROW(Leverancer!$AU$25)+1)</f>
        <v xml:space="preserve">L33: </v>
      </c>
      <c r="R85" s="128"/>
      <c r="S85" s="133">
        <f t="shared" ca="1" si="11"/>
        <v>0</v>
      </c>
      <c r="T85" s="128">
        <f ca="1">IF(T$50="","",INDEX(Leverancer!AU:AU,ROW()-ROW(Leverancer!$AU$25)+1)*Leverancer!AU$96/1000)</f>
        <v>0</v>
      </c>
      <c r="U85" s="128">
        <f ca="1">IF(U$50="","",INDEX(Leverancer!AV:AV,ROW()-ROW(Leverancer!$AU$25)+1)*Leverancer!AV$96/1000)</f>
        <v>0</v>
      </c>
      <c r="V85" s="128">
        <f ca="1">IF(V$50="","",INDEX(Leverancer!AW:AW,ROW()-ROW(Leverancer!$AU$25)+1)*Leverancer!AW$96/1000)</f>
        <v>0</v>
      </c>
      <c r="W85" s="128">
        <f ca="1">IF(W$50="","",INDEX(Leverancer!AX:AX,ROW()-ROW(Leverancer!$AU$25)+1)*Leverancer!AX$96/1000)</f>
        <v>0</v>
      </c>
      <c r="X85" s="128" t="str">
        <f ca="1">IF(X$50="","",INDEX(Leverancer!AY:AY,ROW()-ROW(Leverancer!$AU$25)+1)*Leverancer!AY$96/1000)</f>
        <v/>
      </c>
      <c r="Y85" s="128" t="str">
        <f ca="1">IF(Y$50="","",INDEX(Leverancer!AZ:AZ,ROW()-ROW(Leverancer!$AU$25)+1)*Leverancer!AZ$96/1000)</f>
        <v/>
      </c>
      <c r="Z85" s="128" t="str">
        <f ca="1">IF(Z$50="","",INDEX(Leverancer!BA:BA,ROW()-ROW(Leverancer!$AU$25)+1)*Leverancer!BA$96/1000)</f>
        <v/>
      </c>
      <c r="AA85" s="128" t="str">
        <f ca="1">IF(AA$50="","",INDEX(Leverancer!BB:BB,ROW()-ROW(Leverancer!$AU$25)+1)*Leverancer!BB$96/1000)</f>
        <v/>
      </c>
      <c r="AB85" s="128" t="str">
        <f ca="1">IF(AB$50="","",INDEX(Leverancer!BC:BC,ROW()-ROW(Leverancer!$AU$25)+1)*Leverancer!BC$96/1000)</f>
        <v/>
      </c>
      <c r="AC85" s="128" t="str">
        <f ca="1">IF(AC$50="","",INDEX(Leverancer!BD:BD,ROW()-ROW(Leverancer!$AU$25)+1)*Leverancer!BD$96/1000)</f>
        <v/>
      </c>
      <c r="AD85" s="128" t="str">
        <f ca="1">IF(AD$50="","",INDEX(Leverancer!BE:BE,ROW()-ROW(Leverancer!$AU$25)+1)*Leverancer!BE$96/1000)</f>
        <v/>
      </c>
      <c r="AE85" s="128" t="str">
        <f ca="1">IF(AE$50="","",INDEX(Leverancer!BF:BF,ROW()-ROW(Leverancer!$AU$25)+1)*Leverancer!BF$96/1000)</f>
        <v/>
      </c>
      <c r="AF85" s="128" t="str">
        <f ca="1">IF(AF$50="","",INDEX(Leverancer!BG:BG,ROW()-ROW(Leverancer!$AU$25)+1)*Leverancer!BG$96/1000)</f>
        <v/>
      </c>
      <c r="AG85" s="128" t="str">
        <f ca="1">IF(AG$50="","",INDEX(Leverancer!BH:BH,ROW()-ROW(Leverancer!$AU$25)+1)*Leverancer!BH$96/1000)</f>
        <v/>
      </c>
      <c r="AH85" s="128" t="str">
        <f ca="1">IF(AH$50="","",INDEX(Leverancer!BI:BI,ROW()-ROW(Leverancer!$AU$25)+1)*Leverancer!BI$96/1000)</f>
        <v/>
      </c>
      <c r="AI85" s="128" t="str">
        <f ca="1">IF(AI$50="","",INDEX(Leverancer!BJ:BJ,ROW()-ROW(Leverancer!$AU$25)+1)*Leverancer!BJ$96/1000)</f>
        <v/>
      </c>
      <c r="AJ85" s="128" t="str">
        <f ca="1">IF(AJ$50="","",INDEX(Leverancer!BK:BK,ROW()-ROW(Leverancer!$AU$25)+1)*Leverancer!BK$96/1000)</f>
        <v/>
      </c>
      <c r="AK85" s="128" t="str">
        <f ca="1">IF(AK$50="","",INDEX(Leverancer!BL:BL,ROW()-ROW(Leverancer!$AU$25)+1)*Leverancer!BL$96/1000)</f>
        <v/>
      </c>
      <c r="AL85" s="128" t="str">
        <f ca="1">IF(AL$50="","",INDEX(Leverancer!BM:BM,ROW()-ROW(Leverancer!$AU$25)+1)*Leverancer!BM$96/1000)</f>
        <v/>
      </c>
      <c r="AM85" s="128" t="str">
        <f ca="1">IF(AM$50="","",INDEX(Leverancer!BN:BN,ROW()-ROW(Leverancer!$AU$25)+1)*Leverancer!BN$96/1000)</f>
        <v/>
      </c>
      <c r="AN85" s="128" t="str">
        <f ca="1">IF(AN$50="","",INDEX(Leverancer!BO:BO,ROW()-ROW(Leverancer!$AU$25)+1)*Leverancer!BO$96/1000)</f>
        <v/>
      </c>
      <c r="AO85" s="128" t="str">
        <f ca="1">IF(AO$50="","",INDEX(Leverancer!BP:BP,ROW()-ROW(Leverancer!$AU$25)+1)*Leverancer!BP$96/1000)</f>
        <v/>
      </c>
      <c r="AP85" s="128" t="str">
        <f ca="1">IF(AP$50="","",INDEX(Leverancer!BQ:BQ,ROW()-ROW(Leverancer!$AU$25)+1)*Leverancer!BQ$96/1000)</f>
        <v/>
      </c>
      <c r="AQ85" s="128" t="str">
        <f ca="1">IF(AQ$50="","",INDEX(Leverancer!BR:BR,ROW()-ROW(Leverancer!$AU$25)+1)*Leverancer!BR$96/1000)</f>
        <v/>
      </c>
      <c r="AR85" s="128" t="str">
        <f ca="1">IF(AR$50="","",INDEX(Leverancer!BS:BS,ROW()-ROW(Leverancer!$AU$25)+1)*Leverancer!BS$96/1000)</f>
        <v/>
      </c>
      <c r="AS85" s="128" t="str">
        <f ca="1">IF(AS$50="","",INDEX(Leverancer!BT:BT,ROW()-ROW(Leverancer!$AU$25)+1)*Leverancer!BT$96/1000)</f>
        <v/>
      </c>
      <c r="AT85" s="128" t="str">
        <f ca="1">IF(AT$50="","",INDEX(Leverancer!BU:BU,ROW()-ROW(Leverancer!$AU$25)+1)*Leverancer!BU$96/1000)</f>
        <v/>
      </c>
      <c r="AU85" s="128" t="str">
        <f ca="1">IF(AU$50="","",INDEX(Leverancer!BV:BV,ROW()-ROW(Leverancer!$AU$25)+1)*Leverancer!BV$96/1000)</f>
        <v/>
      </c>
      <c r="AV85" s="128" t="str">
        <f ca="1">IF(AV$50="","",INDEX(Leverancer!BW:BW,ROW()-ROW(Leverancer!$AU$25)+1)*Leverancer!BW$96/1000)</f>
        <v/>
      </c>
      <c r="AW85" s="128" t="str">
        <f ca="1">IF(AW$50="","",INDEX(Leverancer!BX:BX,ROW()-ROW(Leverancer!$AU$25)+1)*Leverancer!BX$96/1000)</f>
        <v/>
      </c>
      <c r="AX85" s="104"/>
      <c r="AY85" s="104"/>
      <c r="AZ85" s="101"/>
    </row>
    <row r="86" spans="14:52" ht="12.75" hidden="1" customHeight="1" outlineLevel="1" x14ac:dyDescent="0.25">
      <c r="N86" s="99"/>
      <c r="O86" s="104"/>
      <c r="P86" s="104"/>
      <c r="Q86" s="130" t="str">
        <f>INDEX(Leverancer!$AO$1:$AO$1061,ROW()-ROW(Leverancer!$AU$25)+1)&amp;": "&amp;INDEX(Leverancer!$AP$1:$AP$1061,ROW()-ROW(Leverancer!$AU$25)+1)</f>
        <v xml:space="preserve">L34: </v>
      </c>
      <c r="R86" s="128"/>
      <c r="S86" s="133">
        <f t="shared" ca="1" si="11"/>
        <v>0</v>
      </c>
      <c r="T86" s="128">
        <f ca="1">IF(T$50="","",INDEX(Leverancer!AU:AU,ROW()-ROW(Leverancer!$AU$25)+1)*Leverancer!AU$96/1000)</f>
        <v>0</v>
      </c>
      <c r="U86" s="128">
        <f ca="1">IF(U$50="","",INDEX(Leverancer!AV:AV,ROW()-ROW(Leverancer!$AU$25)+1)*Leverancer!AV$96/1000)</f>
        <v>0</v>
      </c>
      <c r="V86" s="128">
        <f ca="1">IF(V$50="","",INDEX(Leverancer!AW:AW,ROW()-ROW(Leverancer!$AU$25)+1)*Leverancer!AW$96/1000)</f>
        <v>0</v>
      </c>
      <c r="W86" s="128">
        <f ca="1">IF(W$50="","",INDEX(Leverancer!AX:AX,ROW()-ROW(Leverancer!$AU$25)+1)*Leverancer!AX$96/1000)</f>
        <v>0</v>
      </c>
      <c r="X86" s="128" t="str">
        <f ca="1">IF(X$50="","",INDEX(Leverancer!AY:AY,ROW()-ROW(Leverancer!$AU$25)+1)*Leverancer!AY$96/1000)</f>
        <v/>
      </c>
      <c r="Y86" s="128" t="str">
        <f ca="1">IF(Y$50="","",INDEX(Leverancer!AZ:AZ,ROW()-ROW(Leverancer!$AU$25)+1)*Leverancer!AZ$96/1000)</f>
        <v/>
      </c>
      <c r="Z86" s="128" t="str">
        <f ca="1">IF(Z$50="","",INDEX(Leverancer!BA:BA,ROW()-ROW(Leverancer!$AU$25)+1)*Leverancer!BA$96/1000)</f>
        <v/>
      </c>
      <c r="AA86" s="128" t="str">
        <f ca="1">IF(AA$50="","",INDEX(Leverancer!BB:BB,ROW()-ROW(Leverancer!$AU$25)+1)*Leverancer!BB$96/1000)</f>
        <v/>
      </c>
      <c r="AB86" s="128" t="str">
        <f ca="1">IF(AB$50="","",INDEX(Leverancer!BC:BC,ROW()-ROW(Leverancer!$AU$25)+1)*Leverancer!BC$96/1000)</f>
        <v/>
      </c>
      <c r="AC86" s="128" t="str">
        <f ca="1">IF(AC$50="","",INDEX(Leverancer!BD:BD,ROW()-ROW(Leverancer!$AU$25)+1)*Leverancer!BD$96/1000)</f>
        <v/>
      </c>
      <c r="AD86" s="128" t="str">
        <f ca="1">IF(AD$50="","",INDEX(Leverancer!BE:BE,ROW()-ROW(Leverancer!$AU$25)+1)*Leverancer!BE$96/1000)</f>
        <v/>
      </c>
      <c r="AE86" s="128" t="str">
        <f ca="1">IF(AE$50="","",INDEX(Leverancer!BF:BF,ROW()-ROW(Leverancer!$AU$25)+1)*Leverancer!BF$96/1000)</f>
        <v/>
      </c>
      <c r="AF86" s="128" t="str">
        <f ca="1">IF(AF$50="","",INDEX(Leverancer!BG:BG,ROW()-ROW(Leverancer!$AU$25)+1)*Leverancer!BG$96/1000)</f>
        <v/>
      </c>
      <c r="AG86" s="128" t="str">
        <f ca="1">IF(AG$50="","",INDEX(Leverancer!BH:BH,ROW()-ROW(Leverancer!$AU$25)+1)*Leverancer!BH$96/1000)</f>
        <v/>
      </c>
      <c r="AH86" s="128" t="str">
        <f ca="1">IF(AH$50="","",INDEX(Leverancer!BI:BI,ROW()-ROW(Leverancer!$AU$25)+1)*Leverancer!BI$96/1000)</f>
        <v/>
      </c>
      <c r="AI86" s="128" t="str">
        <f ca="1">IF(AI$50="","",INDEX(Leverancer!BJ:BJ,ROW()-ROW(Leverancer!$AU$25)+1)*Leverancer!BJ$96/1000)</f>
        <v/>
      </c>
      <c r="AJ86" s="128" t="str">
        <f ca="1">IF(AJ$50="","",INDEX(Leverancer!BK:BK,ROW()-ROW(Leverancer!$AU$25)+1)*Leverancer!BK$96/1000)</f>
        <v/>
      </c>
      <c r="AK86" s="128" t="str">
        <f ca="1">IF(AK$50="","",INDEX(Leverancer!BL:BL,ROW()-ROW(Leverancer!$AU$25)+1)*Leverancer!BL$96/1000)</f>
        <v/>
      </c>
      <c r="AL86" s="128" t="str">
        <f ca="1">IF(AL$50="","",INDEX(Leverancer!BM:BM,ROW()-ROW(Leverancer!$AU$25)+1)*Leverancer!BM$96/1000)</f>
        <v/>
      </c>
      <c r="AM86" s="128" t="str">
        <f ca="1">IF(AM$50="","",INDEX(Leverancer!BN:BN,ROW()-ROW(Leverancer!$AU$25)+1)*Leverancer!BN$96/1000)</f>
        <v/>
      </c>
      <c r="AN86" s="128" t="str">
        <f ca="1">IF(AN$50="","",INDEX(Leverancer!BO:BO,ROW()-ROW(Leverancer!$AU$25)+1)*Leverancer!BO$96/1000)</f>
        <v/>
      </c>
      <c r="AO86" s="128" t="str">
        <f ca="1">IF(AO$50="","",INDEX(Leverancer!BP:BP,ROW()-ROW(Leverancer!$AU$25)+1)*Leverancer!BP$96/1000)</f>
        <v/>
      </c>
      <c r="AP86" s="128" t="str">
        <f ca="1">IF(AP$50="","",INDEX(Leverancer!BQ:BQ,ROW()-ROW(Leverancer!$AU$25)+1)*Leverancer!BQ$96/1000)</f>
        <v/>
      </c>
      <c r="AQ86" s="128" t="str">
        <f ca="1">IF(AQ$50="","",INDEX(Leverancer!BR:BR,ROW()-ROW(Leverancer!$AU$25)+1)*Leverancer!BR$96/1000)</f>
        <v/>
      </c>
      <c r="AR86" s="128" t="str">
        <f ca="1">IF(AR$50="","",INDEX(Leverancer!BS:BS,ROW()-ROW(Leverancer!$AU$25)+1)*Leverancer!BS$96/1000)</f>
        <v/>
      </c>
      <c r="AS86" s="128" t="str">
        <f ca="1">IF(AS$50="","",INDEX(Leverancer!BT:BT,ROW()-ROW(Leverancer!$AU$25)+1)*Leverancer!BT$96/1000)</f>
        <v/>
      </c>
      <c r="AT86" s="128" t="str">
        <f ca="1">IF(AT$50="","",INDEX(Leverancer!BU:BU,ROW()-ROW(Leverancer!$AU$25)+1)*Leverancer!BU$96/1000)</f>
        <v/>
      </c>
      <c r="AU86" s="128" t="str">
        <f ca="1">IF(AU$50="","",INDEX(Leverancer!BV:BV,ROW()-ROW(Leverancer!$AU$25)+1)*Leverancer!BV$96/1000)</f>
        <v/>
      </c>
      <c r="AV86" s="128" t="str">
        <f ca="1">IF(AV$50="","",INDEX(Leverancer!BW:BW,ROW()-ROW(Leverancer!$AU$25)+1)*Leverancer!BW$96/1000)</f>
        <v/>
      </c>
      <c r="AW86" s="128" t="str">
        <f ca="1">IF(AW$50="","",INDEX(Leverancer!BX:BX,ROW()-ROW(Leverancer!$AU$25)+1)*Leverancer!BX$96/1000)</f>
        <v/>
      </c>
      <c r="AX86" s="104"/>
      <c r="AY86" s="104"/>
      <c r="AZ86" s="101"/>
    </row>
    <row r="87" spans="14:52" ht="12.75" hidden="1" customHeight="1" outlineLevel="1" x14ac:dyDescent="0.25">
      <c r="N87" s="99"/>
      <c r="O87" s="104"/>
      <c r="P87" s="104"/>
      <c r="Q87" s="130" t="str">
        <f>INDEX(Leverancer!$AO$1:$AO$1061,ROW()-ROW(Leverancer!$AU$25)+1)&amp;": "&amp;INDEX(Leverancer!$AP$1:$AP$1061,ROW()-ROW(Leverancer!$AU$25)+1)</f>
        <v xml:space="preserve">L35: </v>
      </c>
      <c r="R87" s="128"/>
      <c r="S87" s="133">
        <f t="shared" ca="1" si="11"/>
        <v>0</v>
      </c>
      <c r="T87" s="128">
        <f ca="1">IF(T$50="","",INDEX(Leverancer!AU:AU,ROW()-ROW(Leverancer!$AU$25)+1)*Leverancer!AU$96/1000)</f>
        <v>0</v>
      </c>
      <c r="U87" s="128">
        <f ca="1">IF(U$50="","",INDEX(Leverancer!AV:AV,ROW()-ROW(Leverancer!$AU$25)+1)*Leverancer!AV$96/1000)</f>
        <v>0</v>
      </c>
      <c r="V87" s="128">
        <f ca="1">IF(V$50="","",INDEX(Leverancer!AW:AW,ROW()-ROW(Leverancer!$AU$25)+1)*Leverancer!AW$96/1000)</f>
        <v>0</v>
      </c>
      <c r="W87" s="128">
        <f ca="1">IF(W$50="","",INDEX(Leverancer!AX:AX,ROW()-ROW(Leverancer!$AU$25)+1)*Leverancer!AX$96/1000)</f>
        <v>0</v>
      </c>
      <c r="X87" s="128" t="str">
        <f ca="1">IF(X$50="","",INDEX(Leverancer!AY:AY,ROW()-ROW(Leverancer!$AU$25)+1)*Leverancer!AY$96/1000)</f>
        <v/>
      </c>
      <c r="Y87" s="128" t="str">
        <f ca="1">IF(Y$50="","",INDEX(Leverancer!AZ:AZ,ROW()-ROW(Leverancer!$AU$25)+1)*Leverancer!AZ$96/1000)</f>
        <v/>
      </c>
      <c r="Z87" s="128" t="str">
        <f ca="1">IF(Z$50="","",INDEX(Leverancer!BA:BA,ROW()-ROW(Leverancer!$AU$25)+1)*Leverancer!BA$96/1000)</f>
        <v/>
      </c>
      <c r="AA87" s="128" t="str">
        <f ca="1">IF(AA$50="","",INDEX(Leverancer!BB:BB,ROW()-ROW(Leverancer!$AU$25)+1)*Leverancer!BB$96/1000)</f>
        <v/>
      </c>
      <c r="AB87" s="128" t="str">
        <f ca="1">IF(AB$50="","",INDEX(Leverancer!BC:BC,ROW()-ROW(Leverancer!$AU$25)+1)*Leverancer!BC$96/1000)</f>
        <v/>
      </c>
      <c r="AC87" s="128" t="str">
        <f ca="1">IF(AC$50="","",INDEX(Leverancer!BD:BD,ROW()-ROW(Leverancer!$AU$25)+1)*Leverancer!BD$96/1000)</f>
        <v/>
      </c>
      <c r="AD87" s="128" t="str">
        <f ca="1">IF(AD$50="","",INDEX(Leverancer!BE:BE,ROW()-ROW(Leverancer!$AU$25)+1)*Leverancer!BE$96/1000)</f>
        <v/>
      </c>
      <c r="AE87" s="128" t="str">
        <f ca="1">IF(AE$50="","",INDEX(Leverancer!BF:BF,ROW()-ROW(Leverancer!$AU$25)+1)*Leverancer!BF$96/1000)</f>
        <v/>
      </c>
      <c r="AF87" s="128" t="str">
        <f ca="1">IF(AF$50="","",INDEX(Leverancer!BG:BG,ROW()-ROW(Leverancer!$AU$25)+1)*Leverancer!BG$96/1000)</f>
        <v/>
      </c>
      <c r="AG87" s="128" t="str">
        <f ca="1">IF(AG$50="","",INDEX(Leverancer!BH:BH,ROW()-ROW(Leverancer!$AU$25)+1)*Leverancer!BH$96/1000)</f>
        <v/>
      </c>
      <c r="AH87" s="128" t="str">
        <f ca="1">IF(AH$50="","",INDEX(Leverancer!BI:BI,ROW()-ROW(Leverancer!$AU$25)+1)*Leverancer!BI$96/1000)</f>
        <v/>
      </c>
      <c r="AI87" s="128" t="str">
        <f ca="1">IF(AI$50="","",INDEX(Leverancer!BJ:BJ,ROW()-ROW(Leverancer!$AU$25)+1)*Leverancer!BJ$96/1000)</f>
        <v/>
      </c>
      <c r="AJ87" s="128" t="str">
        <f ca="1">IF(AJ$50="","",INDEX(Leverancer!BK:BK,ROW()-ROW(Leverancer!$AU$25)+1)*Leverancer!BK$96/1000)</f>
        <v/>
      </c>
      <c r="AK87" s="128" t="str">
        <f ca="1">IF(AK$50="","",INDEX(Leverancer!BL:BL,ROW()-ROW(Leverancer!$AU$25)+1)*Leverancer!BL$96/1000)</f>
        <v/>
      </c>
      <c r="AL87" s="128" t="str">
        <f ca="1">IF(AL$50="","",INDEX(Leverancer!BM:BM,ROW()-ROW(Leverancer!$AU$25)+1)*Leverancer!BM$96/1000)</f>
        <v/>
      </c>
      <c r="AM87" s="128" t="str">
        <f ca="1">IF(AM$50="","",INDEX(Leverancer!BN:BN,ROW()-ROW(Leverancer!$AU$25)+1)*Leverancer!BN$96/1000)</f>
        <v/>
      </c>
      <c r="AN87" s="128" t="str">
        <f ca="1">IF(AN$50="","",INDEX(Leverancer!BO:BO,ROW()-ROW(Leverancer!$AU$25)+1)*Leverancer!BO$96/1000)</f>
        <v/>
      </c>
      <c r="AO87" s="128" t="str">
        <f ca="1">IF(AO$50="","",INDEX(Leverancer!BP:BP,ROW()-ROW(Leverancer!$AU$25)+1)*Leverancer!BP$96/1000)</f>
        <v/>
      </c>
      <c r="AP87" s="128" t="str">
        <f ca="1">IF(AP$50="","",INDEX(Leverancer!BQ:BQ,ROW()-ROW(Leverancer!$AU$25)+1)*Leverancer!BQ$96/1000)</f>
        <v/>
      </c>
      <c r="AQ87" s="128" t="str">
        <f ca="1">IF(AQ$50="","",INDEX(Leverancer!BR:BR,ROW()-ROW(Leverancer!$AU$25)+1)*Leverancer!BR$96/1000)</f>
        <v/>
      </c>
      <c r="AR87" s="128" t="str">
        <f ca="1">IF(AR$50="","",INDEX(Leverancer!BS:BS,ROW()-ROW(Leverancer!$AU$25)+1)*Leverancer!BS$96/1000)</f>
        <v/>
      </c>
      <c r="AS87" s="128" t="str">
        <f ca="1">IF(AS$50="","",INDEX(Leverancer!BT:BT,ROW()-ROW(Leverancer!$AU$25)+1)*Leverancer!BT$96/1000)</f>
        <v/>
      </c>
      <c r="AT87" s="128" t="str">
        <f ca="1">IF(AT$50="","",INDEX(Leverancer!BU:BU,ROW()-ROW(Leverancer!$AU$25)+1)*Leverancer!BU$96/1000)</f>
        <v/>
      </c>
      <c r="AU87" s="128" t="str">
        <f ca="1">IF(AU$50="","",INDEX(Leverancer!BV:BV,ROW()-ROW(Leverancer!$AU$25)+1)*Leverancer!BV$96/1000)</f>
        <v/>
      </c>
      <c r="AV87" s="128" t="str">
        <f ca="1">IF(AV$50="","",INDEX(Leverancer!BW:BW,ROW()-ROW(Leverancer!$AU$25)+1)*Leverancer!BW$96/1000)</f>
        <v/>
      </c>
      <c r="AW87" s="128" t="str">
        <f ca="1">IF(AW$50="","",INDEX(Leverancer!BX:BX,ROW()-ROW(Leverancer!$AU$25)+1)*Leverancer!BX$96/1000)</f>
        <v/>
      </c>
      <c r="AX87" s="104"/>
      <c r="AY87" s="104"/>
      <c r="AZ87" s="101"/>
    </row>
    <row r="88" spans="14:52" ht="12.75" hidden="1" customHeight="1" outlineLevel="1" x14ac:dyDescent="0.25">
      <c r="N88" s="99"/>
      <c r="O88" s="104"/>
      <c r="P88" s="104"/>
      <c r="Q88" s="130" t="str">
        <f>INDEX(Leverancer!$AO$1:$AO$1061,ROW()-ROW(Leverancer!$AU$25)+1)&amp;": "&amp;INDEX(Leverancer!$AP$1:$AP$1061,ROW()-ROW(Leverancer!$AU$25)+1)</f>
        <v xml:space="preserve">L36: </v>
      </c>
      <c r="R88" s="128"/>
      <c r="S88" s="133">
        <f t="shared" ca="1" si="11"/>
        <v>0</v>
      </c>
      <c r="T88" s="128">
        <f ca="1">IF(T$50="","",INDEX(Leverancer!AU:AU,ROW()-ROW(Leverancer!$AU$25)+1)*Leverancer!AU$96/1000)</f>
        <v>0</v>
      </c>
      <c r="U88" s="128">
        <f ca="1">IF(U$50="","",INDEX(Leverancer!AV:AV,ROW()-ROW(Leverancer!$AU$25)+1)*Leverancer!AV$96/1000)</f>
        <v>0</v>
      </c>
      <c r="V88" s="128">
        <f ca="1">IF(V$50="","",INDEX(Leverancer!AW:AW,ROW()-ROW(Leverancer!$AU$25)+1)*Leverancer!AW$96/1000)</f>
        <v>0</v>
      </c>
      <c r="W88" s="128">
        <f ca="1">IF(W$50="","",INDEX(Leverancer!AX:AX,ROW()-ROW(Leverancer!$AU$25)+1)*Leverancer!AX$96/1000)</f>
        <v>0</v>
      </c>
      <c r="X88" s="128" t="str">
        <f ca="1">IF(X$50="","",INDEX(Leverancer!AY:AY,ROW()-ROW(Leverancer!$AU$25)+1)*Leverancer!AY$96/1000)</f>
        <v/>
      </c>
      <c r="Y88" s="128" t="str">
        <f ca="1">IF(Y$50="","",INDEX(Leverancer!AZ:AZ,ROW()-ROW(Leverancer!$AU$25)+1)*Leverancer!AZ$96/1000)</f>
        <v/>
      </c>
      <c r="Z88" s="128" t="str">
        <f ca="1">IF(Z$50="","",INDEX(Leverancer!BA:BA,ROW()-ROW(Leverancer!$AU$25)+1)*Leverancer!BA$96/1000)</f>
        <v/>
      </c>
      <c r="AA88" s="128" t="str">
        <f ca="1">IF(AA$50="","",INDEX(Leverancer!BB:BB,ROW()-ROW(Leverancer!$AU$25)+1)*Leverancer!BB$96/1000)</f>
        <v/>
      </c>
      <c r="AB88" s="128" t="str">
        <f ca="1">IF(AB$50="","",INDEX(Leverancer!BC:BC,ROW()-ROW(Leverancer!$AU$25)+1)*Leverancer!BC$96/1000)</f>
        <v/>
      </c>
      <c r="AC88" s="128" t="str">
        <f ca="1">IF(AC$50="","",INDEX(Leverancer!BD:BD,ROW()-ROW(Leverancer!$AU$25)+1)*Leverancer!BD$96/1000)</f>
        <v/>
      </c>
      <c r="AD88" s="128" t="str">
        <f ca="1">IF(AD$50="","",INDEX(Leverancer!BE:BE,ROW()-ROW(Leverancer!$AU$25)+1)*Leverancer!BE$96/1000)</f>
        <v/>
      </c>
      <c r="AE88" s="128" t="str">
        <f ca="1">IF(AE$50="","",INDEX(Leverancer!BF:BF,ROW()-ROW(Leverancer!$AU$25)+1)*Leverancer!BF$96/1000)</f>
        <v/>
      </c>
      <c r="AF88" s="128" t="str">
        <f ca="1">IF(AF$50="","",INDEX(Leverancer!BG:BG,ROW()-ROW(Leverancer!$AU$25)+1)*Leverancer!BG$96/1000)</f>
        <v/>
      </c>
      <c r="AG88" s="128" t="str">
        <f ca="1">IF(AG$50="","",INDEX(Leverancer!BH:BH,ROW()-ROW(Leverancer!$AU$25)+1)*Leverancer!BH$96/1000)</f>
        <v/>
      </c>
      <c r="AH88" s="128" t="str">
        <f ca="1">IF(AH$50="","",INDEX(Leverancer!BI:BI,ROW()-ROW(Leverancer!$AU$25)+1)*Leverancer!BI$96/1000)</f>
        <v/>
      </c>
      <c r="AI88" s="128" t="str">
        <f ca="1">IF(AI$50="","",INDEX(Leverancer!BJ:BJ,ROW()-ROW(Leverancer!$AU$25)+1)*Leverancer!BJ$96/1000)</f>
        <v/>
      </c>
      <c r="AJ88" s="128" t="str">
        <f ca="1">IF(AJ$50="","",INDEX(Leverancer!BK:BK,ROW()-ROW(Leverancer!$AU$25)+1)*Leverancer!BK$96/1000)</f>
        <v/>
      </c>
      <c r="AK88" s="128" t="str">
        <f ca="1">IF(AK$50="","",INDEX(Leverancer!BL:BL,ROW()-ROW(Leverancer!$AU$25)+1)*Leverancer!BL$96/1000)</f>
        <v/>
      </c>
      <c r="AL88" s="128" t="str">
        <f ca="1">IF(AL$50="","",INDEX(Leverancer!BM:BM,ROW()-ROW(Leverancer!$AU$25)+1)*Leverancer!BM$96/1000)</f>
        <v/>
      </c>
      <c r="AM88" s="128" t="str">
        <f ca="1">IF(AM$50="","",INDEX(Leverancer!BN:BN,ROW()-ROW(Leverancer!$AU$25)+1)*Leverancer!BN$96/1000)</f>
        <v/>
      </c>
      <c r="AN88" s="128" t="str">
        <f ca="1">IF(AN$50="","",INDEX(Leverancer!BO:BO,ROW()-ROW(Leverancer!$AU$25)+1)*Leverancer!BO$96/1000)</f>
        <v/>
      </c>
      <c r="AO88" s="128" t="str">
        <f ca="1">IF(AO$50="","",INDEX(Leverancer!BP:BP,ROW()-ROW(Leverancer!$AU$25)+1)*Leverancer!BP$96/1000)</f>
        <v/>
      </c>
      <c r="AP88" s="128" t="str">
        <f ca="1">IF(AP$50="","",INDEX(Leverancer!BQ:BQ,ROW()-ROW(Leverancer!$AU$25)+1)*Leverancer!BQ$96/1000)</f>
        <v/>
      </c>
      <c r="AQ88" s="128" t="str">
        <f ca="1">IF(AQ$50="","",INDEX(Leverancer!BR:BR,ROW()-ROW(Leverancer!$AU$25)+1)*Leverancer!BR$96/1000)</f>
        <v/>
      </c>
      <c r="AR88" s="128" t="str">
        <f ca="1">IF(AR$50="","",INDEX(Leverancer!BS:BS,ROW()-ROW(Leverancer!$AU$25)+1)*Leverancer!BS$96/1000)</f>
        <v/>
      </c>
      <c r="AS88" s="128" t="str">
        <f ca="1">IF(AS$50="","",INDEX(Leverancer!BT:BT,ROW()-ROW(Leverancer!$AU$25)+1)*Leverancer!BT$96/1000)</f>
        <v/>
      </c>
      <c r="AT88" s="128" t="str">
        <f ca="1">IF(AT$50="","",INDEX(Leverancer!BU:BU,ROW()-ROW(Leverancer!$AU$25)+1)*Leverancer!BU$96/1000)</f>
        <v/>
      </c>
      <c r="AU88" s="128" t="str">
        <f ca="1">IF(AU$50="","",INDEX(Leverancer!BV:BV,ROW()-ROW(Leverancer!$AU$25)+1)*Leverancer!BV$96/1000)</f>
        <v/>
      </c>
      <c r="AV88" s="128" t="str">
        <f ca="1">IF(AV$50="","",INDEX(Leverancer!BW:BW,ROW()-ROW(Leverancer!$AU$25)+1)*Leverancer!BW$96/1000)</f>
        <v/>
      </c>
      <c r="AW88" s="128" t="str">
        <f ca="1">IF(AW$50="","",INDEX(Leverancer!BX:BX,ROW()-ROW(Leverancer!$AU$25)+1)*Leverancer!BX$96/1000)</f>
        <v/>
      </c>
      <c r="AX88" s="104"/>
      <c r="AY88" s="104"/>
      <c r="AZ88" s="101"/>
    </row>
    <row r="89" spans="14:52" ht="12.75" hidden="1" customHeight="1" outlineLevel="1" x14ac:dyDescent="0.25">
      <c r="N89" s="99"/>
      <c r="O89" s="104"/>
      <c r="P89" s="104"/>
      <c r="Q89" s="130" t="str">
        <f>INDEX(Leverancer!$AO$1:$AO$1061,ROW()-ROW(Leverancer!$AU$25)+1)&amp;": "&amp;INDEX(Leverancer!$AP$1:$AP$1061,ROW()-ROW(Leverancer!$AU$25)+1)</f>
        <v xml:space="preserve">L37: </v>
      </c>
      <c r="R89" s="128"/>
      <c r="S89" s="133">
        <f t="shared" ca="1" si="11"/>
        <v>0</v>
      </c>
      <c r="T89" s="128">
        <f ca="1">IF(T$50="","",INDEX(Leverancer!AU:AU,ROW()-ROW(Leverancer!$AU$25)+1)*Leverancer!AU$96/1000)</f>
        <v>0</v>
      </c>
      <c r="U89" s="128">
        <f ca="1">IF(U$50="","",INDEX(Leverancer!AV:AV,ROW()-ROW(Leverancer!$AU$25)+1)*Leverancer!AV$96/1000)</f>
        <v>0</v>
      </c>
      <c r="V89" s="128">
        <f ca="1">IF(V$50="","",INDEX(Leverancer!AW:AW,ROW()-ROW(Leverancer!$AU$25)+1)*Leverancer!AW$96/1000)</f>
        <v>0</v>
      </c>
      <c r="W89" s="128">
        <f ca="1">IF(W$50="","",INDEX(Leverancer!AX:AX,ROW()-ROW(Leverancer!$AU$25)+1)*Leverancer!AX$96/1000)</f>
        <v>0</v>
      </c>
      <c r="X89" s="128" t="str">
        <f ca="1">IF(X$50="","",INDEX(Leverancer!AY:AY,ROW()-ROW(Leverancer!$AU$25)+1)*Leverancer!AY$96/1000)</f>
        <v/>
      </c>
      <c r="Y89" s="128" t="str">
        <f ca="1">IF(Y$50="","",INDEX(Leverancer!AZ:AZ,ROW()-ROW(Leverancer!$AU$25)+1)*Leverancer!AZ$96/1000)</f>
        <v/>
      </c>
      <c r="Z89" s="128" t="str">
        <f ca="1">IF(Z$50="","",INDEX(Leverancer!BA:BA,ROW()-ROW(Leverancer!$AU$25)+1)*Leverancer!BA$96/1000)</f>
        <v/>
      </c>
      <c r="AA89" s="128" t="str">
        <f ca="1">IF(AA$50="","",INDEX(Leverancer!BB:BB,ROW()-ROW(Leverancer!$AU$25)+1)*Leverancer!BB$96/1000)</f>
        <v/>
      </c>
      <c r="AB89" s="128" t="str">
        <f ca="1">IF(AB$50="","",INDEX(Leverancer!BC:BC,ROW()-ROW(Leverancer!$AU$25)+1)*Leverancer!BC$96/1000)</f>
        <v/>
      </c>
      <c r="AC89" s="128" t="str">
        <f ca="1">IF(AC$50="","",INDEX(Leverancer!BD:BD,ROW()-ROW(Leverancer!$AU$25)+1)*Leverancer!BD$96/1000)</f>
        <v/>
      </c>
      <c r="AD89" s="128" t="str">
        <f ca="1">IF(AD$50="","",INDEX(Leverancer!BE:BE,ROW()-ROW(Leverancer!$AU$25)+1)*Leverancer!BE$96/1000)</f>
        <v/>
      </c>
      <c r="AE89" s="128" t="str">
        <f ca="1">IF(AE$50="","",INDEX(Leverancer!BF:BF,ROW()-ROW(Leverancer!$AU$25)+1)*Leverancer!BF$96/1000)</f>
        <v/>
      </c>
      <c r="AF89" s="128" t="str">
        <f ca="1">IF(AF$50="","",INDEX(Leverancer!BG:BG,ROW()-ROW(Leverancer!$AU$25)+1)*Leverancer!BG$96/1000)</f>
        <v/>
      </c>
      <c r="AG89" s="128" t="str">
        <f ca="1">IF(AG$50="","",INDEX(Leverancer!BH:BH,ROW()-ROW(Leverancer!$AU$25)+1)*Leverancer!BH$96/1000)</f>
        <v/>
      </c>
      <c r="AH89" s="128" t="str">
        <f ca="1">IF(AH$50="","",INDEX(Leverancer!BI:BI,ROW()-ROW(Leverancer!$AU$25)+1)*Leverancer!BI$96/1000)</f>
        <v/>
      </c>
      <c r="AI89" s="128" t="str">
        <f ca="1">IF(AI$50="","",INDEX(Leverancer!BJ:BJ,ROW()-ROW(Leverancer!$AU$25)+1)*Leverancer!BJ$96/1000)</f>
        <v/>
      </c>
      <c r="AJ89" s="128" t="str">
        <f ca="1">IF(AJ$50="","",INDEX(Leverancer!BK:BK,ROW()-ROW(Leverancer!$AU$25)+1)*Leverancer!BK$96/1000)</f>
        <v/>
      </c>
      <c r="AK89" s="128" t="str">
        <f ca="1">IF(AK$50="","",INDEX(Leverancer!BL:BL,ROW()-ROW(Leverancer!$AU$25)+1)*Leverancer!BL$96/1000)</f>
        <v/>
      </c>
      <c r="AL89" s="128" t="str">
        <f ca="1">IF(AL$50="","",INDEX(Leverancer!BM:BM,ROW()-ROW(Leverancer!$AU$25)+1)*Leverancer!BM$96/1000)</f>
        <v/>
      </c>
      <c r="AM89" s="128" t="str">
        <f ca="1">IF(AM$50="","",INDEX(Leverancer!BN:BN,ROW()-ROW(Leverancer!$AU$25)+1)*Leverancer!BN$96/1000)</f>
        <v/>
      </c>
      <c r="AN89" s="128" t="str">
        <f ca="1">IF(AN$50="","",INDEX(Leverancer!BO:BO,ROW()-ROW(Leverancer!$AU$25)+1)*Leverancer!BO$96/1000)</f>
        <v/>
      </c>
      <c r="AO89" s="128" t="str">
        <f ca="1">IF(AO$50="","",INDEX(Leverancer!BP:BP,ROW()-ROW(Leverancer!$AU$25)+1)*Leverancer!BP$96/1000)</f>
        <v/>
      </c>
      <c r="AP89" s="128" t="str">
        <f ca="1">IF(AP$50="","",INDEX(Leverancer!BQ:BQ,ROW()-ROW(Leverancer!$AU$25)+1)*Leverancer!BQ$96/1000)</f>
        <v/>
      </c>
      <c r="AQ89" s="128" t="str">
        <f ca="1">IF(AQ$50="","",INDEX(Leverancer!BR:BR,ROW()-ROW(Leverancer!$AU$25)+1)*Leverancer!BR$96/1000)</f>
        <v/>
      </c>
      <c r="AR89" s="128" t="str">
        <f ca="1">IF(AR$50="","",INDEX(Leverancer!BS:BS,ROW()-ROW(Leverancer!$AU$25)+1)*Leverancer!BS$96/1000)</f>
        <v/>
      </c>
      <c r="AS89" s="128" t="str">
        <f ca="1">IF(AS$50="","",INDEX(Leverancer!BT:BT,ROW()-ROW(Leverancer!$AU$25)+1)*Leverancer!BT$96/1000)</f>
        <v/>
      </c>
      <c r="AT89" s="128" t="str">
        <f ca="1">IF(AT$50="","",INDEX(Leverancer!BU:BU,ROW()-ROW(Leverancer!$AU$25)+1)*Leverancer!BU$96/1000)</f>
        <v/>
      </c>
      <c r="AU89" s="128" t="str">
        <f ca="1">IF(AU$50="","",INDEX(Leverancer!BV:BV,ROW()-ROW(Leverancer!$AU$25)+1)*Leverancer!BV$96/1000)</f>
        <v/>
      </c>
      <c r="AV89" s="128" t="str">
        <f ca="1">IF(AV$50="","",INDEX(Leverancer!BW:BW,ROW()-ROW(Leverancer!$AU$25)+1)*Leverancer!BW$96/1000)</f>
        <v/>
      </c>
      <c r="AW89" s="128" t="str">
        <f ca="1">IF(AW$50="","",INDEX(Leverancer!BX:BX,ROW()-ROW(Leverancer!$AU$25)+1)*Leverancer!BX$96/1000)</f>
        <v/>
      </c>
      <c r="AX89" s="104"/>
      <c r="AY89" s="104"/>
      <c r="AZ89" s="101"/>
    </row>
    <row r="90" spans="14:52" ht="12.75" hidden="1" customHeight="1" outlineLevel="1" x14ac:dyDescent="0.25">
      <c r="N90" s="99"/>
      <c r="O90" s="104"/>
      <c r="P90" s="104"/>
      <c r="Q90" s="130" t="str">
        <f>INDEX(Leverancer!$AO$1:$AO$1061,ROW()-ROW(Leverancer!$AU$25)+1)&amp;": "&amp;INDEX(Leverancer!$AP$1:$AP$1061,ROW()-ROW(Leverancer!$AU$25)+1)</f>
        <v xml:space="preserve">L38: </v>
      </c>
      <c r="R90" s="128"/>
      <c r="S90" s="133">
        <f t="shared" ca="1" si="11"/>
        <v>0</v>
      </c>
      <c r="T90" s="128">
        <f ca="1">IF(T$50="","",INDEX(Leverancer!AU:AU,ROW()-ROW(Leverancer!$AU$25)+1)*Leverancer!AU$96/1000)</f>
        <v>0</v>
      </c>
      <c r="U90" s="128">
        <f ca="1">IF(U$50="","",INDEX(Leverancer!AV:AV,ROW()-ROW(Leverancer!$AU$25)+1)*Leverancer!AV$96/1000)</f>
        <v>0</v>
      </c>
      <c r="V90" s="128">
        <f ca="1">IF(V$50="","",INDEX(Leverancer!AW:AW,ROW()-ROW(Leverancer!$AU$25)+1)*Leverancer!AW$96/1000)</f>
        <v>0</v>
      </c>
      <c r="W90" s="128">
        <f ca="1">IF(W$50="","",INDEX(Leverancer!AX:AX,ROW()-ROW(Leverancer!$AU$25)+1)*Leverancer!AX$96/1000)</f>
        <v>0</v>
      </c>
      <c r="X90" s="128" t="str">
        <f ca="1">IF(X$50="","",INDEX(Leverancer!AY:AY,ROW()-ROW(Leverancer!$AU$25)+1)*Leverancer!AY$96/1000)</f>
        <v/>
      </c>
      <c r="Y90" s="128" t="str">
        <f ca="1">IF(Y$50="","",INDEX(Leverancer!AZ:AZ,ROW()-ROW(Leverancer!$AU$25)+1)*Leverancer!AZ$96/1000)</f>
        <v/>
      </c>
      <c r="Z90" s="128" t="str">
        <f ca="1">IF(Z$50="","",INDEX(Leverancer!BA:BA,ROW()-ROW(Leverancer!$AU$25)+1)*Leverancer!BA$96/1000)</f>
        <v/>
      </c>
      <c r="AA90" s="128" t="str">
        <f ca="1">IF(AA$50="","",INDEX(Leverancer!BB:BB,ROW()-ROW(Leverancer!$AU$25)+1)*Leverancer!BB$96/1000)</f>
        <v/>
      </c>
      <c r="AB90" s="128" t="str">
        <f ca="1">IF(AB$50="","",INDEX(Leverancer!BC:BC,ROW()-ROW(Leverancer!$AU$25)+1)*Leverancer!BC$96/1000)</f>
        <v/>
      </c>
      <c r="AC90" s="128" t="str">
        <f ca="1">IF(AC$50="","",INDEX(Leverancer!BD:BD,ROW()-ROW(Leverancer!$AU$25)+1)*Leverancer!BD$96/1000)</f>
        <v/>
      </c>
      <c r="AD90" s="128" t="str">
        <f ca="1">IF(AD$50="","",INDEX(Leverancer!BE:BE,ROW()-ROW(Leverancer!$AU$25)+1)*Leverancer!BE$96/1000)</f>
        <v/>
      </c>
      <c r="AE90" s="128" t="str">
        <f ca="1">IF(AE$50="","",INDEX(Leverancer!BF:BF,ROW()-ROW(Leverancer!$AU$25)+1)*Leverancer!BF$96/1000)</f>
        <v/>
      </c>
      <c r="AF90" s="128" t="str">
        <f ca="1">IF(AF$50="","",INDEX(Leverancer!BG:BG,ROW()-ROW(Leverancer!$AU$25)+1)*Leverancer!BG$96/1000)</f>
        <v/>
      </c>
      <c r="AG90" s="128" t="str">
        <f ca="1">IF(AG$50="","",INDEX(Leverancer!BH:BH,ROW()-ROW(Leverancer!$AU$25)+1)*Leverancer!BH$96/1000)</f>
        <v/>
      </c>
      <c r="AH90" s="128" t="str">
        <f ca="1">IF(AH$50="","",INDEX(Leverancer!BI:BI,ROW()-ROW(Leverancer!$AU$25)+1)*Leverancer!BI$96/1000)</f>
        <v/>
      </c>
      <c r="AI90" s="128" t="str">
        <f ca="1">IF(AI$50="","",INDEX(Leverancer!BJ:BJ,ROW()-ROW(Leverancer!$AU$25)+1)*Leverancer!BJ$96/1000)</f>
        <v/>
      </c>
      <c r="AJ90" s="128" t="str">
        <f ca="1">IF(AJ$50="","",INDEX(Leverancer!BK:BK,ROW()-ROW(Leverancer!$AU$25)+1)*Leverancer!BK$96/1000)</f>
        <v/>
      </c>
      <c r="AK90" s="128" t="str">
        <f ca="1">IF(AK$50="","",INDEX(Leverancer!BL:BL,ROW()-ROW(Leverancer!$AU$25)+1)*Leverancer!BL$96/1000)</f>
        <v/>
      </c>
      <c r="AL90" s="128" t="str">
        <f ca="1">IF(AL$50="","",INDEX(Leverancer!BM:BM,ROW()-ROW(Leverancer!$AU$25)+1)*Leverancer!BM$96/1000)</f>
        <v/>
      </c>
      <c r="AM90" s="128" t="str">
        <f ca="1">IF(AM$50="","",INDEX(Leverancer!BN:BN,ROW()-ROW(Leverancer!$AU$25)+1)*Leverancer!BN$96/1000)</f>
        <v/>
      </c>
      <c r="AN90" s="128" t="str">
        <f ca="1">IF(AN$50="","",INDEX(Leverancer!BO:BO,ROW()-ROW(Leverancer!$AU$25)+1)*Leverancer!BO$96/1000)</f>
        <v/>
      </c>
      <c r="AO90" s="128" t="str">
        <f ca="1">IF(AO$50="","",INDEX(Leverancer!BP:BP,ROW()-ROW(Leverancer!$AU$25)+1)*Leverancer!BP$96/1000)</f>
        <v/>
      </c>
      <c r="AP90" s="128" t="str">
        <f ca="1">IF(AP$50="","",INDEX(Leverancer!BQ:BQ,ROW()-ROW(Leverancer!$AU$25)+1)*Leverancer!BQ$96/1000)</f>
        <v/>
      </c>
      <c r="AQ90" s="128" t="str">
        <f ca="1">IF(AQ$50="","",INDEX(Leverancer!BR:BR,ROW()-ROW(Leverancer!$AU$25)+1)*Leverancer!BR$96/1000)</f>
        <v/>
      </c>
      <c r="AR90" s="128" t="str">
        <f ca="1">IF(AR$50="","",INDEX(Leverancer!BS:BS,ROW()-ROW(Leverancer!$AU$25)+1)*Leverancer!BS$96/1000)</f>
        <v/>
      </c>
      <c r="AS90" s="128" t="str">
        <f ca="1">IF(AS$50="","",INDEX(Leverancer!BT:BT,ROW()-ROW(Leverancer!$AU$25)+1)*Leverancer!BT$96/1000)</f>
        <v/>
      </c>
      <c r="AT90" s="128" t="str">
        <f ca="1">IF(AT$50="","",INDEX(Leverancer!BU:BU,ROW()-ROW(Leverancer!$AU$25)+1)*Leverancer!BU$96/1000)</f>
        <v/>
      </c>
      <c r="AU90" s="128" t="str">
        <f ca="1">IF(AU$50="","",INDEX(Leverancer!BV:BV,ROW()-ROW(Leverancer!$AU$25)+1)*Leverancer!BV$96/1000)</f>
        <v/>
      </c>
      <c r="AV90" s="128" t="str">
        <f ca="1">IF(AV$50="","",INDEX(Leverancer!BW:BW,ROW()-ROW(Leverancer!$AU$25)+1)*Leverancer!BW$96/1000)</f>
        <v/>
      </c>
      <c r="AW90" s="128" t="str">
        <f ca="1">IF(AW$50="","",INDEX(Leverancer!BX:BX,ROW()-ROW(Leverancer!$AU$25)+1)*Leverancer!BX$96/1000)</f>
        <v/>
      </c>
      <c r="AX90" s="104"/>
      <c r="AY90" s="104"/>
      <c r="AZ90" s="101"/>
    </row>
    <row r="91" spans="14:52" ht="12.75" hidden="1" customHeight="1" outlineLevel="1" x14ac:dyDescent="0.25">
      <c r="N91" s="99"/>
      <c r="O91" s="104"/>
      <c r="P91" s="104"/>
      <c r="Q91" s="130" t="str">
        <f>INDEX(Leverancer!$AO$1:$AO$1061,ROW()-ROW(Leverancer!$AU$25)+1)&amp;": "&amp;INDEX(Leverancer!$AP$1:$AP$1061,ROW()-ROW(Leverancer!$AU$25)+1)</f>
        <v xml:space="preserve">L39: </v>
      </c>
      <c r="R91" s="128"/>
      <c r="S91" s="133">
        <f t="shared" ca="1" si="11"/>
        <v>0</v>
      </c>
      <c r="T91" s="128">
        <f ca="1">IF(T$50="","",INDEX(Leverancer!AU:AU,ROW()-ROW(Leverancer!$AU$25)+1)*Leverancer!AU$96/1000)</f>
        <v>0</v>
      </c>
      <c r="U91" s="128">
        <f ca="1">IF(U$50="","",INDEX(Leverancer!AV:AV,ROW()-ROW(Leverancer!$AU$25)+1)*Leverancer!AV$96/1000)</f>
        <v>0</v>
      </c>
      <c r="V91" s="128">
        <f ca="1">IF(V$50="","",INDEX(Leverancer!AW:AW,ROW()-ROW(Leverancer!$AU$25)+1)*Leverancer!AW$96/1000)</f>
        <v>0</v>
      </c>
      <c r="W91" s="128">
        <f ca="1">IF(W$50="","",INDEX(Leverancer!AX:AX,ROW()-ROW(Leverancer!$AU$25)+1)*Leverancer!AX$96/1000)</f>
        <v>0</v>
      </c>
      <c r="X91" s="128" t="str">
        <f ca="1">IF(X$50="","",INDEX(Leverancer!AY:AY,ROW()-ROW(Leverancer!$AU$25)+1)*Leverancer!AY$96/1000)</f>
        <v/>
      </c>
      <c r="Y91" s="128" t="str">
        <f ca="1">IF(Y$50="","",INDEX(Leverancer!AZ:AZ,ROW()-ROW(Leverancer!$AU$25)+1)*Leverancer!AZ$96/1000)</f>
        <v/>
      </c>
      <c r="Z91" s="128" t="str">
        <f ca="1">IF(Z$50="","",INDEX(Leverancer!BA:BA,ROW()-ROW(Leverancer!$AU$25)+1)*Leverancer!BA$96/1000)</f>
        <v/>
      </c>
      <c r="AA91" s="128" t="str">
        <f ca="1">IF(AA$50="","",INDEX(Leverancer!BB:BB,ROW()-ROW(Leverancer!$AU$25)+1)*Leverancer!BB$96/1000)</f>
        <v/>
      </c>
      <c r="AB91" s="128" t="str">
        <f ca="1">IF(AB$50="","",INDEX(Leverancer!BC:BC,ROW()-ROW(Leverancer!$AU$25)+1)*Leverancer!BC$96/1000)</f>
        <v/>
      </c>
      <c r="AC91" s="128" t="str">
        <f ca="1">IF(AC$50="","",INDEX(Leverancer!BD:BD,ROW()-ROW(Leverancer!$AU$25)+1)*Leverancer!BD$96/1000)</f>
        <v/>
      </c>
      <c r="AD91" s="128" t="str">
        <f ca="1">IF(AD$50="","",INDEX(Leverancer!BE:BE,ROW()-ROW(Leverancer!$AU$25)+1)*Leverancer!BE$96/1000)</f>
        <v/>
      </c>
      <c r="AE91" s="128" t="str">
        <f ca="1">IF(AE$50="","",INDEX(Leverancer!BF:BF,ROW()-ROW(Leverancer!$AU$25)+1)*Leverancer!BF$96/1000)</f>
        <v/>
      </c>
      <c r="AF91" s="128" t="str">
        <f ca="1">IF(AF$50="","",INDEX(Leverancer!BG:BG,ROW()-ROW(Leverancer!$AU$25)+1)*Leverancer!BG$96/1000)</f>
        <v/>
      </c>
      <c r="AG91" s="128" t="str">
        <f ca="1">IF(AG$50="","",INDEX(Leverancer!BH:BH,ROW()-ROW(Leverancer!$AU$25)+1)*Leverancer!BH$96/1000)</f>
        <v/>
      </c>
      <c r="AH91" s="128" t="str">
        <f ca="1">IF(AH$50="","",INDEX(Leverancer!BI:BI,ROW()-ROW(Leverancer!$AU$25)+1)*Leverancer!BI$96/1000)</f>
        <v/>
      </c>
      <c r="AI91" s="128" t="str">
        <f ca="1">IF(AI$50="","",INDEX(Leverancer!BJ:BJ,ROW()-ROW(Leverancer!$AU$25)+1)*Leverancer!BJ$96/1000)</f>
        <v/>
      </c>
      <c r="AJ91" s="128" t="str">
        <f ca="1">IF(AJ$50="","",INDEX(Leverancer!BK:BK,ROW()-ROW(Leverancer!$AU$25)+1)*Leverancer!BK$96/1000)</f>
        <v/>
      </c>
      <c r="AK91" s="128" t="str">
        <f ca="1">IF(AK$50="","",INDEX(Leverancer!BL:BL,ROW()-ROW(Leverancer!$AU$25)+1)*Leverancer!BL$96/1000)</f>
        <v/>
      </c>
      <c r="AL91" s="128" t="str">
        <f ca="1">IF(AL$50="","",INDEX(Leverancer!BM:BM,ROW()-ROW(Leverancer!$AU$25)+1)*Leverancer!BM$96/1000)</f>
        <v/>
      </c>
      <c r="AM91" s="128" t="str">
        <f ca="1">IF(AM$50="","",INDEX(Leverancer!BN:BN,ROW()-ROW(Leverancer!$AU$25)+1)*Leverancer!BN$96/1000)</f>
        <v/>
      </c>
      <c r="AN91" s="128" t="str">
        <f ca="1">IF(AN$50="","",INDEX(Leverancer!BO:BO,ROW()-ROW(Leverancer!$AU$25)+1)*Leverancer!BO$96/1000)</f>
        <v/>
      </c>
      <c r="AO91" s="128" t="str">
        <f ca="1">IF(AO$50="","",INDEX(Leverancer!BP:BP,ROW()-ROW(Leverancer!$AU$25)+1)*Leverancer!BP$96/1000)</f>
        <v/>
      </c>
      <c r="AP91" s="128" t="str">
        <f ca="1">IF(AP$50="","",INDEX(Leverancer!BQ:BQ,ROW()-ROW(Leverancer!$AU$25)+1)*Leverancer!BQ$96/1000)</f>
        <v/>
      </c>
      <c r="AQ91" s="128" t="str">
        <f ca="1">IF(AQ$50="","",INDEX(Leverancer!BR:BR,ROW()-ROW(Leverancer!$AU$25)+1)*Leverancer!BR$96/1000)</f>
        <v/>
      </c>
      <c r="AR91" s="128" t="str">
        <f ca="1">IF(AR$50="","",INDEX(Leverancer!BS:BS,ROW()-ROW(Leverancer!$AU$25)+1)*Leverancer!BS$96/1000)</f>
        <v/>
      </c>
      <c r="AS91" s="128" t="str">
        <f ca="1">IF(AS$50="","",INDEX(Leverancer!BT:BT,ROW()-ROW(Leverancer!$AU$25)+1)*Leverancer!BT$96/1000)</f>
        <v/>
      </c>
      <c r="AT91" s="128" t="str">
        <f ca="1">IF(AT$50="","",INDEX(Leverancer!BU:BU,ROW()-ROW(Leverancer!$AU$25)+1)*Leverancer!BU$96/1000)</f>
        <v/>
      </c>
      <c r="AU91" s="128" t="str">
        <f ca="1">IF(AU$50="","",INDEX(Leverancer!BV:BV,ROW()-ROW(Leverancer!$AU$25)+1)*Leverancer!BV$96/1000)</f>
        <v/>
      </c>
      <c r="AV91" s="128" t="str">
        <f ca="1">IF(AV$50="","",INDEX(Leverancer!BW:BW,ROW()-ROW(Leverancer!$AU$25)+1)*Leverancer!BW$96/1000)</f>
        <v/>
      </c>
      <c r="AW91" s="128" t="str">
        <f ca="1">IF(AW$50="","",INDEX(Leverancer!BX:BX,ROW()-ROW(Leverancer!$AU$25)+1)*Leverancer!BX$96/1000)</f>
        <v/>
      </c>
      <c r="AX91" s="104"/>
      <c r="AY91" s="104"/>
      <c r="AZ91" s="101"/>
    </row>
    <row r="92" spans="14:52" ht="12.75" hidden="1" customHeight="1" outlineLevel="1" x14ac:dyDescent="0.25">
      <c r="N92" s="99"/>
      <c r="O92" s="104"/>
      <c r="P92" s="104"/>
      <c r="Q92" s="130" t="str">
        <f>INDEX(Leverancer!$AO$1:$AO$1061,ROW()-ROW(Leverancer!$AU$25)+1)&amp;": "&amp;INDEX(Leverancer!$AP$1:$AP$1061,ROW()-ROW(Leverancer!$AU$25)+1)</f>
        <v xml:space="preserve">L40: </v>
      </c>
      <c r="R92" s="128"/>
      <c r="S92" s="133">
        <f t="shared" ca="1" si="11"/>
        <v>0</v>
      </c>
      <c r="T92" s="128">
        <f ca="1">IF(T$50="","",INDEX(Leverancer!AU:AU,ROW()-ROW(Leverancer!$AU$25)+1)*Leverancer!AU$96/1000)</f>
        <v>0</v>
      </c>
      <c r="U92" s="128">
        <f ca="1">IF(U$50="","",INDEX(Leverancer!AV:AV,ROW()-ROW(Leverancer!$AU$25)+1)*Leverancer!AV$96/1000)</f>
        <v>0</v>
      </c>
      <c r="V92" s="128">
        <f ca="1">IF(V$50="","",INDEX(Leverancer!AW:AW,ROW()-ROW(Leverancer!$AU$25)+1)*Leverancer!AW$96/1000)</f>
        <v>0</v>
      </c>
      <c r="W92" s="128">
        <f ca="1">IF(W$50="","",INDEX(Leverancer!AX:AX,ROW()-ROW(Leverancer!$AU$25)+1)*Leverancer!AX$96/1000)</f>
        <v>0</v>
      </c>
      <c r="X92" s="128" t="str">
        <f ca="1">IF(X$50="","",INDEX(Leverancer!AY:AY,ROW()-ROW(Leverancer!$AU$25)+1)*Leverancer!AY$96/1000)</f>
        <v/>
      </c>
      <c r="Y92" s="128" t="str">
        <f ca="1">IF(Y$50="","",INDEX(Leverancer!AZ:AZ,ROW()-ROW(Leverancer!$AU$25)+1)*Leverancer!AZ$96/1000)</f>
        <v/>
      </c>
      <c r="Z92" s="128" t="str">
        <f ca="1">IF(Z$50="","",INDEX(Leverancer!BA:BA,ROW()-ROW(Leverancer!$AU$25)+1)*Leverancer!BA$96/1000)</f>
        <v/>
      </c>
      <c r="AA92" s="128" t="str">
        <f ca="1">IF(AA$50="","",INDEX(Leverancer!BB:BB,ROW()-ROW(Leverancer!$AU$25)+1)*Leverancer!BB$96/1000)</f>
        <v/>
      </c>
      <c r="AB92" s="128" t="str">
        <f ca="1">IF(AB$50="","",INDEX(Leverancer!BC:BC,ROW()-ROW(Leverancer!$AU$25)+1)*Leverancer!BC$96/1000)</f>
        <v/>
      </c>
      <c r="AC92" s="128" t="str">
        <f ca="1">IF(AC$50="","",INDEX(Leverancer!BD:BD,ROW()-ROW(Leverancer!$AU$25)+1)*Leverancer!BD$96/1000)</f>
        <v/>
      </c>
      <c r="AD92" s="128" t="str">
        <f ca="1">IF(AD$50="","",INDEX(Leverancer!BE:BE,ROW()-ROW(Leverancer!$AU$25)+1)*Leverancer!BE$96/1000)</f>
        <v/>
      </c>
      <c r="AE92" s="128" t="str">
        <f ca="1">IF(AE$50="","",INDEX(Leverancer!BF:BF,ROW()-ROW(Leverancer!$AU$25)+1)*Leverancer!BF$96/1000)</f>
        <v/>
      </c>
      <c r="AF92" s="128" t="str">
        <f ca="1">IF(AF$50="","",INDEX(Leverancer!BG:BG,ROW()-ROW(Leverancer!$AU$25)+1)*Leverancer!BG$96/1000)</f>
        <v/>
      </c>
      <c r="AG92" s="128" t="str">
        <f ca="1">IF(AG$50="","",INDEX(Leverancer!BH:BH,ROW()-ROW(Leverancer!$AU$25)+1)*Leverancer!BH$96/1000)</f>
        <v/>
      </c>
      <c r="AH92" s="128" t="str">
        <f ca="1">IF(AH$50="","",INDEX(Leverancer!BI:BI,ROW()-ROW(Leverancer!$AU$25)+1)*Leverancer!BI$96/1000)</f>
        <v/>
      </c>
      <c r="AI92" s="128" t="str">
        <f ca="1">IF(AI$50="","",INDEX(Leverancer!BJ:BJ,ROW()-ROW(Leverancer!$AU$25)+1)*Leverancer!BJ$96/1000)</f>
        <v/>
      </c>
      <c r="AJ92" s="128" t="str">
        <f ca="1">IF(AJ$50="","",INDEX(Leverancer!BK:BK,ROW()-ROW(Leverancer!$AU$25)+1)*Leverancer!BK$96/1000)</f>
        <v/>
      </c>
      <c r="AK92" s="128" t="str">
        <f ca="1">IF(AK$50="","",INDEX(Leverancer!BL:BL,ROW()-ROW(Leverancer!$AU$25)+1)*Leverancer!BL$96/1000)</f>
        <v/>
      </c>
      <c r="AL92" s="128" t="str">
        <f ca="1">IF(AL$50="","",INDEX(Leverancer!BM:BM,ROW()-ROW(Leverancer!$AU$25)+1)*Leverancer!BM$96/1000)</f>
        <v/>
      </c>
      <c r="AM92" s="128" t="str">
        <f ca="1">IF(AM$50="","",INDEX(Leverancer!BN:BN,ROW()-ROW(Leverancer!$AU$25)+1)*Leverancer!BN$96/1000)</f>
        <v/>
      </c>
      <c r="AN92" s="128" t="str">
        <f ca="1">IF(AN$50="","",INDEX(Leverancer!BO:BO,ROW()-ROW(Leverancer!$AU$25)+1)*Leverancer!BO$96/1000)</f>
        <v/>
      </c>
      <c r="AO92" s="128" t="str">
        <f ca="1">IF(AO$50="","",INDEX(Leverancer!BP:BP,ROW()-ROW(Leverancer!$AU$25)+1)*Leverancer!BP$96/1000)</f>
        <v/>
      </c>
      <c r="AP92" s="128" t="str">
        <f ca="1">IF(AP$50="","",INDEX(Leverancer!BQ:BQ,ROW()-ROW(Leverancer!$AU$25)+1)*Leverancer!BQ$96/1000)</f>
        <v/>
      </c>
      <c r="AQ92" s="128" t="str">
        <f ca="1">IF(AQ$50="","",INDEX(Leverancer!BR:BR,ROW()-ROW(Leverancer!$AU$25)+1)*Leverancer!BR$96/1000)</f>
        <v/>
      </c>
      <c r="AR92" s="128" t="str">
        <f ca="1">IF(AR$50="","",INDEX(Leverancer!BS:BS,ROW()-ROW(Leverancer!$AU$25)+1)*Leverancer!BS$96/1000)</f>
        <v/>
      </c>
      <c r="AS92" s="128" t="str">
        <f ca="1">IF(AS$50="","",INDEX(Leverancer!BT:BT,ROW()-ROW(Leverancer!$AU$25)+1)*Leverancer!BT$96/1000)</f>
        <v/>
      </c>
      <c r="AT92" s="128" t="str">
        <f ca="1">IF(AT$50="","",INDEX(Leverancer!BU:BU,ROW()-ROW(Leverancer!$AU$25)+1)*Leverancer!BU$96/1000)</f>
        <v/>
      </c>
      <c r="AU92" s="128" t="str">
        <f ca="1">IF(AU$50="","",INDEX(Leverancer!BV:BV,ROW()-ROW(Leverancer!$AU$25)+1)*Leverancer!BV$96/1000)</f>
        <v/>
      </c>
      <c r="AV92" s="128" t="str">
        <f ca="1">IF(AV$50="","",INDEX(Leverancer!BW:BW,ROW()-ROW(Leverancer!$AU$25)+1)*Leverancer!BW$96/1000)</f>
        <v/>
      </c>
      <c r="AW92" s="128" t="str">
        <f ca="1">IF(AW$50="","",INDEX(Leverancer!BX:BX,ROW()-ROW(Leverancer!$AU$25)+1)*Leverancer!BX$96/1000)</f>
        <v/>
      </c>
      <c r="AX92" s="104"/>
      <c r="AY92" s="104"/>
      <c r="AZ92" s="101"/>
    </row>
    <row r="93" spans="14:52" ht="12.75" hidden="1" customHeight="1" outlineLevel="1" x14ac:dyDescent="0.25">
      <c r="N93" s="99"/>
      <c r="O93" s="104"/>
      <c r="P93" s="104"/>
      <c r="Q93" s="130" t="str">
        <f>INDEX(Leverancer!$AO$1:$AO$1061,ROW()-ROW(Leverancer!$AU$25)+1)&amp;": "&amp;INDEX(Leverancer!$AP$1:$AP$1061,ROW()-ROW(Leverancer!$AU$25)+1)</f>
        <v xml:space="preserve">L41: </v>
      </c>
      <c r="R93" s="128"/>
      <c r="S93" s="133">
        <f t="shared" ca="1" si="11"/>
        <v>0</v>
      </c>
      <c r="T93" s="128">
        <f ca="1">IF(T$50="","",INDEX(Leverancer!AU:AU,ROW()-ROW(Leverancer!$AU$25)+1)*Leverancer!AU$96/1000)</f>
        <v>0</v>
      </c>
      <c r="U93" s="128">
        <f ca="1">IF(U$50="","",INDEX(Leverancer!AV:AV,ROW()-ROW(Leverancer!$AU$25)+1)*Leverancer!AV$96/1000)</f>
        <v>0</v>
      </c>
      <c r="V93" s="128">
        <f ca="1">IF(V$50="","",INDEX(Leverancer!AW:AW,ROW()-ROW(Leverancer!$AU$25)+1)*Leverancer!AW$96/1000)</f>
        <v>0</v>
      </c>
      <c r="W93" s="128">
        <f ca="1">IF(W$50="","",INDEX(Leverancer!AX:AX,ROW()-ROW(Leverancer!$AU$25)+1)*Leverancer!AX$96/1000)</f>
        <v>0</v>
      </c>
      <c r="X93" s="128" t="str">
        <f ca="1">IF(X$50="","",INDEX(Leverancer!AY:AY,ROW()-ROW(Leverancer!$AU$25)+1)*Leverancer!AY$96/1000)</f>
        <v/>
      </c>
      <c r="Y93" s="128" t="str">
        <f ca="1">IF(Y$50="","",INDEX(Leverancer!AZ:AZ,ROW()-ROW(Leverancer!$AU$25)+1)*Leverancer!AZ$96/1000)</f>
        <v/>
      </c>
      <c r="Z93" s="128" t="str">
        <f ca="1">IF(Z$50="","",INDEX(Leverancer!BA:BA,ROW()-ROW(Leverancer!$AU$25)+1)*Leverancer!BA$96/1000)</f>
        <v/>
      </c>
      <c r="AA93" s="128" t="str">
        <f ca="1">IF(AA$50="","",INDEX(Leverancer!BB:BB,ROW()-ROW(Leverancer!$AU$25)+1)*Leverancer!BB$96/1000)</f>
        <v/>
      </c>
      <c r="AB93" s="128" t="str">
        <f ca="1">IF(AB$50="","",INDEX(Leverancer!BC:BC,ROW()-ROW(Leverancer!$AU$25)+1)*Leverancer!BC$96/1000)</f>
        <v/>
      </c>
      <c r="AC93" s="128" t="str">
        <f ca="1">IF(AC$50="","",INDEX(Leverancer!BD:BD,ROW()-ROW(Leverancer!$AU$25)+1)*Leverancer!BD$96/1000)</f>
        <v/>
      </c>
      <c r="AD93" s="128" t="str">
        <f ca="1">IF(AD$50="","",INDEX(Leverancer!BE:BE,ROW()-ROW(Leverancer!$AU$25)+1)*Leverancer!BE$96/1000)</f>
        <v/>
      </c>
      <c r="AE93" s="128" t="str">
        <f ca="1">IF(AE$50="","",INDEX(Leverancer!BF:BF,ROW()-ROW(Leverancer!$AU$25)+1)*Leverancer!BF$96/1000)</f>
        <v/>
      </c>
      <c r="AF93" s="128" t="str">
        <f ca="1">IF(AF$50="","",INDEX(Leverancer!BG:BG,ROW()-ROW(Leverancer!$AU$25)+1)*Leverancer!BG$96/1000)</f>
        <v/>
      </c>
      <c r="AG93" s="128" t="str">
        <f ca="1">IF(AG$50="","",INDEX(Leverancer!BH:BH,ROW()-ROW(Leverancer!$AU$25)+1)*Leverancer!BH$96/1000)</f>
        <v/>
      </c>
      <c r="AH93" s="128" t="str">
        <f ca="1">IF(AH$50="","",INDEX(Leverancer!BI:BI,ROW()-ROW(Leverancer!$AU$25)+1)*Leverancer!BI$96/1000)</f>
        <v/>
      </c>
      <c r="AI93" s="128" t="str">
        <f ca="1">IF(AI$50="","",INDEX(Leverancer!BJ:BJ,ROW()-ROW(Leverancer!$AU$25)+1)*Leverancer!BJ$96/1000)</f>
        <v/>
      </c>
      <c r="AJ93" s="128" t="str">
        <f ca="1">IF(AJ$50="","",INDEX(Leverancer!BK:BK,ROW()-ROW(Leverancer!$AU$25)+1)*Leverancer!BK$96/1000)</f>
        <v/>
      </c>
      <c r="AK93" s="128" t="str">
        <f ca="1">IF(AK$50="","",INDEX(Leverancer!BL:BL,ROW()-ROW(Leverancer!$AU$25)+1)*Leverancer!BL$96/1000)</f>
        <v/>
      </c>
      <c r="AL93" s="128" t="str">
        <f ca="1">IF(AL$50="","",INDEX(Leverancer!BM:BM,ROW()-ROW(Leverancer!$AU$25)+1)*Leverancer!BM$96/1000)</f>
        <v/>
      </c>
      <c r="AM93" s="128" t="str">
        <f ca="1">IF(AM$50="","",INDEX(Leverancer!BN:BN,ROW()-ROW(Leverancer!$AU$25)+1)*Leverancer!BN$96/1000)</f>
        <v/>
      </c>
      <c r="AN93" s="128" t="str">
        <f ca="1">IF(AN$50="","",INDEX(Leverancer!BO:BO,ROW()-ROW(Leverancer!$AU$25)+1)*Leverancer!BO$96/1000)</f>
        <v/>
      </c>
      <c r="AO93" s="128" t="str">
        <f ca="1">IF(AO$50="","",INDEX(Leverancer!BP:BP,ROW()-ROW(Leverancer!$AU$25)+1)*Leverancer!BP$96/1000)</f>
        <v/>
      </c>
      <c r="AP93" s="128" t="str">
        <f ca="1">IF(AP$50="","",INDEX(Leverancer!BQ:BQ,ROW()-ROW(Leverancer!$AU$25)+1)*Leverancer!BQ$96/1000)</f>
        <v/>
      </c>
      <c r="AQ93" s="128" t="str">
        <f ca="1">IF(AQ$50="","",INDEX(Leverancer!BR:BR,ROW()-ROW(Leverancer!$AU$25)+1)*Leverancer!BR$96/1000)</f>
        <v/>
      </c>
      <c r="AR93" s="128" t="str">
        <f ca="1">IF(AR$50="","",INDEX(Leverancer!BS:BS,ROW()-ROW(Leverancer!$AU$25)+1)*Leverancer!BS$96/1000)</f>
        <v/>
      </c>
      <c r="AS93" s="128" t="str">
        <f ca="1">IF(AS$50="","",INDEX(Leverancer!BT:BT,ROW()-ROW(Leverancer!$AU$25)+1)*Leverancer!BT$96/1000)</f>
        <v/>
      </c>
      <c r="AT93" s="128" t="str">
        <f ca="1">IF(AT$50="","",INDEX(Leverancer!BU:BU,ROW()-ROW(Leverancer!$AU$25)+1)*Leverancer!BU$96/1000)</f>
        <v/>
      </c>
      <c r="AU93" s="128" t="str">
        <f ca="1">IF(AU$50="","",INDEX(Leverancer!BV:BV,ROW()-ROW(Leverancer!$AU$25)+1)*Leverancer!BV$96/1000)</f>
        <v/>
      </c>
      <c r="AV93" s="128" t="str">
        <f ca="1">IF(AV$50="","",INDEX(Leverancer!BW:BW,ROW()-ROW(Leverancer!$AU$25)+1)*Leverancer!BW$96/1000)</f>
        <v/>
      </c>
      <c r="AW93" s="128" t="str">
        <f ca="1">IF(AW$50="","",INDEX(Leverancer!BX:BX,ROW()-ROW(Leverancer!$AU$25)+1)*Leverancer!BX$96/1000)</f>
        <v/>
      </c>
      <c r="AX93" s="104"/>
      <c r="AY93" s="104"/>
      <c r="AZ93" s="101"/>
    </row>
    <row r="94" spans="14:52" ht="12.75" hidden="1" customHeight="1" outlineLevel="1" x14ac:dyDescent="0.25">
      <c r="N94" s="99"/>
      <c r="O94" s="104"/>
      <c r="P94" s="104"/>
      <c r="Q94" s="130" t="str">
        <f>INDEX(Leverancer!$AO$1:$AO$1061,ROW()-ROW(Leverancer!$AU$25)+1)&amp;": "&amp;INDEX(Leverancer!$AP$1:$AP$1061,ROW()-ROW(Leverancer!$AU$25)+1)</f>
        <v xml:space="preserve">L42: </v>
      </c>
      <c r="R94" s="128"/>
      <c r="S94" s="133">
        <f t="shared" ca="1" si="11"/>
        <v>0</v>
      </c>
      <c r="T94" s="128">
        <f ca="1">IF(T$50="","",INDEX(Leverancer!AU:AU,ROW()-ROW(Leverancer!$AU$25)+1)*Leverancer!AU$96/1000)</f>
        <v>0</v>
      </c>
      <c r="U94" s="128">
        <f ca="1">IF(U$50="","",INDEX(Leverancer!AV:AV,ROW()-ROW(Leverancer!$AU$25)+1)*Leverancer!AV$96/1000)</f>
        <v>0</v>
      </c>
      <c r="V94" s="128">
        <f ca="1">IF(V$50="","",INDEX(Leverancer!AW:AW,ROW()-ROW(Leverancer!$AU$25)+1)*Leverancer!AW$96/1000)</f>
        <v>0</v>
      </c>
      <c r="W94" s="128">
        <f ca="1">IF(W$50="","",INDEX(Leverancer!AX:AX,ROW()-ROW(Leverancer!$AU$25)+1)*Leverancer!AX$96/1000)</f>
        <v>0</v>
      </c>
      <c r="X94" s="128" t="str">
        <f ca="1">IF(X$50="","",INDEX(Leverancer!AY:AY,ROW()-ROW(Leverancer!$AU$25)+1)*Leverancer!AY$96/1000)</f>
        <v/>
      </c>
      <c r="Y94" s="128" t="str">
        <f ca="1">IF(Y$50="","",INDEX(Leverancer!AZ:AZ,ROW()-ROW(Leverancer!$AU$25)+1)*Leverancer!AZ$96/1000)</f>
        <v/>
      </c>
      <c r="Z94" s="128" t="str">
        <f ca="1">IF(Z$50="","",INDEX(Leverancer!BA:BA,ROW()-ROW(Leverancer!$AU$25)+1)*Leverancer!BA$96/1000)</f>
        <v/>
      </c>
      <c r="AA94" s="128" t="str">
        <f ca="1">IF(AA$50="","",INDEX(Leverancer!BB:BB,ROW()-ROW(Leverancer!$AU$25)+1)*Leverancer!BB$96/1000)</f>
        <v/>
      </c>
      <c r="AB94" s="128" t="str">
        <f ca="1">IF(AB$50="","",INDEX(Leverancer!BC:BC,ROW()-ROW(Leverancer!$AU$25)+1)*Leverancer!BC$96/1000)</f>
        <v/>
      </c>
      <c r="AC94" s="128" t="str">
        <f ca="1">IF(AC$50="","",INDEX(Leverancer!BD:BD,ROW()-ROW(Leverancer!$AU$25)+1)*Leverancer!BD$96/1000)</f>
        <v/>
      </c>
      <c r="AD94" s="128" t="str">
        <f ca="1">IF(AD$50="","",INDEX(Leverancer!BE:BE,ROW()-ROW(Leverancer!$AU$25)+1)*Leverancer!BE$96/1000)</f>
        <v/>
      </c>
      <c r="AE94" s="128" t="str">
        <f ca="1">IF(AE$50="","",INDEX(Leverancer!BF:BF,ROW()-ROW(Leverancer!$AU$25)+1)*Leverancer!BF$96/1000)</f>
        <v/>
      </c>
      <c r="AF94" s="128" t="str">
        <f ca="1">IF(AF$50="","",INDEX(Leverancer!BG:BG,ROW()-ROW(Leverancer!$AU$25)+1)*Leverancer!BG$96/1000)</f>
        <v/>
      </c>
      <c r="AG94" s="128" t="str">
        <f ca="1">IF(AG$50="","",INDEX(Leverancer!BH:BH,ROW()-ROW(Leverancer!$AU$25)+1)*Leverancer!BH$96/1000)</f>
        <v/>
      </c>
      <c r="AH94" s="128" t="str">
        <f ca="1">IF(AH$50="","",INDEX(Leverancer!BI:BI,ROW()-ROW(Leverancer!$AU$25)+1)*Leverancer!BI$96/1000)</f>
        <v/>
      </c>
      <c r="AI94" s="128" t="str">
        <f ca="1">IF(AI$50="","",INDEX(Leverancer!BJ:BJ,ROW()-ROW(Leverancer!$AU$25)+1)*Leverancer!BJ$96/1000)</f>
        <v/>
      </c>
      <c r="AJ94" s="128" t="str">
        <f ca="1">IF(AJ$50="","",INDEX(Leverancer!BK:BK,ROW()-ROW(Leverancer!$AU$25)+1)*Leverancer!BK$96/1000)</f>
        <v/>
      </c>
      <c r="AK94" s="128" t="str">
        <f ca="1">IF(AK$50="","",INDEX(Leverancer!BL:BL,ROW()-ROW(Leverancer!$AU$25)+1)*Leverancer!BL$96/1000)</f>
        <v/>
      </c>
      <c r="AL94" s="128" t="str">
        <f ca="1">IF(AL$50="","",INDEX(Leverancer!BM:BM,ROW()-ROW(Leverancer!$AU$25)+1)*Leverancer!BM$96/1000)</f>
        <v/>
      </c>
      <c r="AM94" s="128" t="str">
        <f ca="1">IF(AM$50="","",INDEX(Leverancer!BN:BN,ROW()-ROW(Leverancer!$AU$25)+1)*Leverancer!BN$96/1000)</f>
        <v/>
      </c>
      <c r="AN94" s="128" t="str">
        <f ca="1">IF(AN$50="","",INDEX(Leverancer!BO:BO,ROW()-ROW(Leverancer!$AU$25)+1)*Leverancer!BO$96/1000)</f>
        <v/>
      </c>
      <c r="AO94" s="128" t="str">
        <f ca="1">IF(AO$50="","",INDEX(Leverancer!BP:BP,ROW()-ROW(Leverancer!$AU$25)+1)*Leverancer!BP$96/1000)</f>
        <v/>
      </c>
      <c r="AP94" s="128" t="str">
        <f ca="1">IF(AP$50="","",INDEX(Leverancer!BQ:BQ,ROW()-ROW(Leverancer!$AU$25)+1)*Leverancer!BQ$96/1000)</f>
        <v/>
      </c>
      <c r="AQ94" s="128" t="str">
        <f ca="1">IF(AQ$50="","",INDEX(Leverancer!BR:BR,ROW()-ROW(Leverancer!$AU$25)+1)*Leverancer!BR$96/1000)</f>
        <v/>
      </c>
      <c r="AR94" s="128" t="str">
        <f ca="1">IF(AR$50="","",INDEX(Leverancer!BS:BS,ROW()-ROW(Leverancer!$AU$25)+1)*Leverancer!BS$96/1000)</f>
        <v/>
      </c>
      <c r="AS94" s="128" t="str">
        <f ca="1">IF(AS$50="","",INDEX(Leverancer!BT:BT,ROW()-ROW(Leverancer!$AU$25)+1)*Leverancer!BT$96/1000)</f>
        <v/>
      </c>
      <c r="AT94" s="128" t="str">
        <f ca="1">IF(AT$50="","",INDEX(Leverancer!BU:BU,ROW()-ROW(Leverancer!$AU$25)+1)*Leverancer!BU$96/1000)</f>
        <v/>
      </c>
      <c r="AU94" s="128" t="str">
        <f ca="1">IF(AU$50="","",INDEX(Leverancer!BV:BV,ROW()-ROW(Leverancer!$AU$25)+1)*Leverancer!BV$96/1000)</f>
        <v/>
      </c>
      <c r="AV94" s="128" t="str">
        <f ca="1">IF(AV$50="","",INDEX(Leverancer!BW:BW,ROW()-ROW(Leverancer!$AU$25)+1)*Leverancer!BW$96/1000)</f>
        <v/>
      </c>
      <c r="AW94" s="128" t="str">
        <f ca="1">IF(AW$50="","",INDEX(Leverancer!BX:BX,ROW()-ROW(Leverancer!$AU$25)+1)*Leverancer!BX$96/1000)</f>
        <v/>
      </c>
      <c r="AX94" s="104"/>
      <c r="AY94" s="104"/>
      <c r="AZ94" s="101"/>
    </row>
    <row r="95" spans="14:52" ht="12.75" hidden="1" customHeight="1" outlineLevel="1" x14ac:dyDescent="0.25">
      <c r="N95" s="99"/>
      <c r="O95" s="104"/>
      <c r="P95" s="104"/>
      <c r="Q95" s="130" t="str">
        <f>INDEX(Leverancer!$AO$1:$AO$1061,ROW()-ROW(Leverancer!$AU$25)+1)&amp;": "&amp;INDEX(Leverancer!$AP$1:$AP$1061,ROW()-ROW(Leverancer!$AU$25)+1)</f>
        <v xml:space="preserve">L43: </v>
      </c>
      <c r="R95" s="128"/>
      <c r="S95" s="133">
        <f t="shared" ca="1" si="11"/>
        <v>0</v>
      </c>
      <c r="T95" s="128">
        <f ca="1">IF(T$50="","",INDEX(Leverancer!AU:AU,ROW()-ROW(Leverancer!$AU$25)+1)*Leverancer!AU$96/1000)</f>
        <v>0</v>
      </c>
      <c r="U95" s="128">
        <f ca="1">IF(U$50="","",INDEX(Leverancer!AV:AV,ROW()-ROW(Leverancer!$AU$25)+1)*Leverancer!AV$96/1000)</f>
        <v>0</v>
      </c>
      <c r="V95" s="128">
        <f ca="1">IF(V$50="","",INDEX(Leverancer!AW:AW,ROW()-ROW(Leverancer!$AU$25)+1)*Leverancer!AW$96/1000)</f>
        <v>0</v>
      </c>
      <c r="W95" s="128">
        <f ca="1">IF(W$50="","",INDEX(Leverancer!AX:AX,ROW()-ROW(Leverancer!$AU$25)+1)*Leverancer!AX$96/1000)</f>
        <v>0</v>
      </c>
      <c r="X95" s="128" t="str">
        <f ca="1">IF(X$50="","",INDEX(Leverancer!AY:AY,ROW()-ROW(Leverancer!$AU$25)+1)*Leverancer!AY$96/1000)</f>
        <v/>
      </c>
      <c r="Y95" s="128" t="str">
        <f ca="1">IF(Y$50="","",INDEX(Leverancer!AZ:AZ,ROW()-ROW(Leverancer!$AU$25)+1)*Leverancer!AZ$96/1000)</f>
        <v/>
      </c>
      <c r="Z95" s="128" t="str">
        <f ca="1">IF(Z$50="","",INDEX(Leverancer!BA:BA,ROW()-ROW(Leverancer!$AU$25)+1)*Leverancer!BA$96/1000)</f>
        <v/>
      </c>
      <c r="AA95" s="128" t="str">
        <f ca="1">IF(AA$50="","",INDEX(Leverancer!BB:BB,ROW()-ROW(Leverancer!$AU$25)+1)*Leverancer!BB$96/1000)</f>
        <v/>
      </c>
      <c r="AB95" s="128" t="str">
        <f ca="1">IF(AB$50="","",INDEX(Leverancer!BC:BC,ROW()-ROW(Leverancer!$AU$25)+1)*Leverancer!BC$96/1000)</f>
        <v/>
      </c>
      <c r="AC95" s="128" t="str">
        <f ca="1">IF(AC$50="","",INDEX(Leverancer!BD:BD,ROW()-ROW(Leverancer!$AU$25)+1)*Leverancer!BD$96/1000)</f>
        <v/>
      </c>
      <c r="AD95" s="128" t="str">
        <f ca="1">IF(AD$50="","",INDEX(Leverancer!BE:BE,ROW()-ROW(Leverancer!$AU$25)+1)*Leverancer!BE$96/1000)</f>
        <v/>
      </c>
      <c r="AE95" s="128" t="str">
        <f ca="1">IF(AE$50="","",INDEX(Leverancer!BF:BF,ROW()-ROW(Leverancer!$AU$25)+1)*Leverancer!BF$96/1000)</f>
        <v/>
      </c>
      <c r="AF95" s="128" t="str">
        <f ca="1">IF(AF$50="","",INDEX(Leverancer!BG:BG,ROW()-ROW(Leverancer!$AU$25)+1)*Leverancer!BG$96/1000)</f>
        <v/>
      </c>
      <c r="AG95" s="128" t="str">
        <f ca="1">IF(AG$50="","",INDEX(Leverancer!BH:BH,ROW()-ROW(Leverancer!$AU$25)+1)*Leverancer!BH$96/1000)</f>
        <v/>
      </c>
      <c r="AH95" s="128" t="str">
        <f ca="1">IF(AH$50="","",INDEX(Leverancer!BI:BI,ROW()-ROW(Leverancer!$AU$25)+1)*Leverancer!BI$96/1000)</f>
        <v/>
      </c>
      <c r="AI95" s="128" t="str">
        <f ca="1">IF(AI$50="","",INDEX(Leverancer!BJ:BJ,ROW()-ROW(Leverancer!$AU$25)+1)*Leverancer!BJ$96/1000)</f>
        <v/>
      </c>
      <c r="AJ95" s="128" t="str">
        <f ca="1">IF(AJ$50="","",INDEX(Leverancer!BK:BK,ROW()-ROW(Leverancer!$AU$25)+1)*Leverancer!BK$96/1000)</f>
        <v/>
      </c>
      <c r="AK95" s="128" t="str">
        <f ca="1">IF(AK$50="","",INDEX(Leverancer!BL:BL,ROW()-ROW(Leverancer!$AU$25)+1)*Leverancer!BL$96/1000)</f>
        <v/>
      </c>
      <c r="AL95" s="128" t="str">
        <f ca="1">IF(AL$50="","",INDEX(Leverancer!BM:BM,ROW()-ROW(Leverancer!$AU$25)+1)*Leverancer!BM$96/1000)</f>
        <v/>
      </c>
      <c r="AM95" s="128" t="str">
        <f ca="1">IF(AM$50="","",INDEX(Leverancer!BN:BN,ROW()-ROW(Leverancer!$AU$25)+1)*Leverancer!BN$96/1000)</f>
        <v/>
      </c>
      <c r="AN95" s="128" t="str">
        <f ca="1">IF(AN$50="","",INDEX(Leverancer!BO:BO,ROW()-ROW(Leverancer!$AU$25)+1)*Leverancer!BO$96/1000)</f>
        <v/>
      </c>
      <c r="AO95" s="128" t="str">
        <f ca="1">IF(AO$50="","",INDEX(Leverancer!BP:BP,ROW()-ROW(Leverancer!$AU$25)+1)*Leverancer!BP$96/1000)</f>
        <v/>
      </c>
      <c r="AP95" s="128" t="str">
        <f ca="1">IF(AP$50="","",INDEX(Leverancer!BQ:BQ,ROW()-ROW(Leverancer!$AU$25)+1)*Leverancer!BQ$96/1000)</f>
        <v/>
      </c>
      <c r="AQ95" s="128" t="str">
        <f ca="1">IF(AQ$50="","",INDEX(Leverancer!BR:BR,ROW()-ROW(Leverancer!$AU$25)+1)*Leverancer!BR$96/1000)</f>
        <v/>
      </c>
      <c r="AR95" s="128" t="str">
        <f ca="1">IF(AR$50="","",INDEX(Leverancer!BS:BS,ROW()-ROW(Leverancer!$AU$25)+1)*Leverancer!BS$96/1000)</f>
        <v/>
      </c>
      <c r="AS95" s="128" t="str">
        <f ca="1">IF(AS$50="","",INDEX(Leverancer!BT:BT,ROW()-ROW(Leverancer!$AU$25)+1)*Leverancer!BT$96/1000)</f>
        <v/>
      </c>
      <c r="AT95" s="128" t="str">
        <f ca="1">IF(AT$50="","",INDEX(Leverancer!BU:BU,ROW()-ROW(Leverancer!$AU$25)+1)*Leverancer!BU$96/1000)</f>
        <v/>
      </c>
      <c r="AU95" s="128" t="str">
        <f ca="1">IF(AU$50="","",INDEX(Leverancer!BV:BV,ROW()-ROW(Leverancer!$AU$25)+1)*Leverancer!BV$96/1000)</f>
        <v/>
      </c>
      <c r="AV95" s="128" t="str">
        <f ca="1">IF(AV$50="","",INDEX(Leverancer!BW:BW,ROW()-ROW(Leverancer!$AU$25)+1)*Leverancer!BW$96/1000)</f>
        <v/>
      </c>
      <c r="AW95" s="128" t="str">
        <f ca="1">IF(AW$50="","",INDEX(Leverancer!BX:BX,ROW()-ROW(Leverancer!$AU$25)+1)*Leverancer!BX$96/1000)</f>
        <v/>
      </c>
      <c r="AX95" s="104"/>
      <c r="AY95" s="104"/>
      <c r="AZ95" s="101"/>
    </row>
    <row r="96" spans="14:52" ht="12.75" hidden="1" customHeight="1" outlineLevel="1" x14ac:dyDescent="0.25">
      <c r="N96" s="99"/>
      <c r="O96" s="104"/>
      <c r="P96" s="104"/>
      <c r="Q96" s="130" t="str">
        <f>INDEX(Leverancer!$AO$1:$AO$1061,ROW()-ROW(Leverancer!$AU$25)+1)&amp;": "&amp;INDEX(Leverancer!$AP$1:$AP$1061,ROW()-ROW(Leverancer!$AU$25)+1)</f>
        <v xml:space="preserve">L44: </v>
      </c>
      <c r="R96" s="128"/>
      <c r="S96" s="133">
        <f t="shared" ca="1" si="11"/>
        <v>0</v>
      </c>
      <c r="T96" s="128">
        <f ca="1">IF(T$50="","",INDEX(Leverancer!AU:AU,ROW()-ROW(Leverancer!$AU$25)+1)*Leverancer!AU$96/1000)</f>
        <v>0</v>
      </c>
      <c r="U96" s="128">
        <f ca="1">IF(U$50="","",INDEX(Leverancer!AV:AV,ROW()-ROW(Leverancer!$AU$25)+1)*Leverancer!AV$96/1000)</f>
        <v>0</v>
      </c>
      <c r="V96" s="128">
        <f ca="1">IF(V$50="","",INDEX(Leverancer!AW:AW,ROW()-ROW(Leverancer!$AU$25)+1)*Leverancer!AW$96/1000)</f>
        <v>0</v>
      </c>
      <c r="W96" s="128">
        <f ca="1">IF(W$50="","",INDEX(Leverancer!AX:AX,ROW()-ROW(Leverancer!$AU$25)+1)*Leverancer!AX$96/1000)</f>
        <v>0</v>
      </c>
      <c r="X96" s="128" t="str">
        <f ca="1">IF(X$50="","",INDEX(Leverancer!AY:AY,ROW()-ROW(Leverancer!$AU$25)+1)*Leverancer!AY$96/1000)</f>
        <v/>
      </c>
      <c r="Y96" s="128" t="str">
        <f ca="1">IF(Y$50="","",INDEX(Leverancer!AZ:AZ,ROW()-ROW(Leverancer!$AU$25)+1)*Leverancer!AZ$96/1000)</f>
        <v/>
      </c>
      <c r="Z96" s="128" t="str">
        <f ca="1">IF(Z$50="","",INDEX(Leverancer!BA:BA,ROW()-ROW(Leverancer!$AU$25)+1)*Leverancer!BA$96/1000)</f>
        <v/>
      </c>
      <c r="AA96" s="128" t="str">
        <f ca="1">IF(AA$50="","",INDEX(Leverancer!BB:BB,ROW()-ROW(Leverancer!$AU$25)+1)*Leverancer!BB$96/1000)</f>
        <v/>
      </c>
      <c r="AB96" s="128" t="str">
        <f ca="1">IF(AB$50="","",INDEX(Leverancer!BC:BC,ROW()-ROW(Leverancer!$AU$25)+1)*Leverancer!BC$96/1000)</f>
        <v/>
      </c>
      <c r="AC96" s="128" t="str">
        <f ca="1">IF(AC$50="","",INDEX(Leverancer!BD:BD,ROW()-ROW(Leverancer!$AU$25)+1)*Leverancer!BD$96/1000)</f>
        <v/>
      </c>
      <c r="AD96" s="128" t="str">
        <f ca="1">IF(AD$50="","",INDEX(Leverancer!BE:BE,ROW()-ROW(Leverancer!$AU$25)+1)*Leverancer!BE$96/1000)</f>
        <v/>
      </c>
      <c r="AE96" s="128" t="str">
        <f ca="1">IF(AE$50="","",INDEX(Leverancer!BF:BF,ROW()-ROW(Leverancer!$AU$25)+1)*Leverancer!BF$96/1000)</f>
        <v/>
      </c>
      <c r="AF96" s="128" t="str">
        <f ca="1">IF(AF$50="","",INDEX(Leverancer!BG:BG,ROW()-ROW(Leverancer!$AU$25)+1)*Leverancer!BG$96/1000)</f>
        <v/>
      </c>
      <c r="AG96" s="128" t="str">
        <f ca="1">IF(AG$50="","",INDEX(Leverancer!BH:BH,ROW()-ROW(Leverancer!$AU$25)+1)*Leverancer!BH$96/1000)</f>
        <v/>
      </c>
      <c r="AH96" s="128" t="str">
        <f ca="1">IF(AH$50="","",INDEX(Leverancer!BI:BI,ROW()-ROW(Leverancer!$AU$25)+1)*Leverancer!BI$96/1000)</f>
        <v/>
      </c>
      <c r="AI96" s="128" t="str">
        <f ca="1">IF(AI$50="","",INDEX(Leverancer!BJ:BJ,ROW()-ROW(Leverancer!$AU$25)+1)*Leverancer!BJ$96/1000)</f>
        <v/>
      </c>
      <c r="AJ96" s="128" t="str">
        <f ca="1">IF(AJ$50="","",INDEX(Leverancer!BK:BK,ROW()-ROW(Leverancer!$AU$25)+1)*Leverancer!BK$96/1000)</f>
        <v/>
      </c>
      <c r="AK96" s="128" t="str">
        <f ca="1">IF(AK$50="","",INDEX(Leverancer!BL:BL,ROW()-ROW(Leverancer!$AU$25)+1)*Leverancer!BL$96/1000)</f>
        <v/>
      </c>
      <c r="AL96" s="128" t="str">
        <f ca="1">IF(AL$50="","",INDEX(Leverancer!BM:BM,ROW()-ROW(Leverancer!$AU$25)+1)*Leverancer!BM$96/1000)</f>
        <v/>
      </c>
      <c r="AM96" s="128" t="str">
        <f ca="1">IF(AM$50="","",INDEX(Leverancer!BN:BN,ROW()-ROW(Leverancer!$AU$25)+1)*Leverancer!BN$96/1000)</f>
        <v/>
      </c>
      <c r="AN96" s="128" t="str">
        <f ca="1">IF(AN$50="","",INDEX(Leverancer!BO:BO,ROW()-ROW(Leverancer!$AU$25)+1)*Leverancer!BO$96/1000)</f>
        <v/>
      </c>
      <c r="AO96" s="128" t="str">
        <f ca="1">IF(AO$50="","",INDEX(Leverancer!BP:BP,ROW()-ROW(Leverancer!$AU$25)+1)*Leverancer!BP$96/1000)</f>
        <v/>
      </c>
      <c r="AP96" s="128" t="str">
        <f ca="1">IF(AP$50="","",INDEX(Leverancer!BQ:BQ,ROW()-ROW(Leverancer!$AU$25)+1)*Leverancer!BQ$96/1000)</f>
        <v/>
      </c>
      <c r="AQ96" s="128" t="str">
        <f ca="1">IF(AQ$50="","",INDEX(Leverancer!BR:BR,ROW()-ROW(Leverancer!$AU$25)+1)*Leverancer!BR$96/1000)</f>
        <v/>
      </c>
      <c r="AR96" s="128" t="str">
        <f ca="1">IF(AR$50="","",INDEX(Leverancer!BS:BS,ROW()-ROW(Leverancer!$AU$25)+1)*Leverancer!BS$96/1000)</f>
        <v/>
      </c>
      <c r="AS96" s="128" t="str">
        <f ca="1">IF(AS$50="","",INDEX(Leverancer!BT:BT,ROW()-ROW(Leverancer!$AU$25)+1)*Leverancer!BT$96/1000)</f>
        <v/>
      </c>
      <c r="AT96" s="128" t="str">
        <f ca="1">IF(AT$50="","",INDEX(Leverancer!BU:BU,ROW()-ROW(Leverancer!$AU$25)+1)*Leverancer!BU$96/1000)</f>
        <v/>
      </c>
      <c r="AU96" s="128" t="str">
        <f ca="1">IF(AU$50="","",INDEX(Leverancer!BV:BV,ROW()-ROW(Leverancer!$AU$25)+1)*Leverancer!BV$96/1000)</f>
        <v/>
      </c>
      <c r="AV96" s="128" t="str">
        <f ca="1">IF(AV$50="","",INDEX(Leverancer!BW:BW,ROW()-ROW(Leverancer!$AU$25)+1)*Leverancer!BW$96/1000)</f>
        <v/>
      </c>
      <c r="AW96" s="128" t="str">
        <f ca="1">IF(AW$50="","",INDEX(Leverancer!BX:BX,ROW()-ROW(Leverancer!$AU$25)+1)*Leverancer!BX$96/1000)</f>
        <v/>
      </c>
      <c r="AX96" s="104"/>
      <c r="AY96" s="104"/>
      <c r="AZ96" s="101"/>
    </row>
    <row r="97" spans="14:52" ht="12.75" hidden="1" customHeight="1" outlineLevel="1" x14ac:dyDescent="0.25">
      <c r="N97" s="99"/>
      <c r="O97" s="104"/>
      <c r="P97" s="104"/>
      <c r="Q97" s="130" t="str">
        <f>INDEX(Leverancer!$AO$1:$AO$1061,ROW()-ROW(Leverancer!$AU$25)+1)&amp;": "&amp;INDEX(Leverancer!$AP$1:$AP$1061,ROW()-ROW(Leverancer!$AU$25)+1)</f>
        <v xml:space="preserve">L45: </v>
      </c>
      <c r="R97" s="128"/>
      <c r="S97" s="133">
        <f t="shared" ca="1" si="11"/>
        <v>0</v>
      </c>
      <c r="T97" s="128">
        <f ca="1">IF(T$50="","",INDEX(Leverancer!AU:AU,ROW()-ROW(Leverancer!$AU$25)+1)*Leverancer!AU$96/1000)</f>
        <v>0</v>
      </c>
      <c r="U97" s="128">
        <f ca="1">IF(U$50="","",INDEX(Leverancer!AV:AV,ROW()-ROW(Leverancer!$AU$25)+1)*Leverancer!AV$96/1000)</f>
        <v>0</v>
      </c>
      <c r="V97" s="128">
        <f ca="1">IF(V$50="","",INDEX(Leverancer!AW:AW,ROW()-ROW(Leverancer!$AU$25)+1)*Leverancer!AW$96/1000)</f>
        <v>0</v>
      </c>
      <c r="W97" s="128">
        <f ca="1">IF(W$50="","",INDEX(Leverancer!AX:AX,ROW()-ROW(Leverancer!$AU$25)+1)*Leverancer!AX$96/1000)</f>
        <v>0</v>
      </c>
      <c r="X97" s="128" t="str">
        <f ca="1">IF(X$50="","",INDEX(Leverancer!AY:AY,ROW()-ROW(Leverancer!$AU$25)+1)*Leverancer!AY$96/1000)</f>
        <v/>
      </c>
      <c r="Y97" s="128" t="str">
        <f ca="1">IF(Y$50="","",INDEX(Leverancer!AZ:AZ,ROW()-ROW(Leverancer!$AU$25)+1)*Leverancer!AZ$96/1000)</f>
        <v/>
      </c>
      <c r="Z97" s="128" t="str">
        <f ca="1">IF(Z$50="","",INDEX(Leverancer!BA:BA,ROW()-ROW(Leverancer!$AU$25)+1)*Leverancer!BA$96/1000)</f>
        <v/>
      </c>
      <c r="AA97" s="128" t="str">
        <f ca="1">IF(AA$50="","",INDEX(Leverancer!BB:BB,ROW()-ROW(Leverancer!$AU$25)+1)*Leverancer!BB$96/1000)</f>
        <v/>
      </c>
      <c r="AB97" s="128" t="str">
        <f ca="1">IF(AB$50="","",INDEX(Leverancer!BC:BC,ROW()-ROW(Leverancer!$AU$25)+1)*Leverancer!BC$96/1000)</f>
        <v/>
      </c>
      <c r="AC97" s="128" t="str">
        <f ca="1">IF(AC$50="","",INDEX(Leverancer!BD:BD,ROW()-ROW(Leverancer!$AU$25)+1)*Leverancer!BD$96/1000)</f>
        <v/>
      </c>
      <c r="AD97" s="128" t="str">
        <f ca="1">IF(AD$50="","",INDEX(Leverancer!BE:BE,ROW()-ROW(Leverancer!$AU$25)+1)*Leverancer!BE$96/1000)</f>
        <v/>
      </c>
      <c r="AE97" s="128" t="str">
        <f ca="1">IF(AE$50="","",INDEX(Leverancer!BF:BF,ROW()-ROW(Leverancer!$AU$25)+1)*Leverancer!BF$96/1000)</f>
        <v/>
      </c>
      <c r="AF97" s="128" t="str">
        <f ca="1">IF(AF$50="","",INDEX(Leverancer!BG:BG,ROW()-ROW(Leverancer!$AU$25)+1)*Leverancer!BG$96/1000)</f>
        <v/>
      </c>
      <c r="AG97" s="128" t="str">
        <f ca="1">IF(AG$50="","",INDEX(Leverancer!BH:BH,ROW()-ROW(Leverancer!$AU$25)+1)*Leverancer!BH$96/1000)</f>
        <v/>
      </c>
      <c r="AH97" s="128" t="str">
        <f ca="1">IF(AH$50="","",INDEX(Leverancer!BI:BI,ROW()-ROW(Leverancer!$AU$25)+1)*Leverancer!BI$96/1000)</f>
        <v/>
      </c>
      <c r="AI97" s="128" t="str">
        <f ca="1">IF(AI$50="","",INDEX(Leverancer!BJ:BJ,ROW()-ROW(Leverancer!$AU$25)+1)*Leverancer!BJ$96/1000)</f>
        <v/>
      </c>
      <c r="AJ97" s="128" t="str">
        <f ca="1">IF(AJ$50="","",INDEX(Leverancer!BK:BK,ROW()-ROW(Leverancer!$AU$25)+1)*Leverancer!BK$96/1000)</f>
        <v/>
      </c>
      <c r="AK97" s="128" t="str">
        <f ca="1">IF(AK$50="","",INDEX(Leverancer!BL:BL,ROW()-ROW(Leverancer!$AU$25)+1)*Leverancer!BL$96/1000)</f>
        <v/>
      </c>
      <c r="AL97" s="128" t="str">
        <f ca="1">IF(AL$50="","",INDEX(Leverancer!BM:BM,ROW()-ROW(Leverancer!$AU$25)+1)*Leverancer!BM$96/1000)</f>
        <v/>
      </c>
      <c r="AM97" s="128" t="str">
        <f ca="1">IF(AM$50="","",INDEX(Leverancer!BN:BN,ROW()-ROW(Leverancer!$AU$25)+1)*Leverancer!BN$96/1000)</f>
        <v/>
      </c>
      <c r="AN97" s="128" t="str">
        <f ca="1">IF(AN$50="","",INDEX(Leverancer!BO:BO,ROW()-ROW(Leverancer!$AU$25)+1)*Leverancer!BO$96/1000)</f>
        <v/>
      </c>
      <c r="AO97" s="128" t="str">
        <f ca="1">IF(AO$50="","",INDEX(Leverancer!BP:BP,ROW()-ROW(Leverancer!$AU$25)+1)*Leverancer!BP$96/1000)</f>
        <v/>
      </c>
      <c r="AP97" s="128" t="str">
        <f ca="1">IF(AP$50="","",INDEX(Leverancer!BQ:BQ,ROW()-ROW(Leverancer!$AU$25)+1)*Leverancer!BQ$96/1000)</f>
        <v/>
      </c>
      <c r="AQ97" s="128" t="str">
        <f ca="1">IF(AQ$50="","",INDEX(Leverancer!BR:BR,ROW()-ROW(Leverancer!$AU$25)+1)*Leverancer!BR$96/1000)</f>
        <v/>
      </c>
      <c r="AR97" s="128" t="str">
        <f ca="1">IF(AR$50="","",INDEX(Leverancer!BS:BS,ROW()-ROW(Leverancer!$AU$25)+1)*Leverancer!BS$96/1000)</f>
        <v/>
      </c>
      <c r="AS97" s="128" t="str">
        <f ca="1">IF(AS$50="","",INDEX(Leverancer!BT:BT,ROW()-ROW(Leverancer!$AU$25)+1)*Leverancer!BT$96/1000)</f>
        <v/>
      </c>
      <c r="AT97" s="128" t="str">
        <f ca="1">IF(AT$50="","",INDEX(Leverancer!BU:BU,ROW()-ROW(Leverancer!$AU$25)+1)*Leverancer!BU$96/1000)</f>
        <v/>
      </c>
      <c r="AU97" s="128" t="str">
        <f ca="1">IF(AU$50="","",INDEX(Leverancer!BV:BV,ROW()-ROW(Leverancer!$AU$25)+1)*Leverancer!BV$96/1000)</f>
        <v/>
      </c>
      <c r="AV97" s="128" t="str">
        <f ca="1">IF(AV$50="","",INDEX(Leverancer!BW:BW,ROW()-ROW(Leverancer!$AU$25)+1)*Leverancer!BW$96/1000)</f>
        <v/>
      </c>
      <c r="AW97" s="128" t="str">
        <f ca="1">IF(AW$50="","",INDEX(Leverancer!BX:BX,ROW()-ROW(Leverancer!$AU$25)+1)*Leverancer!BX$96/1000)</f>
        <v/>
      </c>
      <c r="AX97" s="104"/>
      <c r="AY97" s="104"/>
      <c r="AZ97" s="101"/>
    </row>
    <row r="98" spans="14:52" ht="12.75" hidden="1" customHeight="1" outlineLevel="1" x14ac:dyDescent="0.25">
      <c r="N98" s="99"/>
      <c r="O98" s="104"/>
      <c r="P98" s="104"/>
      <c r="Q98" s="130" t="str">
        <f>INDEX(Leverancer!$AO$1:$AO$1061,ROW()-ROW(Leverancer!$AU$25)+1)&amp;": "&amp;INDEX(Leverancer!$AP$1:$AP$1061,ROW()-ROW(Leverancer!$AU$25)+1)</f>
        <v xml:space="preserve">L46: </v>
      </c>
      <c r="R98" s="128"/>
      <c r="S98" s="133">
        <f t="shared" ca="1" si="11"/>
        <v>0</v>
      </c>
      <c r="T98" s="128">
        <f ca="1">IF(T$50="","",INDEX(Leverancer!AU:AU,ROW()-ROW(Leverancer!$AU$25)+1)*Leverancer!AU$96/1000)</f>
        <v>0</v>
      </c>
      <c r="U98" s="128">
        <f ca="1">IF(U$50="","",INDEX(Leverancer!AV:AV,ROW()-ROW(Leverancer!$AU$25)+1)*Leverancer!AV$96/1000)</f>
        <v>0</v>
      </c>
      <c r="V98" s="128">
        <f ca="1">IF(V$50="","",INDEX(Leverancer!AW:AW,ROW()-ROW(Leverancer!$AU$25)+1)*Leverancer!AW$96/1000)</f>
        <v>0</v>
      </c>
      <c r="W98" s="128">
        <f ca="1">IF(W$50="","",INDEX(Leverancer!AX:AX,ROW()-ROW(Leverancer!$AU$25)+1)*Leverancer!AX$96/1000)</f>
        <v>0</v>
      </c>
      <c r="X98" s="128" t="str">
        <f ca="1">IF(X$50="","",INDEX(Leverancer!AY:AY,ROW()-ROW(Leverancer!$AU$25)+1)*Leverancer!AY$96/1000)</f>
        <v/>
      </c>
      <c r="Y98" s="128" t="str">
        <f ca="1">IF(Y$50="","",INDEX(Leverancer!AZ:AZ,ROW()-ROW(Leverancer!$AU$25)+1)*Leverancer!AZ$96/1000)</f>
        <v/>
      </c>
      <c r="Z98" s="128" t="str">
        <f ca="1">IF(Z$50="","",INDEX(Leverancer!BA:BA,ROW()-ROW(Leverancer!$AU$25)+1)*Leverancer!BA$96/1000)</f>
        <v/>
      </c>
      <c r="AA98" s="128" t="str">
        <f ca="1">IF(AA$50="","",INDEX(Leverancer!BB:BB,ROW()-ROW(Leverancer!$AU$25)+1)*Leverancer!BB$96/1000)</f>
        <v/>
      </c>
      <c r="AB98" s="128" t="str">
        <f ca="1">IF(AB$50="","",INDEX(Leverancer!BC:BC,ROW()-ROW(Leverancer!$AU$25)+1)*Leverancer!BC$96/1000)</f>
        <v/>
      </c>
      <c r="AC98" s="128" t="str">
        <f ca="1">IF(AC$50="","",INDEX(Leverancer!BD:BD,ROW()-ROW(Leverancer!$AU$25)+1)*Leverancer!BD$96/1000)</f>
        <v/>
      </c>
      <c r="AD98" s="128" t="str">
        <f ca="1">IF(AD$50="","",INDEX(Leverancer!BE:BE,ROW()-ROW(Leverancer!$AU$25)+1)*Leverancer!BE$96/1000)</f>
        <v/>
      </c>
      <c r="AE98" s="128" t="str">
        <f ca="1">IF(AE$50="","",INDEX(Leverancer!BF:BF,ROW()-ROW(Leverancer!$AU$25)+1)*Leverancer!BF$96/1000)</f>
        <v/>
      </c>
      <c r="AF98" s="128" t="str">
        <f ca="1">IF(AF$50="","",INDEX(Leverancer!BG:BG,ROW()-ROW(Leverancer!$AU$25)+1)*Leverancer!BG$96/1000)</f>
        <v/>
      </c>
      <c r="AG98" s="128" t="str">
        <f ca="1">IF(AG$50="","",INDEX(Leverancer!BH:BH,ROW()-ROW(Leverancer!$AU$25)+1)*Leverancer!BH$96/1000)</f>
        <v/>
      </c>
      <c r="AH98" s="128" t="str">
        <f ca="1">IF(AH$50="","",INDEX(Leverancer!BI:BI,ROW()-ROW(Leverancer!$AU$25)+1)*Leverancer!BI$96/1000)</f>
        <v/>
      </c>
      <c r="AI98" s="128" t="str">
        <f ca="1">IF(AI$50="","",INDEX(Leverancer!BJ:BJ,ROW()-ROW(Leverancer!$AU$25)+1)*Leverancer!BJ$96/1000)</f>
        <v/>
      </c>
      <c r="AJ98" s="128" t="str">
        <f ca="1">IF(AJ$50="","",INDEX(Leverancer!BK:BK,ROW()-ROW(Leverancer!$AU$25)+1)*Leverancer!BK$96/1000)</f>
        <v/>
      </c>
      <c r="AK98" s="128" t="str">
        <f ca="1">IF(AK$50="","",INDEX(Leverancer!BL:BL,ROW()-ROW(Leverancer!$AU$25)+1)*Leverancer!BL$96/1000)</f>
        <v/>
      </c>
      <c r="AL98" s="128" t="str">
        <f ca="1">IF(AL$50="","",INDEX(Leverancer!BM:BM,ROW()-ROW(Leverancer!$AU$25)+1)*Leverancer!BM$96/1000)</f>
        <v/>
      </c>
      <c r="AM98" s="128" t="str">
        <f ca="1">IF(AM$50="","",INDEX(Leverancer!BN:BN,ROW()-ROW(Leverancer!$AU$25)+1)*Leverancer!BN$96/1000)</f>
        <v/>
      </c>
      <c r="AN98" s="128" t="str">
        <f ca="1">IF(AN$50="","",INDEX(Leverancer!BO:BO,ROW()-ROW(Leverancer!$AU$25)+1)*Leverancer!BO$96/1000)</f>
        <v/>
      </c>
      <c r="AO98" s="128" t="str">
        <f ca="1">IF(AO$50="","",INDEX(Leverancer!BP:BP,ROW()-ROW(Leverancer!$AU$25)+1)*Leverancer!BP$96/1000)</f>
        <v/>
      </c>
      <c r="AP98" s="128" t="str">
        <f ca="1">IF(AP$50="","",INDEX(Leverancer!BQ:BQ,ROW()-ROW(Leverancer!$AU$25)+1)*Leverancer!BQ$96/1000)</f>
        <v/>
      </c>
      <c r="AQ98" s="128" t="str">
        <f ca="1">IF(AQ$50="","",INDEX(Leverancer!BR:BR,ROW()-ROW(Leverancer!$AU$25)+1)*Leverancer!BR$96/1000)</f>
        <v/>
      </c>
      <c r="AR98" s="128" t="str">
        <f ca="1">IF(AR$50="","",INDEX(Leverancer!BS:BS,ROW()-ROW(Leverancer!$AU$25)+1)*Leverancer!BS$96/1000)</f>
        <v/>
      </c>
      <c r="AS98" s="128" t="str">
        <f ca="1">IF(AS$50="","",INDEX(Leverancer!BT:BT,ROW()-ROW(Leverancer!$AU$25)+1)*Leverancer!BT$96/1000)</f>
        <v/>
      </c>
      <c r="AT98" s="128" t="str">
        <f ca="1">IF(AT$50="","",INDEX(Leverancer!BU:BU,ROW()-ROW(Leverancer!$AU$25)+1)*Leverancer!BU$96/1000)</f>
        <v/>
      </c>
      <c r="AU98" s="128" t="str">
        <f ca="1">IF(AU$50="","",INDEX(Leverancer!BV:BV,ROW()-ROW(Leverancer!$AU$25)+1)*Leverancer!BV$96/1000)</f>
        <v/>
      </c>
      <c r="AV98" s="128" t="str">
        <f ca="1">IF(AV$50="","",INDEX(Leverancer!BW:BW,ROW()-ROW(Leverancer!$AU$25)+1)*Leverancer!BW$96/1000)</f>
        <v/>
      </c>
      <c r="AW98" s="128" t="str">
        <f ca="1">IF(AW$50="","",INDEX(Leverancer!BX:BX,ROW()-ROW(Leverancer!$AU$25)+1)*Leverancer!BX$96/1000)</f>
        <v/>
      </c>
      <c r="AX98" s="104"/>
      <c r="AY98" s="104"/>
      <c r="AZ98" s="101"/>
    </row>
    <row r="99" spans="14:52" ht="12.75" hidden="1" customHeight="1" outlineLevel="1" x14ac:dyDescent="0.25">
      <c r="N99" s="99"/>
      <c r="O99" s="104"/>
      <c r="P99" s="104"/>
      <c r="Q99" s="130" t="str">
        <f>INDEX(Leverancer!$AO$1:$AO$1061,ROW()-ROW(Leverancer!$AU$25)+1)&amp;": "&amp;INDEX(Leverancer!$AP$1:$AP$1061,ROW()-ROW(Leverancer!$AU$25)+1)</f>
        <v xml:space="preserve">L47: </v>
      </c>
      <c r="R99" s="128"/>
      <c r="S99" s="133">
        <f t="shared" ca="1" si="11"/>
        <v>0</v>
      </c>
      <c r="T99" s="128">
        <f ca="1">IF(T$50="","",INDEX(Leverancer!AU:AU,ROW()-ROW(Leverancer!$AU$25)+1)*Leverancer!AU$96/1000)</f>
        <v>0</v>
      </c>
      <c r="U99" s="128">
        <f ca="1">IF(U$50="","",INDEX(Leverancer!AV:AV,ROW()-ROW(Leverancer!$AU$25)+1)*Leverancer!AV$96/1000)</f>
        <v>0</v>
      </c>
      <c r="V99" s="128">
        <f ca="1">IF(V$50="","",INDEX(Leverancer!AW:AW,ROW()-ROW(Leverancer!$AU$25)+1)*Leverancer!AW$96/1000)</f>
        <v>0</v>
      </c>
      <c r="W99" s="128">
        <f ca="1">IF(W$50="","",INDEX(Leverancer!AX:AX,ROW()-ROW(Leverancer!$AU$25)+1)*Leverancer!AX$96/1000)</f>
        <v>0</v>
      </c>
      <c r="X99" s="128" t="str">
        <f ca="1">IF(X$50="","",INDEX(Leverancer!AY:AY,ROW()-ROW(Leverancer!$AU$25)+1)*Leverancer!AY$96/1000)</f>
        <v/>
      </c>
      <c r="Y99" s="128" t="str">
        <f ca="1">IF(Y$50="","",INDEX(Leverancer!AZ:AZ,ROW()-ROW(Leverancer!$AU$25)+1)*Leverancer!AZ$96/1000)</f>
        <v/>
      </c>
      <c r="Z99" s="128" t="str">
        <f ca="1">IF(Z$50="","",INDEX(Leverancer!BA:BA,ROW()-ROW(Leverancer!$AU$25)+1)*Leverancer!BA$96/1000)</f>
        <v/>
      </c>
      <c r="AA99" s="128" t="str">
        <f ca="1">IF(AA$50="","",INDEX(Leverancer!BB:BB,ROW()-ROW(Leverancer!$AU$25)+1)*Leverancer!BB$96/1000)</f>
        <v/>
      </c>
      <c r="AB99" s="128" t="str">
        <f ca="1">IF(AB$50="","",INDEX(Leverancer!BC:BC,ROW()-ROW(Leverancer!$AU$25)+1)*Leverancer!BC$96/1000)</f>
        <v/>
      </c>
      <c r="AC99" s="128" t="str">
        <f ca="1">IF(AC$50="","",INDEX(Leverancer!BD:BD,ROW()-ROW(Leverancer!$AU$25)+1)*Leverancer!BD$96/1000)</f>
        <v/>
      </c>
      <c r="AD99" s="128" t="str">
        <f ca="1">IF(AD$50="","",INDEX(Leverancer!BE:BE,ROW()-ROW(Leverancer!$AU$25)+1)*Leverancer!BE$96/1000)</f>
        <v/>
      </c>
      <c r="AE99" s="128" t="str">
        <f ca="1">IF(AE$50="","",INDEX(Leverancer!BF:BF,ROW()-ROW(Leverancer!$AU$25)+1)*Leverancer!BF$96/1000)</f>
        <v/>
      </c>
      <c r="AF99" s="128" t="str">
        <f ca="1">IF(AF$50="","",INDEX(Leverancer!BG:BG,ROW()-ROW(Leverancer!$AU$25)+1)*Leverancer!BG$96/1000)</f>
        <v/>
      </c>
      <c r="AG99" s="128" t="str">
        <f ca="1">IF(AG$50="","",INDEX(Leverancer!BH:BH,ROW()-ROW(Leverancer!$AU$25)+1)*Leverancer!BH$96/1000)</f>
        <v/>
      </c>
      <c r="AH99" s="128" t="str">
        <f ca="1">IF(AH$50="","",INDEX(Leverancer!BI:BI,ROW()-ROW(Leverancer!$AU$25)+1)*Leverancer!BI$96/1000)</f>
        <v/>
      </c>
      <c r="AI99" s="128" t="str">
        <f ca="1">IF(AI$50="","",INDEX(Leverancer!BJ:BJ,ROW()-ROW(Leverancer!$AU$25)+1)*Leverancer!BJ$96/1000)</f>
        <v/>
      </c>
      <c r="AJ99" s="128" t="str">
        <f ca="1">IF(AJ$50="","",INDEX(Leverancer!BK:BK,ROW()-ROW(Leverancer!$AU$25)+1)*Leverancer!BK$96/1000)</f>
        <v/>
      </c>
      <c r="AK99" s="128" t="str">
        <f ca="1">IF(AK$50="","",INDEX(Leverancer!BL:BL,ROW()-ROW(Leverancer!$AU$25)+1)*Leverancer!BL$96/1000)</f>
        <v/>
      </c>
      <c r="AL99" s="128" t="str">
        <f ca="1">IF(AL$50="","",INDEX(Leverancer!BM:BM,ROW()-ROW(Leverancer!$AU$25)+1)*Leverancer!BM$96/1000)</f>
        <v/>
      </c>
      <c r="AM99" s="128" t="str">
        <f ca="1">IF(AM$50="","",INDEX(Leverancer!BN:BN,ROW()-ROW(Leverancer!$AU$25)+1)*Leverancer!BN$96/1000)</f>
        <v/>
      </c>
      <c r="AN99" s="128" t="str">
        <f ca="1">IF(AN$50="","",INDEX(Leverancer!BO:BO,ROW()-ROW(Leverancer!$AU$25)+1)*Leverancer!BO$96/1000)</f>
        <v/>
      </c>
      <c r="AO99" s="128" t="str">
        <f ca="1">IF(AO$50="","",INDEX(Leverancer!BP:BP,ROW()-ROW(Leverancer!$AU$25)+1)*Leverancer!BP$96/1000)</f>
        <v/>
      </c>
      <c r="AP99" s="128" t="str">
        <f ca="1">IF(AP$50="","",INDEX(Leverancer!BQ:BQ,ROW()-ROW(Leverancer!$AU$25)+1)*Leverancer!BQ$96/1000)</f>
        <v/>
      </c>
      <c r="AQ99" s="128" t="str">
        <f ca="1">IF(AQ$50="","",INDEX(Leverancer!BR:BR,ROW()-ROW(Leverancer!$AU$25)+1)*Leverancer!BR$96/1000)</f>
        <v/>
      </c>
      <c r="AR99" s="128" t="str">
        <f ca="1">IF(AR$50="","",INDEX(Leverancer!BS:BS,ROW()-ROW(Leverancer!$AU$25)+1)*Leverancer!BS$96/1000)</f>
        <v/>
      </c>
      <c r="AS99" s="128" t="str">
        <f ca="1">IF(AS$50="","",INDEX(Leverancer!BT:BT,ROW()-ROW(Leverancer!$AU$25)+1)*Leverancer!BT$96/1000)</f>
        <v/>
      </c>
      <c r="AT99" s="128" t="str">
        <f ca="1">IF(AT$50="","",INDEX(Leverancer!BU:BU,ROW()-ROW(Leverancer!$AU$25)+1)*Leverancer!BU$96/1000)</f>
        <v/>
      </c>
      <c r="AU99" s="128" t="str">
        <f ca="1">IF(AU$50="","",INDEX(Leverancer!BV:BV,ROW()-ROW(Leverancer!$AU$25)+1)*Leverancer!BV$96/1000)</f>
        <v/>
      </c>
      <c r="AV99" s="128" t="str">
        <f ca="1">IF(AV$50="","",INDEX(Leverancer!BW:BW,ROW()-ROW(Leverancer!$AU$25)+1)*Leverancer!BW$96/1000)</f>
        <v/>
      </c>
      <c r="AW99" s="128" t="str">
        <f ca="1">IF(AW$50="","",INDEX(Leverancer!BX:BX,ROW()-ROW(Leverancer!$AU$25)+1)*Leverancer!BX$96/1000)</f>
        <v/>
      </c>
      <c r="AX99" s="104"/>
      <c r="AY99" s="104"/>
      <c r="AZ99" s="101"/>
    </row>
    <row r="100" spans="14:52" ht="12.75" hidden="1" customHeight="1" outlineLevel="1" x14ac:dyDescent="0.25">
      <c r="N100" s="99"/>
      <c r="O100" s="104"/>
      <c r="P100" s="104"/>
      <c r="Q100" s="130" t="str">
        <f>INDEX(Leverancer!$AO$1:$AO$1061,ROW()-ROW(Leverancer!$AU$25)+1)&amp;": "&amp;INDEX(Leverancer!$AP$1:$AP$1061,ROW()-ROW(Leverancer!$AU$25)+1)</f>
        <v xml:space="preserve">L48: </v>
      </c>
      <c r="R100" s="128"/>
      <c r="S100" s="133">
        <f t="shared" ca="1" si="11"/>
        <v>0</v>
      </c>
      <c r="T100" s="128">
        <f ca="1">IF(T$50="","",INDEX(Leverancer!AU:AU,ROW()-ROW(Leverancer!$AU$25)+1)*Leverancer!AU$96/1000)</f>
        <v>0</v>
      </c>
      <c r="U100" s="128">
        <f ca="1">IF(U$50="","",INDEX(Leverancer!AV:AV,ROW()-ROW(Leverancer!$AU$25)+1)*Leverancer!AV$96/1000)</f>
        <v>0</v>
      </c>
      <c r="V100" s="128">
        <f ca="1">IF(V$50="","",INDEX(Leverancer!AW:AW,ROW()-ROW(Leverancer!$AU$25)+1)*Leverancer!AW$96/1000)</f>
        <v>0</v>
      </c>
      <c r="W100" s="128">
        <f ca="1">IF(W$50="","",INDEX(Leverancer!AX:AX,ROW()-ROW(Leverancer!$AU$25)+1)*Leverancer!AX$96/1000)</f>
        <v>0</v>
      </c>
      <c r="X100" s="128" t="str">
        <f ca="1">IF(X$50="","",INDEX(Leverancer!AY:AY,ROW()-ROW(Leverancer!$AU$25)+1)*Leverancer!AY$96/1000)</f>
        <v/>
      </c>
      <c r="Y100" s="128" t="str">
        <f ca="1">IF(Y$50="","",INDEX(Leverancer!AZ:AZ,ROW()-ROW(Leverancer!$AU$25)+1)*Leverancer!AZ$96/1000)</f>
        <v/>
      </c>
      <c r="Z100" s="128" t="str">
        <f ca="1">IF(Z$50="","",INDEX(Leverancer!BA:BA,ROW()-ROW(Leverancer!$AU$25)+1)*Leverancer!BA$96/1000)</f>
        <v/>
      </c>
      <c r="AA100" s="128" t="str">
        <f ca="1">IF(AA$50="","",INDEX(Leverancer!BB:BB,ROW()-ROW(Leverancer!$AU$25)+1)*Leverancer!BB$96/1000)</f>
        <v/>
      </c>
      <c r="AB100" s="128" t="str">
        <f ca="1">IF(AB$50="","",INDEX(Leverancer!BC:BC,ROW()-ROW(Leverancer!$AU$25)+1)*Leverancer!BC$96/1000)</f>
        <v/>
      </c>
      <c r="AC100" s="128" t="str">
        <f ca="1">IF(AC$50="","",INDEX(Leverancer!BD:BD,ROW()-ROW(Leverancer!$AU$25)+1)*Leverancer!BD$96/1000)</f>
        <v/>
      </c>
      <c r="AD100" s="128" t="str">
        <f ca="1">IF(AD$50="","",INDEX(Leverancer!BE:BE,ROW()-ROW(Leverancer!$AU$25)+1)*Leverancer!BE$96/1000)</f>
        <v/>
      </c>
      <c r="AE100" s="128" t="str">
        <f ca="1">IF(AE$50="","",INDEX(Leverancer!BF:BF,ROW()-ROW(Leverancer!$AU$25)+1)*Leverancer!BF$96/1000)</f>
        <v/>
      </c>
      <c r="AF100" s="128" t="str">
        <f ca="1">IF(AF$50="","",INDEX(Leverancer!BG:BG,ROW()-ROW(Leverancer!$AU$25)+1)*Leverancer!BG$96/1000)</f>
        <v/>
      </c>
      <c r="AG100" s="128" t="str">
        <f ca="1">IF(AG$50="","",INDEX(Leverancer!BH:BH,ROW()-ROW(Leverancer!$AU$25)+1)*Leverancer!BH$96/1000)</f>
        <v/>
      </c>
      <c r="AH100" s="128" t="str">
        <f ca="1">IF(AH$50="","",INDEX(Leverancer!BI:BI,ROW()-ROW(Leverancer!$AU$25)+1)*Leverancer!BI$96/1000)</f>
        <v/>
      </c>
      <c r="AI100" s="128" t="str">
        <f ca="1">IF(AI$50="","",INDEX(Leverancer!BJ:BJ,ROW()-ROW(Leverancer!$AU$25)+1)*Leverancer!BJ$96/1000)</f>
        <v/>
      </c>
      <c r="AJ100" s="128" t="str">
        <f ca="1">IF(AJ$50="","",INDEX(Leverancer!BK:BK,ROW()-ROW(Leverancer!$AU$25)+1)*Leverancer!BK$96/1000)</f>
        <v/>
      </c>
      <c r="AK100" s="128" t="str">
        <f ca="1">IF(AK$50="","",INDEX(Leverancer!BL:BL,ROW()-ROW(Leverancer!$AU$25)+1)*Leverancer!BL$96/1000)</f>
        <v/>
      </c>
      <c r="AL100" s="128" t="str">
        <f ca="1">IF(AL$50="","",INDEX(Leverancer!BM:BM,ROW()-ROW(Leverancer!$AU$25)+1)*Leverancer!BM$96/1000)</f>
        <v/>
      </c>
      <c r="AM100" s="128" t="str">
        <f ca="1">IF(AM$50="","",INDEX(Leverancer!BN:BN,ROW()-ROW(Leverancer!$AU$25)+1)*Leverancer!BN$96/1000)</f>
        <v/>
      </c>
      <c r="AN100" s="128" t="str">
        <f ca="1">IF(AN$50="","",INDEX(Leverancer!BO:BO,ROW()-ROW(Leverancer!$AU$25)+1)*Leverancer!BO$96/1000)</f>
        <v/>
      </c>
      <c r="AO100" s="128" t="str">
        <f ca="1">IF(AO$50="","",INDEX(Leverancer!BP:BP,ROW()-ROW(Leverancer!$AU$25)+1)*Leverancer!BP$96/1000)</f>
        <v/>
      </c>
      <c r="AP100" s="128" t="str">
        <f ca="1">IF(AP$50="","",INDEX(Leverancer!BQ:BQ,ROW()-ROW(Leverancer!$AU$25)+1)*Leverancer!BQ$96/1000)</f>
        <v/>
      </c>
      <c r="AQ100" s="128" t="str">
        <f ca="1">IF(AQ$50="","",INDEX(Leverancer!BR:BR,ROW()-ROW(Leverancer!$AU$25)+1)*Leverancer!BR$96/1000)</f>
        <v/>
      </c>
      <c r="AR100" s="128" t="str">
        <f ca="1">IF(AR$50="","",INDEX(Leverancer!BS:BS,ROW()-ROW(Leverancer!$AU$25)+1)*Leverancer!BS$96/1000)</f>
        <v/>
      </c>
      <c r="AS100" s="128" t="str">
        <f ca="1">IF(AS$50="","",INDEX(Leverancer!BT:BT,ROW()-ROW(Leverancer!$AU$25)+1)*Leverancer!BT$96/1000)</f>
        <v/>
      </c>
      <c r="AT100" s="128" t="str">
        <f ca="1">IF(AT$50="","",INDEX(Leverancer!BU:BU,ROW()-ROW(Leverancer!$AU$25)+1)*Leverancer!BU$96/1000)</f>
        <v/>
      </c>
      <c r="AU100" s="128" t="str">
        <f ca="1">IF(AU$50="","",INDEX(Leverancer!BV:BV,ROW()-ROW(Leverancer!$AU$25)+1)*Leverancer!BV$96/1000)</f>
        <v/>
      </c>
      <c r="AV100" s="128" t="str">
        <f ca="1">IF(AV$50="","",INDEX(Leverancer!BW:BW,ROW()-ROW(Leverancer!$AU$25)+1)*Leverancer!BW$96/1000)</f>
        <v/>
      </c>
      <c r="AW100" s="128" t="str">
        <f ca="1">IF(AW$50="","",INDEX(Leverancer!BX:BX,ROW()-ROW(Leverancer!$AU$25)+1)*Leverancer!BX$96/1000)</f>
        <v/>
      </c>
      <c r="AX100" s="104"/>
      <c r="AY100" s="104"/>
      <c r="AZ100" s="101"/>
    </row>
    <row r="101" spans="14:52" ht="12.75" hidden="1" customHeight="1" outlineLevel="1" x14ac:dyDescent="0.25">
      <c r="N101" s="99"/>
      <c r="O101" s="104"/>
      <c r="P101" s="104"/>
      <c r="Q101" s="130" t="str">
        <f>INDEX(Leverancer!$AO$1:$AO$1061,ROW()-ROW(Leverancer!$AU$25)+1)&amp;": "&amp;INDEX(Leverancer!$AP$1:$AP$1061,ROW()-ROW(Leverancer!$AU$25)+1)</f>
        <v xml:space="preserve">L49: </v>
      </c>
      <c r="R101" s="128"/>
      <c r="S101" s="133">
        <f t="shared" ca="1" si="11"/>
        <v>0</v>
      </c>
      <c r="T101" s="128">
        <f ca="1">IF(T$50="","",INDEX(Leverancer!AU:AU,ROW()-ROW(Leverancer!$AU$25)+1)*Leverancer!AU$96/1000)</f>
        <v>0</v>
      </c>
      <c r="U101" s="128">
        <f ca="1">IF(U$50="","",INDEX(Leverancer!AV:AV,ROW()-ROW(Leverancer!$AU$25)+1)*Leverancer!AV$96/1000)</f>
        <v>0</v>
      </c>
      <c r="V101" s="128">
        <f ca="1">IF(V$50="","",INDEX(Leverancer!AW:AW,ROW()-ROW(Leverancer!$AU$25)+1)*Leverancer!AW$96/1000)</f>
        <v>0</v>
      </c>
      <c r="W101" s="128">
        <f ca="1">IF(W$50="","",INDEX(Leverancer!AX:AX,ROW()-ROW(Leverancer!$AU$25)+1)*Leverancer!AX$96/1000)</f>
        <v>0</v>
      </c>
      <c r="X101" s="128" t="str">
        <f ca="1">IF(X$50="","",INDEX(Leverancer!AY:AY,ROW()-ROW(Leverancer!$AU$25)+1)*Leverancer!AY$96/1000)</f>
        <v/>
      </c>
      <c r="Y101" s="128" t="str">
        <f ca="1">IF(Y$50="","",INDEX(Leverancer!AZ:AZ,ROW()-ROW(Leverancer!$AU$25)+1)*Leverancer!AZ$96/1000)</f>
        <v/>
      </c>
      <c r="Z101" s="128" t="str">
        <f ca="1">IF(Z$50="","",INDEX(Leverancer!BA:BA,ROW()-ROW(Leverancer!$AU$25)+1)*Leverancer!BA$96/1000)</f>
        <v/>
      </c>
      <c r="AA101" s="128" t="str">
        <f ca="1">IF(AA$50="","",INDEX(Leverancer!BB:BB,ROW()-ROW(Leverancer!$AU$25)+1)*Leverancer!BB$96/1000)</f>
        <v/>
      </c>
      <c r="AB101" s="128" t="str">
        <f ca="1">IF(AB$50="","",INDEX(Leverancer!BC:BC,ROW()-ROW(Leverancer!$AU$25)+1)*Leverancer!BC$96/1000)</f>
        <v/>
      </c>
      <c r="AC101" s="128" t="str">
        <f ca="1">IF(AC$50="","",INDEX(Leverancer!BD:BD,ROW()-ROW(Leverancer!$AU$25)+1)*Leverancer!BD$96/1000)</f>
        <v/>
      </c>
      <c r="AD101" s="128" t="str">
        <f ca="1">IF(AD$50="","",INDEX(Leverancer!BE:BE,ROW()-ROW(Leverancer!$AU$25)+1)*Leverancer!BE$96/1000)</f>
        <v/>
      </c>
      <c r="AE101" s="128" t="str">
        <f ca="1">IF(AE$50="","",INDEX(Leverancer!BF:BF,ROW()-ROW(Leverancer!$AU$25)+1)*Leverancer!BF$96/1000)</f>
        <v/>
      </c>
      <c r="AF101" s="128" t="str">
        <f ca="1">IF(AF$50="","",INDEX(Leverancer!BG:BG,ROW()-ROW(Leverancer!$AU$25)+1)*Leverancer!BG$96/1000)</f>
        <v/>
      </c>
      <c r="AG101" s="128" t="str">
        <f ca="1">IF(AG$50="","",INDEX(Leverancer!BH:BH,ROW()-ROW(Leverancer!$AU$25)+1)*Leverancer!BH$96/1000)</f>
        <v/>
      </c>
      <c r="AH101" s="128" t="str">
        <f ca="1">IF(AH$50="","",INDEX(Leverancer!BI:BI,ROW()-ROW(Leverancer!$AU$25)+1)*Leverancer!BI$96/1000)</f>
        <v/>
      </c>
      <c r="AI101" s="128" t="str">
        <f ca="1">IF(AI$50="","",INDEX(Leverancer!BJ:BJ,ROW()-ROW(Leverancer!$AU$25)+1)*Leverancer!BJ$96/1000)</f>
        <v/>
      </c>
      <c r="AJ101" s="128" t="str">
        <f ca="1">IF(AJ$50="","",INDEX(Leverancer!BK:BK,ROW()-ROW(Leverancer!$AU$25)+1)*Leverancer!BK$96/1000)</f>
        <v/>
      </c>
      <c r="AK101" s="128" t="str">
        <f ca="1">IF(AK$50="","",INDEX(Leverancer!BL:BL,ROW()-ROW(Leverancer!$AU$25)+1)*Leverancer!BL$96/1000)</f>
        <v/>
      </c>
      <c r="AL101" s="128" t="str">
        <f ca="1">IF(AL$50="","",INDEX(Leverancer!BM:BM,ROW()-ROW(Leverancer!$AU$25)+1)*Leverancer!BM$96/1000)</f>
        <v/>
      </c>
      <c r="AM101" s="128" t="str">
        <f ca="1">IF(AM$50="","",INDEX(Leverancer!BN:BN,ROW()-ROW(Leverancer!$AU$25)+1)*Leverancer!BN$96/1000)</f>
        <v/>
      </c>
      <c r="AN101" s="128" t="str">
        <f ca="1">IF(AN$50="","",INDEX(Leverancer!BO:BO,ROW()-ROW(Leverancer!$AU$25)+1)*Leverancer!BO$96/1000)</f>
        <v/>
      </c>
      <c r="AO101" s="128" t="str">
        <f ca="1">IF(AO$50="","",INDEX(Leverancer!BP:BP,ROW()-ROW(Leverancer!$AU$25)+1)*Leverancer!BP$96/1000)</f>
        <v/>
      </c>
      <c r="AP101" s="128" t="str">
        <f ca="1">IF(AP$50="","",INDEX(Leverancer!BQ:BQ,ROW()-ROW(Leverancer!$AU$25)+1)*Leverancer!BQ$96/1000)</f>
        <v/>
      </c>
      <c r="AQ101" s="128" t="str">
        <f ca="1">IF(AQ$50="","",INDEX(Leverancer!BR:BR,ROW()-ROW(Leverancer!$AU$25)+1)*Leverancer!BR$96/1000)</f>
        <v/>
      </c>
      <c r="AR101" s="128" t="str">
        <f ca="1">IF(AR$50="","",INDEX(Leverancer!BS:BS,ROW()-ROW(Leverancer!$AU$25)+1)*Leverancer!BS$96/1000)</f>
        <v/>
      </c>
      <c r="AS101" s="128" t="str">
        <f ca="1">IF(AS$50="","",INDEX(Leverancer!BT:BT,ROW()-ROW(Leverancer!$AU$25)+1)*Leverancer!BT$96/1000)</f>
        <v/>
      </c>
      <c r="AT101" s="128" t="str">
        <f ca="1">IF(AT$50="","",INDEX(Leverancer!BU:BU,ROW()-ROW(Leverancer!$AU$25)+1)*Leverancer!BU$96/1000)</f>
        <v/>
      </c>
      <c r="AU101" s="128" t="str">
        <f ca="1">IF(AU$50="","",INDEX(Leverancer!BV:BV,ROW()-ROW(Leverancer!$AU$25)+1)*Leverancer!BV$96/1000)</f>
        <v/>
      </c>
      <c r="AV101" s="128" t="str">
        <f ca="1">IF(AV$50="","",INDEX(Leverancer!BW:BW,ROW()-ROW(Leverancer!$AU$25)+1)*Leverancer!BW$96/1000)</f>
        <v/>
      </c>
      <c r="AW101" s="128" t="str">
        <f ca="1">IF(AW$50="","",INDEX(Leverancer!BX:BX,ROW()-ROW(Leverancer!$AU$25)+1)*Leverancer!BX$96/1000)</f>
        <v/>
      </c>
      <c r="AX101" s="104"/>
      <c r="AY101" s="104"/>
      <c r="AZ101" s="101"/>
    </row>
    <row r="102" spans="14:52" ht="12.75" hidden="1" customHeight="1" outlineLevel="1" x14ac:dyDescent="0.25">
      <c r="N102" s="99"/>
      <c r="O102" s="104"/>
      <c r="P102" s="104"/>
      <c r="Q102" s="130" t="str">
        <f>INDEX(Leverancer!$AO$1:$AO$1061,ROW()-ROW(Leverancer!$AU$25)+1)&amp;": "&amp;INDEX(Leverancer!$AP$1:$AP$1061,ROW()-ROW(Leverancer!$AU$25)+1)</f>
        <v xml:space="preserve">L50: </v>
      </c>
      <c r="R102" s="128"/>
      <c r="S102" s="133">
        <f t="shared" ca="1" si="11"/>
        <v>0</v>
      </c>
      <c r="T102" s="128">
        <f ca="1">IF(T$50="","",INDEX(Leverancer!AU:AU,ROW()-ROW(Leverancer!$AU$25)+1)*Leverancer!AU$96/1000)</f>
        <v>0</v>
      </c>
      <c r="U102" s="128">
        <f ca="1">IF(U$50="","",INDEX(Leverancer!AV:AV,ROW()-ROW(Leverancer!$AU$25)+1)*Leverancer!AV$96/1000)</f>
        <v>0</v>
      </c>
      <c r="V102" s="128">
        <f ca="1">IF(V$50="","",INDEX(Leverancer!AW:AW,ROW()-ROW(Leverancer!$AU$25)+1)*Leverancer!AW$96/1000)</f>
        <v>0</v>
      </c>
      <c r="W102" s="128">
        <f ca="1">IF(W$50="","",INDEX(Leverancer!AX:AX,ROW()-ROW(Leverancer!$AU$25)+1)*Leverancer!AX$96/1000)</f>
        <v>0</v>
      </c>
      <c r="X102" s="128" t="str">
        <f ca="1">IF(X$50="","",INDEX(Leverancer!AY:AY,ROW()-ROW(Leverancer!$AU$25)+1)*Leverancer!AY$96/1000)</f>
        <v/>
      </c>
      <c r="Y102" s="128" t="str">
        <f ca="1">IF(Y$50="","",INDEX(Leverancer!AZ:AZ,ROW()-ROW(Leverancer!$AU$25)+1)*Leverancer!AZ$96/1000)</f>
        <v/>
      </c>
      <c r="Z102" s="128" t="str">
        <f ca="1">IF(Z$50="","",INDEX(Leverancer!BA:BA,ROW()-ROW(Leverancer!$AU$25)+1)*Leverancer!BA$96/1000)</f>
        <v/>
      </c>
      <c r="AA102" s="128" t="str">
        <f ca="1">IF(AA$50="","",INDEX(Leverancer!BB:BB,ROW()-ROW(Leverancer!$AU$25)+1)*Leverancer!BB$96/1000)</f>
        <v/>
      </c>
      <c r="AB102" s="128" t="str">
        <f ca="1">IF(AB$50="","",INDEX(Leverancer!BC:BC,ROW()-ROW(Leverancer!$AU$25)+1)*Leverancer!BC$96/1000)</f>
        <v/>
      </c>
      <c r="AC102" s="128" t="str">
        <f ca="1">IF(AC$50="","",INDEX(Leverancer!BD:BD,ROW()-ROW(Leverancer!$AU$25)+1)*Leverancer!BD$96/1000)</f>
        <v/>
      </c>
      <c r="AD102" s="128" t="str">
        <f ca="1">IF(AD$50="","",INDEX(Leverancer!BE:BE,ROW()-ROW(Leverancer!$AU$25)+1)*Leverancer!BE$96/1000)</f>
        <v/>
      </c>
      <c r="AE102" s="128" t="str">
        <f ca="1">IF(AE$50="","",INDEX(Leverancer!BF:BF,ROW()-ROW(Leverancer!$AU$25)+1)*Leverancer!BF$96/1000)</f>
        <v/>
      </c>
      <c r="AF102" s="128" t="str">
        <f ca="1">IF(AF$50="","",INDEX(Leverancer!BG:BG,ROW()-ROW(Leverancer!$AU$25)+1)*Leverancer!BG$96/1000)</f>
        <v/>
      </c>
      <c r="AG102" s="128" t="str">
        <f ca="1">IF(AG$50="","",INDEX(Leverancer!BH:BH,ROW()-ROW(Leverancer!$AU$25)+1)*Leverancer!BH$96/1000)</f>
        <v/>
      </c>
      <c r="AH102" s="128" t="str">
        <f ca="1">IF(AH$50="","",INDEX(Leverancer!BI:BI,ROW()-ROW(Leverancer!$AU$25)+1)*Leverancer!BI$96/1000)</f>
        <v/>
      </c>
      <c r="AI102" s="128" t="str">
        <f ca="1">IF(AI$50="","",INDEX(Leverancer!BJ:BJ,ROW()-ROW(Leverancer!$AU$25)+1)*Leverancer!BJ$96/1000)</f>
        <v/>
      </c>
      <c r="AJ102" s="128" t="str">
        <f ca="1">IF(AJ$50="","",INDEX(Leverancer!BK:BK,ROW()-ROW(Leverancer!$AU$25)+1)*Leverancer!BK$96/1000)</f>
        <v/>
      </c>
      <c r="AK102" s="128" t="str">
        <f ca="1">IF(AK$50="","",INDEX(Leverancer!BL:BL,ROW()-ROW(Leverancer!$AU$25)+1)*Leverancer!BL$96/1000)</f>
        <v/>
      </c>
      <c r="AL102" s="128" t="str">
        <f ca="1">IF(AL$50="","",INDEX(Leverancer!BM:BM,ROW()-ROW(Leverancer!$AU$25)+1)*Leverancer!BM$96/1000)</f>
        <v/>
      </c>
      <c r="AM102" s="128" t="str">
        <f ca="1">IF(AM$50="","",INDEX(Leverancer!BN:BN,ROW()-ROW(Leverancer!$AU$25)+1)*Leverancer!BN$96/1000)</f>
        <v/>
      </c>
      <c r="AN102" s="128" t="str">
        <f ca="1">IF(AN$50="","",INDEX(Leverancer!BO:BO,ROW()-ROW(Leverancer!$AU$25)+1)*Leverancer!BO$96/1000)</f>
        <v/>
      </c>
      <c r="AO102" s="128" t="str">
        <f ca="1">IF(AO$50="","",INDEX(Leverancer!BP:BP,ROW()-ROW(Leverancer!$AU$25)+1)*Leverancer!BP$96/1000)</f>
        <v/>
      </c>
      <c r="AP102" s="128" t="str">
        <f ca="1">IF(AP$50="","",INDEX(Leverancer!BQ:BQ,ROW()-ROW(Leverancer!$AU$25)+1)*Leverancer!BQ$96/1000)</f>
        <v/>
      </c>
      <c r="AQ102" s="128" t="str">
        <f ca="1">IF(AQ$50="","",INDEX(Leverancer!BR:BR,ROW()-ROW(Leverancer!$AU$25)+1)*Leverancer!BR$96/1000)</f>
        <v/>
      </c>
      <c r="AR102" s="128" t="str">
        <f ca="1">IF(AR$50="","",INDEX(Leverancer!BS:BS,ROW()-ROW(Leverancer!$AU$25)+1)*Leverancer!BS$96/1000)</f>
        <v/>
      </c>
      <c r="AS102" s="128" t="str">
        <f ca="1">IF(AS$50="","",INDEX(Leverancer!BT:BT,ROW()-ROW(Leverancer!$AU$25)+1)*Leverancer!BT$96/1000)</f>
        <v/>
      </c>
      <c r="AT102" s="128" t="str">
        <f ca="1">IF(AT$50="","",INDEX(Leverancer!BU:BU,ROW()-ROW(Leverancer!$AU$25)+1)*Leverancer!BU$96/1000)</f>
        <v/>
      </c>
      <c r="AU102" s="128" t="str">
        <f ca="1">IF(AU$50="","",INDEX(Leverancer!BV:BV,ROW()-ROW(Leverancer!$AU$25)+1)*Leverancer!BV$96/1000)</f>
        <v/>
      </c>
      <c r="AV102" s="128" t="str">
        <f ca="1">IF(AV$50="","",INDEX(Leverancer!BW:BW,ROW()-ROW(Leverancer!$AU$25)+1)*Leverancer!BW$96/1000)</f>
        <v/>
      </c>
      <c r="AW102" s="128" t="str">
        <f ca="1">IF(AW$50="","",INDEX(Leverancer!BX:BX,ROW()-ROW(Leverancer!$AU$25)+1)*Leverancer!BX$96/1000)</f>
        <v/>
      </c>
      <c r="AX102" s="104"/>
      <c r="AY102" s="104"/>
      <c r="AZ102" s="101"/>
    </row>
    <row r="103" spans="14:52" ht="12.75" hidden="1" customHeight="1" outlineLevel="1" x14ac:dyDescent="0.25">
      <c r="N103" s="99"/>
      <c r="O103" s="104"/>
      <c r="P103" s="104"/>
      <c r="Q103" s="130" t="str">
        <f>INDEX(Leverancer!$AO$1:$AO$1061,ROW()-ROW(Leverancer!$AU$25)+1)&amp;": "&amp;INDEX(Leverancer!$AP$1:$AP$1061,ROW()-ROW(Leverancer!$AU$25)+1)</f>
        <v xml:space="preserve">L51: </v>
      </c>
      <c r="R103" s="128"/>
      <c r="S103" s="133">
        <f t="shared" ca="1" si="11"/>
        <v>0</v>
      </c>
      <c r="T103" s="128">
        <f ca="1">IF(T$50="","",INDEX(Leverancer!AU:AU,ROW()-ROW(Leverancer!$AU$25)+1)*Leverancer!AU$96/1000)</f>
        <v>0</v>
      </c>
      <c r="U103" s="128">
        <f ca="1">IF(U$50="","",INDEX(Leverancer!AV:AV,ROW()-ROW(Leverancer!$AU$25)+1)*Leverancer!AV$96/1000)</f>
        <v>0</v>
      </c>
      <c r="V103" s="128">
        <f ca="1">IF(V$50="","",INDEX(Leverancer!AW:AW,ROW()-ROW(Leverancer!$AU$25)+1)*Leverancer!AW$96/1000)</f>
        <v>0</v>
      </c>
      <c r="W103" s="128">
        <f ca="1">IF(W$50="","",INDEX(Leverancer!AX:AX,ROW()-ROW(Leverancer!$AU$25)+1)*Leverancer!AX$96/1000)</f>
        <v>0</v>
      </c>
      <c r="X103" s="128" t="str">
        <f ca="1">IF(X$50="","",INDEX(Leverancer!AY:AY,ROW()-ROW(Leverancer!$AU$25)+1)*Leverancer!AY$96/1000)</f>
        <v/>
      </c>
      <c r="Y103" s="128" t="str">
        <f ca="1">IF(Y$50="","",INDEX(Leverancer!AZ:AZ,ROW()-ROW(Leverancer!$AU$25)+1)*Leverancer!AZ$96/1000)</f>
        <v/>
      </c>
      <c r="Z103" s="128" t="str">
        <f ca="1">IF(Z$50="","",INDEX(Leverancer!BA:BA,ROW()-ROW(Leverancer!$AU$25)+1)*Leverancer!BA$96/1000)</f>
        <v/>
      </c>
      <c r="AA103" s="128" t="str">
        <f ca="1">IF(AA$50="","",INDEX(Leverancer!BB:BB,ROW()-ROW(Leverancer!$AU$25)+1)*Leverancer!BB$96/1000)</f>
        <v/>
      </c>
      <c r="AB103" s="128" t="str">
        <f ca="1">IF(AB$50="","",INDEX(Leverancer!BC:BC,ROW()-ROW(Leverancer!$AU$25)+1)*Leverancer!BC$96/1000)</f>
        <v/>
      </c>
      <c r="AC103" s="128" t="str">
        <f ca="1">IF(AC$50="","",INDEX(Leverancer!BD:BD,ROW()-ROW(Leverancer!$AU$25)+1)*Leverancer!BD$96/1000)</f>
        <v/>
      </c>
      <c r="AD103" s="128" t="str">
        <f ca="1">IF(AD$50="","",INDEX(Leverancer!BE:BE,ROW()-ROW(Leverancer!$AU$25)+1)*Leverancer!BE$96/1000)</f>
        <v/>
      </c>
      <c r="AE103" s="128" t="str">
        <f ca="1">IF(AE$50="","",INDEX(Leverancer!BF:BF,ROW()-ROW(Leverancer!$AU$25)+1)*Leverancer!BF$96/1000)</f>
        <v/>
      </c>
      <c r="AF103" s="128" t="str">
        <f ca="1">IF(AF$50="","",INDEX(Leverancer!BG:BG,ROW()-ROW(Leverancer!$AU$25)+1)*Leverancer!BG$96/1000)</f>
        <v/>
      </c>
      <c r="AG103" s="128" t="str">
        <f ca="1">IF(AG$50="","",INDEX(Leverancer!BH:BH,ROW()-ROW(Leverancer!$AU$25)+1)*Leverancer!BH$96/1000)</f>
        <v/>
      </c>
      <c r="AH103" s="128" t="str">
        <f ca="1">IF(AH$50="","",INDEX(Leverancer!BI:BI,ROW()-ROW(Leverancer!$AU$25)+1)*Leverancer!BI$96/1000)</f>
        <v/>
      </c>
      <c r="AI103" s="128" t="str">
        <f ca="1">IF(AI$50="","",INDEX(Leverancer!BJ:BJ,ROW()-ROW(Leverancer!$AU$25)+1)*Leverancer!BJ$96/1000)</f>
        <v/>
      </c>
      <c r="AJ103" s="128" t="str">
        <f ca="1">IF(AJ$50="","",INDEX(Leverancer!BK:BK,ROW()-ROW(Leverancer!$AU$25)+1)*Leverancer!BK$96/1000)</f>
        <v/>
      </c>
      <c r="AK103" s="128" t="str">
        <f ca="1">IF(AK$50="","",INDEX(Leverancer!BL:BL,ROW()-ROW(Leverancer!$AU$25)+1)*Leverancer!BL$96/1000)</f>
        <v/>
      </c>
      <c r="AL103" s="128" t="str">
        <f ca="1">IF(AL$50="","",INDEX(Leverancer!BM:BM,ROW()-ROW(Leverancer!$AU$25)+1)*Leverancer!BM$96/1000)</f>
        <v/>
      </c>
      <c r="AM103" s="128" t="str">
        <f ca="1">IF(AM$50="","",INDEX(Leverancer!BN:BN,ROW()-ROW(Leverancer!$AU$25)+1)*Leverancer!BN$96/1000)</f>
        <v/>
      </c>
      <c r="AN103" s="128" t="str">
        <f ca="1">IF(AN$50="","",INDEX(Leverancer!BO:BO,ROW()-ROW(Leverancer!$AU$25)+1)*Leverancer!BO$96/1000)</f>
        <v/>
      </c>
      <c r="AO103" s="128" t="str">
        <f ca="1">IF(AO$50="","",INDEX(Leverancer!BP:BP,ROW()-ROW(Leverancer!$AU$25)+1)*Leverancer!BP$96/1000)</f>
        <v/>
      </c>
      <c r="AP103" s="128" t="str">
        <f ca="1">IF(AP$50="","",INDEX(Leverancer!BQ:BQ,ROW()-ROW(Leverancer!$AU$25)+1)*Leverancer!BQ$96/1000)</f>
        <v/>
      </c>
      <c r="AQ103" s="128" t="str">
        <f ca="1">IF(AQ$50="","",INDEX(Leverancer!BR:BR,ROW()-ROW(Leverancer!$AU$25)+1)*Leverancer!BR$96/1000)</f>
        <v/>
      </c>
      <c r="AR103" s="128" t="str">
        <f ca="1">IF(AR$50="","",INDEX(Leverancer!BS:BS,ROW()-ROW(Leverancer!$AU$25)+1)*Leverancer!BS$96/1000)</f>
        <v/>
      </c>
      <c r="AS103" s="128" t="str">
        <f ca="1">IF(AS$50="","",INDEX(Leverancer!BT:BT,ROW()-ROW(Leverancer!$AU$25)+1)*Leverancer!BT$96/1000)</f>
        <v/>
      </c>
      <c r="AT103" s="128" t="str">
        <f ca="1">IF(AT$50="","",INDEX(Leverancer!BU:BU,ROW()-ROW(Leverancer!$AU$25)+1)*Leverancer!BU$96/1000)</f>
        <v/>
      </c>
      <c r="AU103" s="128" t="str">
        <f ca="1">IF(AU$50="","",INDEX(Leverancer!BV:BV,ROW()-ROW(Leverancer!$AU$25)+1)*Leverancer!BV$96/1000)</f>
        <v/>
      </c>
      <c r="AV103" s="128" t="str">
        <f ca="1">IF(AV$50="","",INDEX(Leverancer!BW:BW,ROW()-ROW(Leverancer!$AU$25)+1)*Leverancer!BW$96/1000)</f>
        <v/>
      </c>
      <c r="AW103" s="128" t="str">
        <f ca="1">IF(AW$50="","",INDEX(Leverancer!BX:BX,ROW()-ROW(Leverancer!$AU$25)+1)*Leverancer!BX$96/1000)</f>
        <v/>
      </c>
      <c r="AX103" s="104"/>
      <c r="AY103" s="104"/>
      <c r="AZ103" s="101"/>
    </row>
    <row r="104" spans="14:52" ht="12.75" hidden="1" customHeight="1" outlineLevel="1" x14ac:dyDescent="0.25">
      <c r="N104" s="99"/>
      <c r="O104" s="104"/>
      <c r="P104" s="104"/>
      <c r="Q104" s="130" t="str">
        <f>INDEX(Leverancer!$AO$1:$AO$1061,ROW()-ROW(Leverancer!$AU$25)+1)&amp;": "&amp;INDEX(Leverancer!$AP$1:$AP$1061,ROW()-ROW(Leverancer!$AU$25)+1)</f>
        <v xml:space="preserve">L52: </v>
      </c>
      <c r="R104" s="128"/>
      <c r="S104" s="133">
        <f t="shared" ca="1" si="11"/>
        <v>0</v>
      </c>
      <c r="T104" s="128">
        <f ca="1">IF(T$50="","",INDEX(Leverancer!AU:AU,ROW()-ROW(Leverancer!$AU$25)+1)*Leverancer!AU$96/1000)</f>
        <v>0</v>
      </c>
      <c r="U104" s="128">
        <f ca="1">IF(U$50="","",INDEX(Leverancer!AV:AV,ROW()-ROW(Leverancer!$AU$25)+1)*Leverancer!AV$96/1000)</f>
        <v>0</v>
      </c>
      <c r="V104" s="128">
        <f ca="1">IF(V$50="","",INDEX(Leverancer!AW:AW,ROW()-ROW(Leverancer!$AU$25)+1)*Leverancer!AW$96/1000)</f>
        <v>0</v>
      </c>
      <c r="W104" s="128">
        <f ca="1">IF(W$50="","",INDEX(Leverancer!AX:AX,ROW()-ROW(Leverancer!$AU$25)+1)*Leverancer!AX$96/1000)</f>
        <v>0</v>
      </c>
      <c r="X104" s="128" t="str">
        <f ca="1">IF(X$50="","",INDEX(Leverancer!AY:AY,ROW()-ROW(Leverancer!$AU$25)+1)*Leverancer!AY$96/1000)</f>
        <v/>
      </c>
      <c r="Y104" s="128" t="str">
        <f ca="1">IF(Y$50="","",INDEX(Leverancer!AZ:AZ,ROW()-ROW(Leverancer!$AU$25)+1)*Leverancer!AZ$96/1000)</f>
        <v/>
      </c>
      <c r="Z104" s="128" t="str">
        <f ca="1">IF(Z$50="","",INDEX(Leverancer!BA:BA,ROW()-ROW(Leverancer!$AU$25)+1)*Leverancer!BA$96/1000)</f>
        <v/>
      </c>
      <c r="AA104" s="128" t="str">
        <f ca="1">IF(AA$50="","",INDEX(Leverancer!BB:BB,ROW()-ROW(Leverancer!$AU$25)+1)*Leverancer!BB$96/1000)</f>
        <v/>
      </c>
      <c r="AB104" s="128" t="str">
        <f ca="1">IF(AB$50="","",INDEX(Leverancer!BC:BC,ROW()-ROW(Leverancer!$AU$25)+1)*Leverancer!BC$96/1000)</f>
        <v/>
      </c>
      <c r="AC104" s="128" t="str">
        <f ca="1">IF(AC$50="","",INDEX(Leverancer!BD:BD,ROW()-ROW(Leverancer!$AU$25)+1)*Leverancer!BD$96/1000)</f>
        <v/>
      </c>
      <c r="AD104" s="128" t="str">
        <f ca="1">IF(AD$50="","",INDEX(Leverancer!BE:BE,ROW()-ROW(Leverancer!$AU$25)+1)*Leverancer!BE$96/1000)</f>
        <v/>
      </c>
      <c r="AE104" s="128" t="str">
        <f ca="1">IF(AE$50="","",INDEX(Leverancer!BF:BF,ROW()-ROW(Leverancer!$AU$25)+1)*Leverancer!BF$96/1000)</f>
        <v/>
      </c>
      <c r="AF104" s="128" t="str">
        <f ca="1">IF(AF$50="","",INDEX(Leverancer!BG:BG,ROW()-ROW(Leverancer!$AU$25)+1)*Leverancer!BG$96/1000)</f>
        <v/>
      </c>
      <c r="AG104" s="128" t="str">
        <f ca="1">IF(AG$50="","",INDEX(Leverancer!BH:BH,ROW()-ROW(Leverancer!$AU$25)+1)*Leverancer!BH$96/1000)</f>
        <v/>
      </c>
      <c r="AH104" s="128" t="str">
        <f ca="1">IF(AH$50="","",INDEX(Leverancer!BI:BI,ROW()-ROW(Leverancer!$AU$25)+1)*Leverancer!BI$96/1000)</f>
        <v/>
      </c>
      <c r="AI104" s="128" t="str">
        <f ca="1">IF(AI$50="","",INDEX(Leverancer!BJ:BJ,ROW()-ROW(Leverancer!$AU$25)+1)*Leverancer!BJ$96/1000)</f>
        <v/>
      </c>
      <c r="AJ104" s="128" t="str">
        <f ca="1">IF(AJ$50="","",INDEX(Leverancer!BK:BK,ROW()-ROW(Leverancer!$AU$25)+1)*Leverancer!BK$96/1000)</f>
        <v/>
      </c>
      <c r="AK104" s="128" t="str">
        <f ca="1">IF(AK$50="","",INDEX(Leverancer!BL:BL,ROW()-ROW(Leverancer!$AU$25)+1)*Leverancer!BL$96/1000)</f>
        <v/>
      </c>
      <c r="AL104" s="128" t="str">
        <f ca="1">IF(AL$50="","",INDEX(Leverancer!BM:BM,ROW()-ROW(Leverancer!$AU$25)+1)*Leverancer!BM$96/1000)</f>
        <v/>
      </c>
      <c r="AM104" s="128" t="str">
        <f ca="1">IF(AM$50="","",INDEX(Leverancer!BN:BN,ROW()-ROW(Leverancer!$AU$25)+1)*Leverancer!BN$96/1000)</f>
        <v/>
      </c>
      <c r="AN104" s="128" t="str">
        <f ca="1">IF(AN$50="","",INDEX(Leverancer!BO:BO,ROW()-ROW(Leverancer!$AU$25)+1)*Leverancer!BO$96/1000)</f>
        <v/>
      </c>
      <c r="AO104" s="128" t="str">
        <f ca="1">IF(AO$50="","",INDEX(Leverancer!BP:BP,ROW()-ROW(Leverancer!$AU$25)+1)*Leverancer!BP$96/1000)</f>
        <v/>
      </c>
      <c r="AP104" s="128" t="str">
        <f ca="1">IF(AP$50="","",INDEX(Leverancer!BQ:BQ,ROW()-ROW(Leverancer!$AU$25)+1)*Leverancer!BQ$96/1000)</f>
        <v/>
      </c>
      <c r="AQ104" s="128" t="str">
        <f ca="1">IF(AQ$50="","",INDEX(Leverancer!BR:BR,ROW()-ROW(Leverancer!$AU$25)+1)*Leverancer!BR$96/1000)</f>
        <v/>
      </c>
      <c r="AR104" s="128" t="str">
        <f ca="1">IF(AR$50="","",INDEX(Leverancer!BS:BS,ROW()-ROW(Leverancer!$AU$25)+1)*Leverancer!BS$96/1000)</f>
        <v/>
      </c>
      <c r="AS104" s="128" t="str">
        <f ca="1">IF(AS$50="","",INDEX(Leverancer!BT:BT,ROW()-ROW(Leverancer!$AU$25)+1)*Leverancer!BT$96/1000)</f>
        <v/>
      </c>
      <c r="AT104" s="128" t="str">
        <f ca="1">IF(AT$50="","",INDEX(Leverancer!BU:BU,ROW()-ROW(Leverancer!$AU$25)+1)*Leverancer!BU$96/1000)</f>
        <v/>
      </c>
      <c r="AU104" s="128" t="str">
        <f ca="1">IF(AU$50="","",INDEX(Leverancer!BV:BV,ROW()-ROW(Leverancer!$AU$25)+1)*Leverancer!BV$96/1000)</f>
        <v/>
      </c>
      <c r="AV104" s="128" t="str">
        <f ca="1">IF(AV$50="","",INDEX(Leverancer!BW:BW,ROW()-ROW(Leverancer!$AU$25)+1)*Leverancer!BW$96/1000)</f>
        <v/>
      </c>
      <c r="AW104" s="128" t="str">
        <f ca="1">IF(AW$50="","",INDEX(Leverancer!BX:BX,ROW()-ROW(Leverancer!$AU$25)+1)*Leverancer!BX$96/1000)</f>
        <v/>
      </c>
      <c r="AX104" s="104"/>
      <c r="AY104" s="104"/>
      <c r="AZ104" s="101"/>
    </row>
    <row r="105" spans="14:52" ht="12.75" hidden="1" customHeight="1" outlineLevel="1" x14ac:dyDescent="0.25">
      <c r="N105" s="99"/>
      <c r="O105" s="104"/>
      <c r="P105" s="104"/>
      <c r="Q105" s="130" t="str">
        <f>INDEX(Leverancer!$AO$1:$AO$1061,ROW()-ROW(Leverancer!$AU$25)+1)&amp;": "&amp;INDEX(Leverancer!$AP$1:$AP$1061,ROW()-ROW(Leverancer!$AU$25)+1)</f>
        <v xml:space="preserve">L53: </v>
      </c>
      <c r="R105" s="128"/>
      <c r="S105" s="133">
        <f t="shared" ca="1" si="11"/>
        <v>0</v>
      </c>
      <c r="T105" s="128">
        <f ca="1">IF(T$50="","",INDEX(Leverancer!AU:AU,ROW()-ROW(Leverancer!$AU$25)+1)*Leverancer!AU$96/1000)</f>
        <v>0</v>
      </c>
      <c r="U105" s="128">
        <f ca="1">IF(U$50="","",INDEX(Leverancer!AV:AV,ROW()-ROW(Leverancer!$AU$25)+1)*Leverancer!AV$96/1000)</f>
        <v>0</v>
      </c>
      <c r="V105" s="128">
        <f ca="1">IF(V$50="","",INDEX(Leverancer!AW:AW,ROW()-ROW(Leverancer!$AU$25)+1)*Leverancer!AW$96/1000)</f>
        <v>0</v>
      </c>
      <c r="W105" s="128">
        <f ca="1">IF(W$50="","",INDEX(Leverancer!AX:AX,ROW()-ROW(Leverancer!$AU$25)+1)*Leverancer!AX$96/1000)</f>
        <v>0</v>
      </c>
      <c r="X105" s="128" t="str">
        <f ca="1">IF(X$50="","",INDEX(Leverancer!AY:AY,ROW()-ROW(Leverancer!$AU$25)+1)*Leverancer!AY$96/1000)</f>
        <v/>
      </c>
      <c r="Y105" s="128" t="str">
        <f ca="1">IF(Y$50="","",INDEX(Leverancer!AZ:AZ,ROW()-ROW(Leverancer!$AU$25)+1)*Leverancer!AZ$96/1000)</f>
        <v/>
      </c>
      <c r="Z105" s="128" t="str">
        <f ca="1">IF(Z$50="","",INDEX(Leverancer!BA:BA,ROW()-ROW(Leverancer!$AU$25)+1)*Leverancer!BA$96/1000)</f>
        <v/>
      </c>
      <c r="AA105" s="128" t="str">
        <f ca="1">IF(AA$50="","",INDEX(Leverancer!BB:BB,ROW()-ROW(Leverancer!$AU$25)+1)*Leverancer!BB$96/1000)</f>
        <v/>
      </c>
      <c r="AB105" s="128" t="str">
        <f ca="1">IF(AB$50="","",INDEX(Leverancer!BC:BC,ROW()-ROW(Leverancer!$AU$25)+1)*Leverancer!BC$96/1000)</f>
        <v/>
      </c>
      <c r="AC105" s="128" t="str">
        <f ca="1">IF(AC$50="","",INDEX(Leverancer!BD:BD,ROW()-ROW(Leverancer!$AU$25)+1)*Leverancer!BD$96/1000)</f>
        <v/>
      </c>
      <c r="AD105" s="128" t="str">
        <f ca="1">IF(AD$50="","",INDEX(Leverancer!BE:BE,ROW()-ROW(Leverancer!$AU$25)+1)*Leverancer!BE$96/1000)</f>
        <v/>
      </c>
      <c r="AE105" s="128" t="str">
        <f ca="1">IF(AE$50="","",INDEX(Leverancer!BF:BF,ROW()-ROW(Leverancer!$AU$25)+1)*Leverancer!BF$96/1000)</f>
        <v/>
      </c>
      <c r="AF105" s="128" t="str">
        <f ca="1">IF(AF$50="","",INDEX(Leverancer!BG:BG,ROW()-ROW(Leverancer!$AU$25)+1)*Leverancer!BG$96/1000)</f>
        <v/>
      </c>
      <c r="AG105" s="128" t="str">
        <f ca="1">IF(AG$50="","",INDEX(Leverancer!BH:BH,ROW()-ROW(Leverancer!$AU$25)+1)*Leverancer!BH$96/1000)</f>
        <v/>
      </c>
      <c r="AH105" s="128" t="str">
        <f ca="1">IF(AH$50="","",INDEX(Leverancer!BI:BI,ROW()-ROW(Leverancer!$AU$25)+1)*Leverancer!BI$96/1000)</f>
        <v/>
      </c>
      <c r="AI105" s="128" t="str">
        <f ca="1">IF(AI$50="","",INDEX(Leverancer!BJ:BJ,ROW()-ROW(Leverancer!$AU$25)+1)*Leverancer!BJ$96/1000)</f>
        <v/>
      </c>
      <c r="AJ105" s="128" t="str">
        <f ca="1">IF(AJ$50="","",INDEX(Leverancer!BK:BK,ROW()-ROW(Leverancer!$AU$25)+1)*Leverancer!BK$96/1000)</f>
        <v/>
      </c>
      <c r="AK105" s="128" t="str">
        <f ca="1">IF(AK$50="","",INDEX(Leverancer!BL:BL,ROW()-ROW(Leverancer!$AU$25)+1)*Leverancer!BL$96/1000)</f>
        <v/>
      </c>
      <c r="AL105" s="128" t="str">
        <f ca="1">IF(AL$50="","",INDEX(Leverancer!BM:BM,ROW()-ROW(Leverancer!$AU$25)+1)*Leverancer!BM$96/1000)</f>
        <v/>
      </c>
      <c r="AM105" s="128" t="str">
        <f ca="1">IF(AM$50="","",INDEX(Leverancer!BN:BN,ROW()-ROW(Leverancer!$AU$25)+1)*Leverancer!BN$96/1000)</f>
        <v/>
      </c>
      <c r="AN105" s="128" t="str">
        <f ca="1">IF(AN$50="","",INDEX(Leverancer!BO:BO,ROW()-ROW(Leverancer!$AU$25)+1)*Leverancer!BO$96/1000)</f>
        <v/>
      </c>
      <c r="AO105" s="128" t="str">
        <f ca="1">IF(AO$50="","",INDEX(Leverancer!BP:BP,ROW()-ROW(Leverancer!$AU$25)+1)*Leverancer!BP$96/1000)</f>
        <v/>
      </c>
      <c r="AP105" s="128" t="str">
        <f ca="1">IF(AP$50="","",INDEX(Leverancer!BQ:BQ,ROW()-ROW(Leverancer!$AU$25)+1)*Leverancer!BQ$96/1000)</f>
        <v/>
      </c>
      <c r="AQ105" s="128" t="str">
        <f ca="1">IF(AQ$50="","",INDEX(Leverancer!BR:BR,ROW()-ROW(Leverancer!$AU$25)+1)*Leverancer!BR$96/1000)</f>
        <v/>
      </c>
      <c r="AR105" s="128" t="str">
        <f ca="1">IF(AR$50="","",INDEX(Leverancer!BS:BS,ROW()-ROW(Leverancer!$AU$25)+1)*Leverancer!BS$96/1000)</f>
        <v/>
      </c>
      <c r="AS105" s="128" t="str">
        <f ca="1">IF(AS$50="","",INDEX(Leverancer!BT:BT,ROW()-ROW(Leverancer!$AU$25)+1)*Leverancer!BT$96/1000)</f>
        <v/>
      </c>
      <c r="AT105" s="128" t="str">
        <f ca="1">IF(AT$50="","",INDEX(Leverancer!BU:BU,ROW()-ROW(Leverancer!$AU$25)+1)*Leverancer!BU$96/1000)</f>
        <v/>
      </c>
      <c r="AU105" s="128" t="str">
        <f ca="1">IF(AU$50="","",INDEX(Leverancer!BV:BV,ROW()-ROW(Leverancer!$AU$25)+1)*Leverancer!BV$96/1000)</f>
        <v/>
      </c>
      <c r="AV105" s="128" t="str">
        <f ca="1">IF(AV$50="","",INDEX(Leverancer!BW:BW,ROW()-ROW(Leverancer!$AU$25)+1)*Leverancer!BW$96/1000)</f>
        <v/>
      </c>
      <c r="AW105" s="128" t="str">
        <f ca="1">IF(AW$50="","",INDEX(Leverancer!BX:BX,ROW()-ROW(Leverancer!$AU$25)+1)*Leverancer!BX$96/1000)</f>
        <v/>
      </c>
      <c r="AX105" s="104"/>
      <c r="AY105" s="104"/>
      <c r="AZ105" s="101"/>
    </row>
    <row r="106" spans="14:52" ht="12.75" hidden="1" customHeight="1" outlineLevel="1" x14ac:dyDescent="0.25">
      <c r="N106" s="99"/>
      <c r="O106" s="104"/>
      <c r="P106" s="104"/>
      <c r="Q106" s="130" t="str">
        <f>INDEX(Leverancer!$AO$1:$AO$1061,ROW()-ROW(Leverancer!$AU$25)+1)&amp;": "&amp;INDEX(Leverancer!$AP$1:$AP$1061,ROW()-ROW(Leverancer!$AU$25)+1)</f>
        <v xml:space="preserve">L54: </v>
      </c>
      <c r="R106" s="128"/>
      <c r="S106" s="133">
        <f t="shared" ca="1" si="11"/>
        <v>0</v>
      </c>
      <c r="T106" s="128">
        <f ca="1">IF(T$50="","",INDEX(Leverancer!AU:AU,ROW()-ROW(Leverancer!$AU$25)+1)*Leverancer!AU$96/1000)</f>
        <v>0</v>
      </c>
      <c r="U106" s="128">
        <f ca="1">IF(U$50="","",INDEX(Leverancer!AV:AV,ROW()-ROW(Leverancer!$AU$25)+1)*Leverancer!AV$96/1000)</f>
        <v>0</v>
      </c>
      <c r="V106" s="128">
        <f ca="1">IF(V$50="","",INDEX(Leverancer!AW:AW,ROW()-ROW(Leverancer!$AU$25)+1)*Leverancer!AW$96/1000)</f>
        <v>0</v>
      </c>
      <c r="W106" s="128">
        <f ca="1">IF(W$50="","",INDEX(Leverancer!AX:AX,ROW()-ROW(Leverancer!$AU$25)+1)*Leverancer!AX$96/1000)</f>
        <v>0</v>
      </c>
      <c r="X106" s="128" t="str">
        <f ca="1">IF(X$50="","",INDEX(Leverancer!AY:AY,ROW()-ROW(Leverancer!$AU$25)+1)*Leverancer!AY$96/1000)</f>
        <v/>
      </c>
      <c r="Y106" s="128" t="str">
        <f ca="1">IF(Y$50="","",INDEX(Leverancer!AZ:AZ,ROW()-ROW(Leverancer!$AU$25)+1)*Leverancer!AZ$96/1000)</f>
        <v/>
      </c>
      <c r="Z106" s="128" t="str">
        <f ca="1">IF(Z$50="","",INDEX(Leverancer!BA:BA,ROW()-ROW(Leverancer!$AU$25)+1)*Leverancer!BA$96/1000)</f>
        <v/>
      </c>
      <c r="AA106" s="128" t="str">
        <f ca="1">IF(AA$50="","",INDEX(Leverancer!BB:BB,ROW()-ROW(Leverancer!$AU$25)+1)*Leverancer!BB$96/1000)</f>
        <v/>
      </c>
      <c r="AB106" s="128" t="str">
        <f ca="1">IF(AB$50="","",INDEX(Leverancer!BC:BC,ROW()-ROW(Leverancer!$AU$25)+1)*Leverancer!BC$96/1000)</f>
        <v/>
      </c>
      <c r="AC106" s="128" t="str">
        <f ca="1">IF(AC$50="","",INDEX(Leverancer!BD:BD,ROW()-ROW(Leverancer!$AU$25)+1)*Leverancer!BD$96/1000)</f>
        <v/>
      </c>
      <c r="AD106" s="128" t="str">
        <f ca="1">IF(AD$50="","",INDEX(Leverancer!BE:BE,ROW()-ROW(Leverancer!$AU$25)+1)*Leverancer!BE$96/1000)</f>
        <v/>
      </c>
      <c r="AE106" s="128" t="str">
        <f ca="1">IF(AE$50="","",INDEX(Leverancer!BF:BF,ROW()-ROW(Leverancer!$AU$25)+1)*Leverancer!BF$96/1000)</f>
        <v/>
      </c>
      <c r="AF106" s="128" t="str">
        <f ca="1">IF(AF$50="","",INDEX(Leverancer!BG:BG,ROW()-ROW(Leverancer!$AU$25)+1)*Leverancer!BG$96/1000)</f>
        <v/>
      </c>
      <c r="AG106" s="128" t="str">
        <f ca="1">IF(AG$50="","",INDEX(Leverancer!BH:BH,ROW()-ROW(Leverancer!$AU$25)+1)*Leverancer!BH$96/1000)</f>
        <v/>
      </c>
      <c r="AH106" s="128" t="str">
        <f ca="1">IF(AH$50="","",INDEX(Leverancer!BI:BI,ROW()-ROW(Leverancer!$AU$25)+1)*Leverancer!BI$96/1000)</f>
        <v/>
      </c>
      <c r="AI106" s="128" t="str">
        <f ca="1">IF(AI$50="","",INDEX(Leverancer!BJ:BJ,ROW()-ROW(Leverancer!$AU$25)+1)*Leverancer!BJ$96/1000)</f>
        <v/>
      </c>
      <c r="AJ106" s="128" t="str">
        <f ca="1">IF(AJ$50="","",INDEX(Leverancer!BK:BK,ROW()-ROW(Leverancer!$AU$25)+1)*Leverancer!BK$96/1000)</f>
        <v/>
      </c>
      <c r="AK106" s="128" t="str">
        <f ca="1">IF(AK$50="","",INDEX(Leverancer!BL:BL,ROW()-ROW(Leverancer!$AU$25)+1)*Leverancer!BL$96/1000)</f>
        <v/>
      </c>
      <c r="AL106" s="128" t="str">
        <f ca="1">IF(AL$50="","",INDEX(Leverancer!BM:BM,ROW()-ROW(Leverancer!$AU$25)+1)*Leverancer!BM$96/1000)</f>
        <v/>
      </c>
      <c r="AM106" s="128" t="str">
        <f ca="1">IF(AM$50="","",INDEX(Leverancer!BN:BN,ROW()-ROW(Leverancer!$AU$25)+1)*Leverancer!BN$96/1000)</f>
        <v/>
      </c>
      <c r="AN106" s="128" t="str">
        <f ca="1">IF(AN$50="","",INDEX(Leverancer!BO:BO,ROW()-ROW(Leverancer!$AU$25)+1)*Leverancer!BO$96/1000)</f>
        <v/>
      </c>
      <c r="AO106" s="128" t="str">
        <f ca="1">IF(AO$50="","",INDEX(Leverancer!BP:BP,ROW()-ROW(Leverancer!$AU$25)+1)*Leverancer!BP$96/1000)</f>
        <v/>
      </c>
      <c r="AP106" s="128" t="str">
        <f ca="1">IF(AP$50="","",INDEX(Leverancer!BQ:BQ,ROW()-ROW(Leverancer!$AU$25)+1)*Leverancer!BQ$96/1000)</f>
        <v/>
      </c>
      <c r="AQ106" s="128" t="str">
        <f ca="1">IF(AQ$50="","",INDEX(Leverancer!BR:BR,ROW()-ROW(Leverancer!$AU$25)+1)*Leverancer!BR$96/1000)</f>
        <v/>
      </c>
      <c r="AR106" s="128" t="str">
        <f ca="1">IF(AR$50="","",INDEX(Leverancer!BS:BS,ROW()-ROW(Leverancer!$AU$25)+1)*Leverancer!BS$96/1000)</f>
        <v/>
      </c>
      <c r="AS106" s="128" t="str">
        <f ca="1">IF(AS$50="","",INDEX(Leverancer!BT:BT,ROW()-ROW(Leverancer!$AU$25)+1)*Leverancer!BT$96/1000)</f>
        <v/>
      </c>
      <c r="AT106" s="128" t="str">
        <f ca="1">IF(AT$50="","",INDEX(Leverancer!BU:BU,ROW()-ROW(Leverancer!$AU$25)+1)*Leverancer!BU$96/1000)</f>
        <v/>
      </c>
      <c r="AU106" s="128" t="str">
        <f ca="1">IF(AU$50="","",INDEX(Leverancer!BV:BV,ROW()-ROW(Leverancer!$AU$25)+1)*Leverancer!BV$96/1000)</f>
        <v/>
      </c>
      <c r="AV106" s="128" t="str">
        <f ca="1">IF(AV$50="","",INDEX(Leverancer!BW:BW,ROW()-ROW(Leverancer!$AU$25)+1)*Leverancer!BW$96/1000)</f>
        <v/>
      </c>
      <c r="AW106" s="128" t="str">
        <f ca="1">IF(AW$50="","",INDEX(Leverancer!BX:BX,ROW()-ROW(Leverancer!$AU$25)+1)*Leverancer!BX$96/1000)</f>
        <v/>
      </c>
      <c r="AX106" s="104"/>
      <c r="AY106" s="104"/>
      <c r="AZ106" s="101"/>
    </row>
    <row r="107" spans="14:52" ht="12.75" hidden="1" customHeight="1" outlineLevel="1" x14ac:dyDescent="0.25">
      <c r="N107" s="99"/>
      <c r="O107" s="104"/>
      <c r="P107" s="104"/>
      <c r="Q107" s="130" t="str">
        <f>INDEX(Leverancer!$AO$1:$AO$1061,ROW()-ROW(Leverancer!$AU$25)+1)&amp;": "&amp;INDEX(Leverancer!$AP$1:$AP$1061,ROW()-ROW(Leverancer!$AU$25)+1)</f>
        <v xml:space="preserve">L55: </v>
      </c>
      <c r="R107" s="128"/>
      <c r="S107" s="133">
        <f t="shared" ca="1" si="11"/>
        <v>0</v>
      </c>
      <c r="T107" s="128">
        <f ca="1">IF(T$50="","",INDEX(Leverancer!AU:AU,ROW()-ROW(Leverancer!$AU$25)+1)*Leverancer!AU$96/1000)</f>
        <v>0</v>
      </c>
      <c r="U107" s="128">
        <f ca="1">IF(U$50="","",INDEX(Leverancer!AV:AV,ROW()-ROW(Leverancer!$AU$25)+1)*Leverancer!AV$96/1000)</f>
        <v>0</v>
      </c>
      <c r="V107" s="128">
        <f ca="1">IF(V$50="","",INDEX(Leverancer!AW:AW,ROW()-ROW(Leverancer!$AU$25)+1)*Leverancer!AW$96/1000)</f>
        <v>0</v>
      </c>
      <c r="W107" s="128">
        <f ca="1">IF(W$50="","",INDEX(Leverancer!AX:AX,ROW()-ROW(Leverancer!$AU$25)+1)*Leverancer!AX$96/1000)</f>
        <v>0</v>
      </c>
      <c r="X107" s="128" t="str">
        <f ca="1">IF(X$50="","",INDEX(Leverancer!AY:AY,ROW()-ROW(Leverancer!$AU$25)+1)*Leverancer!AY$96/1000)</f>
        <v/>
      </c>
      <c r="Y107" s="128" t="str">
        <f ca="1">IF(Y$50="","",INDEX(Leverancer!AZ:AZ,ROW()-ROW(Leverancer!$AU$25)+1)*Leverancer!AZ$96/1000)</f>
        <v/>
      </c>
      <c r="Z107" s="128" t="str">
        <f ca="1">IF(Z$50="","",INDEX(Leverancer!BA:BA,ROW()-ROW(Leverancer!$AU$25)+1)*Leverancer!BA$96/1000)</f>
        <v/>
      </c>
      <c r="AA107" s="128" t="str">
        <f ca="1">IF(AA$50="","",INDEX(Leverancer!BB:BB,ROW()-ROW(Leverancer!$AU$25)+1)*Leverancer!BB$96/1000)</f>
        <v/>
      </c>
      <c r="AB107" s="128" t="str">
        <f ca="1">IF(AB$50="","",INDEX(Leverancer!BC:BC,ROW()-ROW(Leverancer!$AU$25)+1)*Leverancer!BC$96/1000)</f>
        <v/>
      </c>
      <c r="AC107" s="128" t="str">
        <f ca="1">IF(AC$50="","",INDEX(Leverancer!BD:BD,ROW()-ROW(Leverancer!$AU$25)+1)*Leverancer!BD$96/1000)</f>
        <v/>
      </c>
      <c r="AD107" s="128" t="str">
        <f ca="1">IF(AD$50="","",INDEX(Leverancer!BE:BE,ROW()-ROW(Leverancer!$AU$25)+1)*Leverancer!BE$96/1000)</f>
        <v/>
      </c>
      <c r="AE107" s="128" t="str">
        <f ca="1">IF(AE$50="","",INDEX(Leverancer!BF:BF,ROW()-ROW(Leverancer!$AU$25)+1)*Leverancer!BF$96/1000)</f>
        <v/>
      </c>
      <c r="AF107" s="128" t="str">
        <f ca="1">IF(AF$50="","",INDEX(Leverancer!BG:BG,ROW()-ROW(Leverancer!$AU$25)+1)*Leverancer!BG$96/1000)</f>
        <v/>
      </c>
      <c r="AG107" s="128" t="str">
        <f ca="1">IF(AG$50="","",INDEX(Leverancer!BH:BH,ROW()-ROW(Leverancer!$AU$25)+1)*Leverancer!BH$96/1000)</f>
        <v/>
      </c>
      <c r="AH107" s="128" t="str">
        <f ca="1">IF(AH$50="","",INDEX(Leverancer!BI:BI,ROW()-ROW(Leverancer!$AU$25)+1)*Leverancer!BI$96/1000)</f>
        <v/>
      </c>
      <c r="AI107" s="128" t="str">
        <f ca="1">IF(AI$50="","",INDEX(Leverancer!BJ:BJ,ROW()-ROW(Leverancer!$AU$25)+1)*Leverancer!BJ$96/1000)</f>
        <v/>
      </c>
      <c r="AJ107" s="128" t="str">
        <f ca="1">IF(AJ$50="","",INDEX(Leverancer!BK:BK,ROW()-ROW(Leverancer!$AU$25)+1)*Leverancer!BK$96/1000)</f>
        <v/>
      </c>
      <c r="AK107" s="128" t="str">
        <f ca="1">IF(AK$50="","",INDEX(Leverancer!BL:BL,ROW()-ROW(Leverancer!$AU$25)+1)*Leverancer!BL$96/1000)</f>
        <v/>
      </c>
      <c r="AL107" s="128" t="str">
        <f ca="1">IF(AL$50="","",INDEX(Leverancer!BM:BM,ROW()-ROW(Leverancer!$AU$25)+1)*Leverancer!BM$96/1000)</f>
        <v/>
      </c>
      <c r="AM107" s="128" t="str">
        <f ca="1">IF(AM$50="","",INDEX(Leverancer!BN:BN,ROW()-ROW(Leverancer!$AU$25)+1)*Leverancer!BN$96/1000)</f>
        <v/>
      </c>
      <c r="AN107" s="128" t="str">
        <f ca="1">IF(AN$50="","",INDEX(Leverancer!BO:BO,ROW()-ROW(Leverancer!$AU$25)+1)*Leverancer!BO$96/1000)</f>
        <v/>
      </c>
      <c r="AO107" s="128" t="str">
        <f ca="1">IF(AO$50="","",INDEX(Leverancer!BP:BP,ROW()-ROW(Leverancer!$AU$25)+1)*Leverancer!BP$96/1000)</f>
        <v/>
      </c>
      <c r="AP107" s="128" t="str">
        <f ca="1">IF(AP$50="","",INDEX(Leverancer!BQ:BQ,ROW()-ROW(Leverancer!$AU$25)+1)*Leverancer!BQ$96/1000)</f>
        <v/>
      </c>
      <c r="AQ107" s="128" t="str">
        <f ca="1">IF(AQ$50="","",INDEX(Leverancer!BR:BR,ROW()-ROW(Leverancer!$AU$25)+1)*Leverancer!BR$96/1000)</f>
        <v/>
      </c>
      <c r="AR107" s="128" t="str">
        <f ca="1">IF(AR$50="","",INDEX(Leverancer!BS:BS,ROW()-ROW(Leverancer!$AU$25)+1)*Leverancer!BS$96/1000)</f>
        <v/>
      </c>
      <c r="AS107" s="128" t="str">
        <f ca="1">IF(AS$50="","",INDEX(Leverancer!BT:BT,ROW()-ROW(Leverancer!$AU$25)+1)*Leverancer!BT$96/1000)</f>
        <v/>
      </c>
      <c r="AT107" s="128" t="str">
        <f ca="1">IF(AT$50="","",INDEX(Leverancer!BU:BU,ROW()-ROW(Leverancer!$AU$25)+1)*Leverancer!BU$96/1000)</f>
        <v/>
      </c>
      <c r="AU107" s="128" t="str">
        <f ca="1">IF(AU$50="","",INDEX(Leverancer!BV:BV,ROW()-ROW(Leverancer!$AU$25)+1)*Leverancer!BV$96/1000)</f>
        <v/>
      </c>
      <c r="AV107" s="128" t="str">
        <f ca="1">IF(AV$50="","",INDEX(Leverancer!BW:BW,ROW()-ROW(Leverancer!$AU$25)+1)*Leverancer!BW$96/1000)</f>
        <v/>
      </c>
      <c r="AW107" s="128" t="str">
        <f ca="1">IF(AW$50="","",INDEX(Leverancer!BX:BX,ROW()-ROW(Leverancer!$AU$25)+1)*Leverancer!BX$96/1000)</f>
        <v/>
      </c>
      <c r="AX107" s="104"/>
      <c r="AY107" s="104"/>
      <c r="AZ107" s="101"/>
    </row>
    <row r="108" spans="14:52" ht="12.75" hidden="1" customHeight="1" outlineLevel="1" x14ac:dyDescent="0.25">
      <c r="N108" s="99"/>
      <c r="O108" s="104"/>
      <c r="P108" s="104"/>
      <c r="Q108" s="130" t="str">
        <f>INDEX(Leverancer!$AO$1:$AO$1061,ROW()-ROW(Leverancer!$AU$25)+1)&amp;": "&amp;INDEX(Leverancer!$AP$1:$AP$1061,ROW()-ROW(Leverancer!$AU$25)+1)</f>
        <v xml:space="preserve">L56: </v>
      </c>
      <c r="R108" s="128"/>
      <c r="S108" s="133">
        <f t="shared" ca="1" si="11"/>
        <v>0</v>
      </c>
      <c r="T108" s="128">
        <f ca="1">IF(T$50="","",INDEX(Leverancer!AU:AU,ROW()-ROW(Leverancer!$AU$25)+1)*Leverancer!AU$96/1000)</f>
        <v>0</v>
      </c>
      <c r="U108" s="128">
        <f ca="1">IF(U$50="","",INDEX(Leverancer!AV:AV,ROW()-ROW(Leverancer!$AU$25)+1)*Leverancer!AV$96/1000)</f>
        <v>0</v>
      </c>
      <c r="V108" s="128">
        <f ca="1">IF(V$50="","",INDEX(Leverancer!AW:AW,ROW()-ROW(Leverancer!$AU$25)+1)*Leverancer!AW$96/1000)</f>
        <v>0</v>
      </c>
      <c r="W108" s="128">
        <f ca="1">IF(W$50="","",INDEX(Leverancer!AX:AX,ROW()-ROW(Leverancer!$AU$25)+1)*Leverancer!AX$96/1000)</f>
        <v>0</v>
      </c>
      <c r="X108" s="128" t="str">
        <f ca="1">IF(X$50="","",INDEX(Leverancer!AY:AY,ROW()-ROW(Leverancer!$AU$25)+1)*Leverancer!AY$96/1000)</f>
        <v/>
      </c>
      <c r="Y108" s="128" t="str">
        <f ca="1">IF(Y$50="","",INDEX(Leverancer!AZ:AZ,ROW()-ROW(Leverancer!$AU$25)+1)*Leverancer!AZ$96/1000)</f>
        <v/>
      </c>
      <c r="Z108" s="128" t="str">
        <f ca="1">IF(Z$50="","",INDEX(Leverancer!BA:BA,ROW()-ROW(Leverancer!$AU$25)+1)*Leverancer!BA$96/1000)</f>
        <v/>
      </c>
      <c r="AA108" s="128" t="str">
        <f ca="1">IF(AA$50="","",INDEX(Leverancer!BB:BB,ROW()-ROW(Leverancer!$AU$25)+1)*Leverancer!BB$96/1000)</f>
        <v/>
      </c>
      <c r="AB108" s="128" t="str">
        <f ca="1">IF(AB$50="","",INDEX(Leverancer!BC:BC,ROW()-ROW(Leverancer!$AU$25)+1)*Leverancer!BC$96/1000)</f>
        <v/>
      </c>
      <c r="AC108" s="128" t="str">
        <f ca="1">IF(AC$50="","",INDEX(Leverancer!BD:BD,ROW()-ROW(Leverancer!$AU$25)+1)*Leverancer!BD$96/1000)</f>
        <v/>
      </c>
      <c r="AD108" s="128" t="str">
        <f ca="1">IF(AD$50="","",INDEX(Leverancer!BE:BE,ROW()-ROW(Leverancer!$AU$25)+1)*Leverancer!BE$96/1000)</f>
        <v/>
      </c>
      <c r="AE108" s="128" t="str">
        <f ca="1">IF(AE$50="","",INDEX(Leverancer!BF:BF,ROW()-ROW(Leverancer!$AU$25)+1)*Leverancer!BF$96/1000)</f>
        <v/>
      </c>
      <c r="AF108" s="128" t="str">
        <f ca="1">IF(AF$50="","",INDEX(Leverancer!BG:BG,ROW()-ROW(Leverancer!$AU$25)+1)*Leverancer!BG$96/1000)</f>
        <v/>
      </c>
      <c r="AG108" s="128" t="str">
        <f ca="1">IF(AG$50="","",INDEX(Leverancer!BH:BH,ROW()-ROW(Leverancer!$AU$25)+1)*Leverancer!BH$96/1000)</f>
        <v/>
      </c>
      <c r="AH108" s="128" t="str">
        <f ca="1">IF(AH$50="","",INDEX(Leverancer!BI:BI,ROW()-ROW(Leverancer!$AU$25)+1)*Leverancer!BI$96/1000)</f>
        <v/>
      </c>
      <c r="AI108" s="128" t="str">
        <f ca="1">IF(AI$50="","",INDEX(Leverancer!BJ:BJ,ROW()-ROW(Leverancer!$AU$25)+1)*Leverancer!BJ$96/1000)</f>
        <v/>
      </c>
      <c r="AJ108" s="128" t="str">
        <f ca="1">IF(AJ$50="","",INDEX(Leverancer!BK:BK,ROW()-ROW(Leverancer!$AU$25)+1)*Leverancer!BK$96/1000)</f>
        <v/>
      </c>
      <c r="AK108" s="128" t="str">
        <f ca="1">IF(AK$50="","",INDEX(Leverancer!BL:BL,ROW()-ROW(Leverancer!$AU$25)+1)*Leverancer!BL$96/1000)</f>
        <v/>
      </c>
      <c r="AL108" s="128" t="str">
        <f ca="1">IF(AL$50="","",INDEX(Leverancer!BM:BM,ROW()-ROW(Leverancer!$AU$25)+1)*Leverancer!BM$96/1000)</f>
        <v/>
      </c>
      <c r="AM108" s="128" t="str">
        <f ca="1">IF(AM$50="","",INDEX(Leverancer!BN:BN,ROW()-ROW(Leverancer!$AU$25)+1)*Leverancer!BN$96/1000)</f>
        <v/>
      </c>
      <c r="AN108" s="128" t="str">
        <f ca="1">IF(AN$50="","",INDEX(Leverancer!BO:BO,ROW()-ROW(Leverancer!$AU$25)+1)*Leverancer!BO$96/1000)</f>
        <v/>
      </c>
      <c r="AO108" s="128" t="str">
        <f ca="1">IF(AO$50="","",INDEX(Leverancer!BP:BP,ROW()-ROW(Leverancer!$AU$25)+1)*Leverancer!BP$96/1000)</f>
        <v/>
      </c>
      <c r="AP108" s="128" t="str">
        <f ca="1">IF(AP$50="","",INDEX(Leverancer!BQ:BQ,ROW()-ROW(Leverancer!$AU$25)+1)*Leverancer!BQ$96/1000)</f>
        <v/>
      </c>
      <c r="AQ108" s="128" t="str">
        <f ca="1">IF(AQ$50="","",INDEX(Leverancer!BR:BR,ROW()-ROW(Leverancer!$AU$25)+1)*Leverancer!BR$96/1000)</f>
        <v/>
      </c>
      <c r="AR108" s="128" t="str">
        <f ca="1">IF(AR$50="","",INDEX(Leverancer!BS:BS,ROW()-ROW(Leverancer!$AU$25)+1)*Leverancer!BS$96/1000)</f>
        <v/>
      </c>
      <c r="AS108" s="128" t="str">
        <f ca="1">IF(AS$50="","",INDEX(Leverancer!BT:BT,ROW()-ROW(Leverancer!$AU$25)+1)*Leverancer!BT$96/1000)</f>
        <v/>
      </c>
      <c r="AT108" s="128" t="str">
        <f ca="1">IF(AT$50="","",INDEX(Leverancer!BU:BU,ROW()-ROW(Leverancer!$AU$25)+1)*Leverancer!BU$96/1000)</f>
        <v/>
      </c>
      <c r="AU108" s="128" t="str">
        <f ca="1">IF(AU$50="","",INDEX(Leverancer!BV:BV,ROW()-ROW(Leverancer!$AU$25)+1)*Leverancer!BV$96/1000)</f>
        <v/>
      </c>
      <c r="AV108" s="128" t="str">
        <f ca="1">IF(AV$50="","",INDEX(Leverancer!BW:BW,ROW()-ROW(Leverancer!$AU$25)+1)*Leverancer!BW$96/1000)</f>
        <v/>
      </c>
      <c r="AW108" s="128" t="str">
        <f ca="1">IF(AW$50="","",INDEX(Leverancer!BX:BX,ROW()-ROW(Leverancer!$AU$25)+1)*Leverancer!BX$96/1000)</f>
        <v/>
      </c>
      <c r="AX108" s="104"/>
      <c r="AY108" s="104"/>
      <c r="AZ108" s="101"/>
    </row>
    <row r="109" spans="14:52" ht="12.75" hidden="1" customHeight="1" outlineLevel="1" x14ac:dyDescent="0.25">
      <c r="N109" s="99"/>
      <c r="O109" s="104"/>
      <c r="P109" s="104"/>
      <c r="Q109" s="130" t="str">
        <f>INDEX(Leverancer!$AO$1:$AO$1061,ROW()-ROW(Leverancer!$AU$25)+1)&amp;": "&amp;INDEX(Leverancer!$AP$1:$AP$1061,ROW()-ROW(Leverancer!$AU$25)+1)</f>
        <v xml:space="preserve">L57: </v>
      </c>
      <c r="R109" s="128"/>
      <c r="S109" s="133">
        <f t="shared" ca="1" si="11"/>
        <v>0</v>
      </c>
      <c r="T109" s="128">
        <f ca="1">IF(T$50="","",INDEX(Leverancer!AU:AU,ROW()-ROW(Leverancer!$AU$25)+1)*Leverancer!AU$96/1000)</f>
        <v>0</v>
      </c>
      <c r="U109" s="128">
        <f ca="1">IF(U$50="","",INDEX(Leverancer!AV:AV,ROW()-ROW(Leverancer!$AU$25)+1)*Leverancer!AV$96/1000)</f>
        <v>0</v>
      </c>
      <c r="V109" s="128">
        <f ca="1">IF(V$50="","",INDEX(Leverancer!AW:AW,ROW()-ROW(Leverancer!$AU$25)+1)*Leverancer!AW$96/1000)</f>
        <v>0</v>
      </c>
      <c r="W109" s="128">
        <f ca="1">IF(W$50="","",INDEX(Leverancer!AX:AX,ROW()-ROW(Leverancer!$AU$25)+1)*Leverancer!AX$96/1000)</f>
        <v>0</v>
      </c>
      <c r="X109" s="128" t="str">
        <f ca="1">IF(X$50="","",INDEX(Leverancer!AY:AY,ROW()-ROW(Leverancer!$AU$25)+1)*Leverancer!AY$96/1000)</f>
        <v/>
      </c>
      <c r="Y109" s="128" t="str">
        <f ca="1">IF(Y$50="","",INDEX(Leverancer!AZ:AZ,ROW()-ROW(Leverancer!$AU$25)+1)*Leverancer!AZ$96/1000)</f>
        <v/>
      </c>
      <c r="Z109" s="128" t="str">
        <f ca="1">IF(Z$50="","",INDEX(Leverancer!BA:BA,ROW()-ROW(Leverancer!$AU$25)+1)*Leverancer!BA$96/1000)</f>
        <v/>
      </c>
      <c r="AA109" s="128" t="str">
        <f ca="1">IF(AA$50="","",INDEX(Leverancer!BB:BB,ROW()-ROW(Leverancer!$AU$25)+1)*Leverancer!BB$96/1000)</f>
        <v/>
      </c>
      <c r="AB109" s="128" t="str">
        <f ca="1">IF(AB$50="","",INDEX(Leverancer!BC:BC,ROW()-ROW(Leverancer!$AU$25)+1)*Leverancer!BC$96/1000)</f>
        <v/>
      </c>
      <c r="AC109" s="128" t="str">
        <f ca="1">IF(AC$50="","",INDEX(Leverancer!BD:BD,ROW()-ROW(Leverancer!$AU$25)+1)*Leverancer!BD$96/1000)</f>
        <v/>
      </c>
      <c r="AD109" s="128" t="str">
        <f ca="1">IF(AD$50="","",INDEX(Leverancer!BE:BE,ROW()-ROW(Leverancer!$AU$25)+1)*Leverancer!BE$96/1000)</f>
        <v/>
      </c>
      <c r="AE109" s="128" t="str">
        <f ca="1">IF(AE$50="","",INDEX(Leverancer!BF:BF,ROW()-ROW(Leverancer!$AU$25)+1)*Leverancer!BF$96/1000)</f>
        <v/>
      </c>
      <c r="AF109" s="128" t="str">
        <f ca="1">IF(AF$50="","",INDEX(Leverancer!BG:BG,ROW()-ROW(Leverancer!$AU$25)+1)*Leverancer!BG$96/1000)</f>
        <v/>
      </c>
      <c r="AG109" s="128" t="str">
        <f ca="1">IF(AG$50="","",INDEX(Leverancer!BH:BH,ROW()-ROW(Leverancer!$AU$25)+1)*Leverancer!BH$96/1000)</f>
        <v/>
      </c>
      <c r="AH109" s="128" t="str">
        <f ca="1">IF(AH$50="","",INDEX(Leverancer!BI:BI,ROW()-ROW(Leverancer!$AU$25)+1)*Leverancer!BI$96/1000)</f>
        <v/>
      </c>
      <c r="AI109" s="128" t="str">
        <f ca="1">IF(AI$50="","",INDEX(Leverancer!BJ:BJ,ROW()-ROW(Leverancer!$AU$25)+1)*Leverancer!BJ$96/1000)</f>
        <v/>
      </c>
      <c r="AJ109" s="128" t="str">
        <f ca="1">IF(AJ$50="","",INDEX(Leverancer!BK:BK,ROW()-ROW(Leverancer!$AU$25)+1)*Leverancer!BK$96/1000)</f>
        <v/>
      </c>
      <c r="AK109" s="128" t="str">
        <f ca="1">IF(AK$50="","",INDEX(Leverancer!BL:BL,ROW()-ROW(Leverancer!$AU$25)+1)*Leverancer!BL$96/1000)</f>
        <v/>
      </c>
      <c r="AL109" s="128" t="str">
        <f ca="1">IF(AL$50="","",INDEX(Leverancer!BM:BM,ROW()-ROW(Leverancer!$AU$25)+1)*Leverancer!BM$96/1000)</f>
        <v/>
      </c>
      <c r="AM109" s="128" t="str">
        <f ca="1">IF(AM$50="","",INDEX(Leverancer!BN:BN,ROW()-ROW(Leverancer!$AU$25)+1)*Leverancer!BN$96/1000)</f>
        <v/>
      </c>
      <c r="AN109" s="128" t="str">
        <f ca="1">IF(AN$50="","",INDEX(Leverancer!BO:BO,ROW()-ROW(Leverancer!$AU$25)+1)*Leverancer!BO$96/1000)</f>
        <v/>
      </c>
      <c r="AO109" s="128" t="str">
        <f ca="1">IF(AO$50="","",INDEX(Leverancer!BP:BP,ROW()-ROW(Leverancer!$AU$25)+1)*Leverancer!BP$96/1000)</f>
        <v/>
      </c>
      <c r="AP109" s="128" t="str">
        <f ca="1">IF(AP$50="","",INDEX(Leverancer!BQ:BQ,ROW()-ROW(Leverancer!$AU$25)+1)*Leverancer!BQ$96/1000)</f>
        <v/>
      </c>
      <c r="AQ109" s="128" t="str">
        <f ca="1">IF(AQ$50="","",INDEX(Leverancer!BR:BR,ROW()-ROW(Leverancer!$AU$25)+1)*Leverancer!BR$96/1000)</f>
        <v/>
      </c>
      <c r="AR109" s="128" t="str">
        <f ca="1">IF(AR$50="","",INDEX(Leverancer!BS:BS,ROW()-ROW(Leverancer!$AU$25)+1)*Leverancer!BS$96/1000)</f>
        <v/>
      </c>
      <c r="AS109" s="128" t="str">
        <f ca="1">IF(AS$50="","",INDEX(Leverancer!BT:BT,ROW()-ROW(Leverancer!$AU$25)+1)*Leverancer!BT$96/1000)</f>
        <v/>
      </c>
      <c r="AT109" s="128" t="str">
        <f ca="1">IF(AT$50="","",INDEX(Leverancer!BU:BU,ROW()-ROW(Leverancer!$AU$25)+1)*Leverancer!BU$96/1000)</f>
        <v/>
      </c>
      <c r="AU109" s="128" t="str">
        <f ca="1">IF(AU$50="","",INDEX(Leverancer!BV:BV,ROW()-ROW(Leverancer!$AU$25)+1)*Leverancer!BV$96/1000)</f>
        <v/>
      </c>
      <c r="AV109" s="128" t="str">
        <f ca="1">IF(AV$50="","",INDEX(Leverancer!BW:BW,ROW()-ROW(Leverancer!$AU$25)+1)*Leverancer!BW$96/1000)</f>
        <v/>
      </c>
      <c r="AW109" s="128" t="str">
        <f ca="1">IF(AW$50="","",INDEX(Leverancer!BX:BX,ROW()-ROW(Leverancer!$AU$25)+1)*Leverancer!BX$96/1000)</f>
        <v/>
      </c>
      <c r="AX109" s="104"/>
      <c r="AY109" s="104"/>
      <c r="AZ109" s="101"/>
    </row>
    <row r="110" spans="14:52" ht="12.75" hidden="1" customHeight="1" outlineLevel="1" x14ac:dyDescent="0.25">
      <c r="N110" s="99"/>
      <c r="O110" s="104"/>
      <c r="P110" s="104"/>
      <c r="Q110" s="130" t="str">
        <f>INDEX(Leverancer!$AO$1:$AO$1061,ROW()-ROW(Leverancer!$AU$25)+1)&amp;": "&amp;INDEX(Leverancer!$AP$1:$AP$1061,ROW()-ROW(Leverancer!$AU$25)+1)</f>
        <v xml:space="preserve">L58: </v>
      </c>
      <c r="R110" s="128"/>
      <c r="S110" s="133">
        <f t="shared" ca="1" si="11"/>
        <v>0</v>
      </c>
      <c r="T110" s="128">
        <f ca="1">IF(T$50="","",INDEX(Leverancer!AU:AU,ROW()-ROW(Leverancer!$AU$25)+1)*Leverancer!AU$96/1000)</f>
        <v>0</v>
      </c>
      <c r="U110" s="128">
        <f ca="1">IF(U$50="","",INDEX(Leverancer!AV:AV,ROW()-ROW(Leverancer!$AU$25)+1)*Leverancer!AV$96/1000)</f>
        <v>0</v>
      </c>
      <c r="V110" s="128">
        <f ca="1">IF(V$50="","",INDEX(Leverancer!AW:AW,ROW()-ROW(Leverancer!$AU$25)+1)*Leverancer!AW$96/1000)</f>
        <v>0</v>
      </c>
      <c r="W110" s="128">
        <f ca="1">IF(W$50="","",INDEX(Leverancer!AX:AX,ROW()-ROW(Leverancer!$AU$25)+1)*Leverancer!AX$96/1000)</f>
        <v>0</v>
      </c>
      <c r="X110" s="128" t="str">
        <f ca="1">IF(X$50="","",INDEX(Leverancer!AY:AY,ROW()-ROW(Leverancer!$AU$25)+1)*Leverancer!AY$96/1000)</f>
        <v/>
      </c>
      <c r="Y110" s="128" t="str">
        <f ca="1">IF(Y$50="","",INDEX(Leverancer!AZ:AZ,ROW()-ROW(Leverancer!$AU$25)+1)*Leverancer!AZ$96/1000)</f>
        <v/>
      </c>
      <c r="Z110" s="128" t="str">
        <f ca="1">IF(Z$50="","",INDEX(Leverancer!BA:BA,ROW()-ROW(Leverancer!$AU$25)+1)*Leverancer!BA$96/1000)</f>
        <v/>
      </c>
      <c r="AA110" s="128" t="str">
        <f ca="1">IF(AA$50="","",INDEX(Leverancer!BB:BB,ROW()-ROW(Leverancer!$AU$25)+1)*Leverancer!BB$96/1000)</f>
        <v/>
      </c>
      <c r="AB110" s="128" t="str">
        <f ca="1">IF(AB$50="","",INDEX(Leverancer!BC:BC,ROW()-ROW(Leverancer!$AU$25)+1)*Leverancer!BC$96/1000)</f>
        <v/>
      </c>
      <c r="AC110" s="128" t="str">
        <f ca="1">IF(AC$50="","",INDEX(Leverancer!BD:BD,ROW()-ROW(Leverancer!$AU$25)+1)*Leverancer!BD$96/1000)</f>
        <v/>
      </c>
      <c r="AD110" s="128" t="str">
        <f ca="1">IF(AD$50="","",INDEX(Leverancer!BE:BE,ROW()-ROW(Leverancer!$AU$25)+1)*Leverancer!BE$96/1000)</f>
        <v/>
      </c>
      <c r="AE110" s="128" t="str">
        <f ca="1">IF(AE$50="","",INDEX(Leverancer!BF:BF,ROW()-ROW(Leverancer!$AU$25)+1)*Leverancer!BF$96/1000)</f>
        <v/>
      </c>
      <c r="AF110" s="128" t="str">
        <f ca="1">IF(AF$50="","",INDEX(Leverancer!BG:BG,ROW()-ROW(Leverancer!$AU$25)+1)*Leverancer!BG$96/1000)</f>
        <v/>
      </c>
      <c r="AG110" s="128" t="str">
        <f ca="1">IF(AG$50="","",INDEX(Leverancer!BH:BH,ROW()-ROW(Leverancer!$AU$25)+1)*Leverancer!BH$96/1000)</f>
        <v/>
      </c>
      <c r="AH110" s="128" t="str">
        <f ca="1">IF(AH$50="","",INDEX(Leverancer!BI:BI,ROW()-ROW(Leverancer!$AU$25)+1)*Leverancer!BI$96/1000)</f>
        <v/>
      </c>
      <c r="AI110" s="128" t="str">
        <f ca="1">IF(AI$50="","",INDEX(Leverancer!BJ:BJ,ROW()-ROW(Leverancer!$AU$25)+1)*Leverancer!BJ$96/1000)</f>
        <v/>
      </c>
      <c r="AJ110" s="128" t="str">
        <f ca="1">IF(AJ$50="","",INDEX(Leverancer!BK:BK,ROW()-ROW(Leverancer!$AU$25)+1)*Leverancer!BK$96/1000)</f>
        <v/>
      </c>
      <c r="AK110" s="128" t="str">
        <f ca="1">IF(AK$50="","",INDEX(Leverancer!BL:BL,ROW()-ROW(Leverancer!$AU$25)+1)*Leverancer!BL$96/1000)</f>
        <v/>
      </c>
      <c r="AL110" s="128" t="str">
        <f ca="1">IF(AL$50="","",INDEX(Leverancer!BM:BM,ROW()-ROW(Leverancer!$AU$25)+1)*Leverancer!BM$96/1000)</f>
        <v/>
      </c>
      <c r="AM110" s="128" t="str">
        <f ca="1">IF(AM$50="","",INDEX(Leverancer!BN:BN,ROW()-ROW(Leverancer!$AU$25)+1)*Leverancer!BN$96/1000)</f>
        <v/>
      </c>
      <c r="AN110" s="128" t="str">
        <f ca="1">IF(AN$50="","",INDEX(Leverancer!BO:BO,ROW()-ROW(Leverancer!$AU$25)+1)*Leverancer!BO$96/1000)</f>
        <v/>
      </c>
      <c r="AO110" s="128" t="str">
        <f ca="1">IF(AO$50="","",INDEX(Leverancer!BP:BP,ROW()-ROW(Leverancer!$AU$25)+1)*Leverancer!BP$96/1000)</f>
        <v/>
      </c>
      <c r="AP110" s="128" t="str">
        <f ca="1">IF(AP$50="","",INDEX(Leverancer!BQ:BQ,ROW()-ROW(Leverancer!$AU$25)+1)*Leverancer!BQ$96/1000)</f>
        <v/>
      </c>
      <c r="AQ110" s="128" t="str">
        <f ca="1">IF(AQ$50="","",INDEX(Leverancer!BR:BR,ROW()-ROW(Leverancer!$AU$25)+1)*Leverancer!BR$96/1000)</f>
        <v/>
      </c>
      <c r="AR110" s="128" t="str">
        <f ca="1">IF(AR$50="","",INDEX(Leverancer!BS:BS,ROW()-ROW(Leverancer!$AU$25)+1)*Leverancer!BS$96/1000)</f>
        <v/>
      </c>
      <c r="AS110" s="128" t="str">
        <f ca="1">IF(AS$50="","",INDEX(Leverancer!BT:BT,ROW()-ROW(Leverancer!$AU$25)+1)*Leverancer!BT$96/1000)</f>
        <v/>
      </c>
      <c r="AT110" s="128" t="str">
        <f ca="1">IF(AT$50="","",INDEX(Leverancer!BU:BU,ROW()-ROW(Leverancer!$AU$25)+1)*Leverancer!BU$96/1000)</f>
        <v/>
      </c>
      <c r="AU110" s="128" t="str">
        <f ca="1">IF(AU$50="","",INDEX(Leverancer!BV:BV,ROW()-ROW(Leverancer!$AU$25)+1)*Leverancer!BV$96/1000)</f>
        <v/>
      </c>
      <c r="AV110" s="128" t="str">
        <f ca="1">IF(AV$50="","",INDEX(Leverancer!BW:BW,ROW()-ROW(Leverancer!$AU$25)+1)*Leverancer!BW$96/1000)</f>
        <v/>
      </c>
      <c r="AW110" s="128" t="str">
        <f ca="1">IF(AW$50="","",INDEX(Leverancer!BX:BX,ROW()-ROW(Leverancer!$AU$25)+1)*Leverancer!BX$96/1000)</f>
        <v/>
      </c>
      <c r="AX110" s="104"/>
      <c r="AY110" s="104"/>
      <c r="AZ110" s="101"/>
    </row>
    <row r="111" spans="14:52" ht="12.75" hidden="1" customHeight="1" outlineLevel="1" x14ac:dyDescent="0.25">
      <c r="N111" s="99"/>
      <c r="O111" s="104"/>
      <c r="P111" s="104"/>
      <c r="Q111" s="130" t="str">
        <f>INDEX(Leverancer!$AO$1:$AO$1061,ROW()-ROW(Leverancer!$AU$25)+1)&amp;": "&amp;INDEX(Leverancer!$AP$1:$AP$1061,ROW()-ROW(Leverancer!$AU$25)+1)</f>
        <v xml:space="preserve">L59: </v>
      </c>
      <c r="R111" s="128"/>
      <c r="S111" s="133">
        <f t="shared" ca="1" si="11"/>
        <v>0</v>
      </c>
      <c r="T111" s="128">
        <f ca="1">IF(T$50="","",INDEX(Leverancer!AU:AU,ROW()-ROW(Leverancer!$AU$25)+1)*Leverancer!AU$96/1000)</f>
        <v>0</v>
      </c>
      <c r="U111" s="128">
        <f ca="1">IF(U$50="","",INDEX(Leverancer!AV:AV,ROW()-ROW(Leverancer!$AU$25)+1)*Leverancer!AV$96/1000)</f>
        <v>0</v>
      </c>
      <c r="V111" s="128">
        <f ca="1">IF(V$50="","",INDEX(Leverancer!AW:AW,ROW()-ROW(Leverancer!$AU$25)+1)*Leverancer!AW$96/1000)</f>
        <v>0</v>
      </c>
      <c r="W111" s="128">
        <f ca="1">IF(W$50="","",INDEX(Leverancer!AX:AX,ROW()-ROW(Leverancer!$AU$25)+1)*Leverancer!AX$96/1000)</f>
        <v>0</v>
      </c>
      <c r="X111" s="128" t="str">
        <f ca="1">IF(X$50="","",INDEX(Leverancer!AY:AY,ROW()-ROW(Leverancer!$AU$25)+1)*Leverancer!AY$96/1000)</f>
        <v/>
      </c>
      <c r="Y111" s="128" t="str">
        <f ca="1">IF(Y$50="","",INDEX(Leverancer!AZ:AZ,ROW()-ROW(Leverancer!$AU$25)+1)*Leverancer!AZ$96/1000)</f>
        <v/>
      </c>
      <c r="Z111" s="128" t="str">
        <f ca="1">IF(Z$50="","",INDEX(Leverancer!BA:BA,ROW()-ROW(Leverancer!$AU$25)+1)*Leverancer!BA$96/1000)</f>
        <v/>
      </c>
      <c r="AA111" s="128" t="str">
        <f ca="1">IF(AA$50="","",INDEX(Leverancer!BB:BB,ROW()-ROW(Leverancer!$AU$25)+1)*Leverancer!BB$96/1000)</f>
        <v/>
      </c>
      <c r="AB111" s="128" t="str">
        <f ca="1">IF(AB$50="","",INDEX(Leverancer!BC:BC,ROW()-ROW(Leverancer!$AU$25)+1)*Leverancer!BC$96/1000)</f>
        <v/>
      </c>
      <c r="AC111" s="128" t="str">
        <f ca="1">IF(AC$50="","",INDEX(Leverancer!BD:BD,ROW()-ROW(Leverancer!$AU$25)+1)*Leverancer!BD$96/1000)</f>
        <v/>
      </c>
      <c r="AD111" s="128" t="str">
        <f ca="1">IF(AD$50="","",INDEX(Leverancer!BE:BE,ROW()-ROW(Leverancer!$AU$25)+1)*Leverancer!BE$96/1000)</f>
        <v/>
      </c>
      <c r="AE111" s="128" t="str">
        <f ca="1">IF(AE$50="","",INDEX(Leverancer!BF:BF,ROW()-ROW(Leverancer!$AU$25)+1)*Leverancer!BF$96/1000)</f>
        <v/>
      </c>
      <c r="AF111" s="128" t="str">
        <f ca="1">IF(AF$50="","",INDEX(Leverancer!BG:BG,ROW()-ROW(Leverancer!$AU$25)+1)*Leverancer!BG$96/1000)</f>
        <v/>
      </c>
      <c r="AG111" s="128" t="str">
        <f ca="1">IF(AG$50="","",INDEX(Leverancer!BH:BH,ROW()-ROW(Leverancer!$AU$25)+1)*Leverancer!BH$96/1000)</f>
        <v/>
      </c>
      <c r="AH111" s="128" t="str">
        <f ca="1">IF(AH$50="","",INDEX(Leverancer!BI:BI,ROW()-ROW(Leverancer!$AU$25)+1)*Leverancer!BI$96/1000)</f>
        <v/>
      </c>
      <c r="AI111" s="128" t="str">
        <f ca="1">IF(AI$50="","",INDEX(Leverancer!BJ:BJ,ROW()-ROW(Leverancer!$AU$25)+1)*Leverancer!BJ$96/1000)</f>
        <v/>
      </c>
      <c r="AJ111" s="128" t="str">
        <f ca="1">IF(AJ$50="","",INDEX(Leverancer!BK:BK,ROW()-ROW(Leverancer!$AU$25)+1)*Leverancer!BK$96/1000)</f>
        <v/>
      </c>
      <c r="AK111" s="128" t="str">
        <f ca="1">IF(AK$50="","",INDEX(Leverancer!BL:BL,ROW()-ROW(Leverancer!$AU$25)+1)*Leverancer!BL$96/1000)</f>
        <v/>
      </c>
      <c r="AL111" s="128" t="str">
        <f ca="1">IF(AL$50="","",INDEX(Leverancer!BM:BM,ROW()-ROW(Leverancer!$AU$25)+1)*Leverancer!BM$96/1000)</f>
        <v/>
      </c>
      <c r="AM111" s="128" t="str">
        <f ca="1">IF(AM$50="","",INDEX(Leverancer!BN:BN,ROW()-ROW(Leverancer!$AU$25)+1)*Leverancer!BN$96/1000)</f>
        <v/>
      </c>
      <c r="AN111" s="128" t="str">
        <f ca="1">IF(AN$50="","",INDEX(Leverancer!BO:BO,ROW()-ROW(Leverancer!$AU$25)+1)*Leverancer!BO$96/1000)</f>
        <v/>
      </c>
      <c r="AO111" s="128" t="str">
        <f ca="1">IF(AO$50="","",INDEX(Leverancer!BP:BP,ROW()-ROW(Leverancer!$AU$25)+1)*Leverancer!BP$96/1000)</f>
        <v/>
      </c>
      <c r="AP111" s="128" t="str">
        <f ca="1">IF(AP$50="","",INDEX(Leverancer!BQ:BQ,ROW()-ROW(Leverancer!$AU$25)+1)*Leverancer!BQ$96/1000)</f>
        <v/>
      </c>
      <c r="AQ111" s="128" t="str">
        <f ca="1">IF(AQ$50="","",INDEX(Leverancer!BR:BR,ROW()-ROW(Leverancer!$AU$25)+1)*Leverancer!BR$96/1000)</f>
        <v/>
      </c>
      <c r="AR111" s="128" t="str">
        <f ca="1">IF(AR$50="","",INDEX(Leverancer!BS:BS,ROW()-ROW(Leverancer!$AU$25)+1)*Leverancer!BS$96/1000)</f>
        <v/>
      </c>
      <c r="AS111" s="128" t="str">
        <f ca="1">IF(AS$50="","",INDEX(Leverancer!BT:BT,ROW()-ROW(Leverancer!$AU$25)+1)*Leverancer!BT$96/1000)</f>
        <v/>
      </c>
      <c r="AT111" s="128" t="str">
        <f ca="1">IF(AT$50="","",INDEX(Leverancer!BU:BU,ROW()-ROW(Leverancer!$AU$25)+1)*Leverancer!BU$96/1000)</f>
        <v/>
      </c>
      <c r="AU111" s="128" t="str">
        <f ca="1">IF(AU$50="","",INDEX(Leverancer!BV:BV,ROW()-ROW(Leverancer!$AU$25)+1)*Leverancer!BV$96/1000)</f>
        <v/>
      </c>
      <c r="AV111" s="128" t="str">
        <f ca="1">IF(AV$50="","",INDEX(Leverancer!BW:BW,ROW()-ROW(Leverancer!$AU$25)+1)*Leverancer!BW$96/1000)</f>
        <v/>
      </c>
      <c r="AW111" s="128" t="str">
        <f ca="1">IF(AW$50="","",INDEX(Leverancer!BX:BX,ROW()-ROW(Leverancer!$AU$25)+1)*Leverancer!BX$96/1000)</f>
        <v/>
      </c>
      <c r="AX111" s="104"/>
      <c r="AY111" s="104"/>
      <c r="AZ111" s="101"/>
    </row>
    <row r="112" spans="14:52" ht="12.75" hidden="1" customHeight="1" outlineLevel="1" x14ac:dyDescent="0.25">
      <c r="N112" s="99"/>
      <c r="O112" s="104"/>
      <c r="P112" s="104"/>
      <c r="Q112" s="130" t="str">
        <f>INDEX(Leverancer!$AO$1:$AO$1061,ROW()-ROW(Leverancer!$AU$25)+1)&amp;": "&amp;INDEX(Leverancer!$AP$1:$AP$1061,ROW()-ROW(Leverancer!$AU$25)+1)</f>
        <v xml:space="preserve">L60: </v>
      </c>
      <c r="R112" s="128"/>
      <c r="S112" s="133">
        <f t="shared" ca="1" si="11"/>
        <v>0</v>
      </c>
      <c r="T112" s="128">
        <f ca="1">IF(T$50="","",INDEX(Leverancer!AU:AU,ROW()-ROW(Leverancer!$AU$25)+1)*Leverancer!AU$96/1000)</f>
        <v>0</v>
      </c>
      <c r="U112" s="128">
        <f ca="1">IF(U$50="","",INDEX(Leverancer!AV:AV,ROW()-ROW(Leverancer!$AU$25)+1)*Leverancer!AV$96/1000)</f>
        <v>0</v>
      </c>
      <c r="V112" s="128">
        <f ca="1">IF(V$50="","",INDEX(Leverancer!AW:AW,ROW()-ROW(Leverancer!$AU$25)+1)*Leverancer!AW$96/1000)</f>
        <v>0</v>
      </c>
      <c r="W112" s="128">
        <f ca="1">IF(W$50="","",INDEX(Leverancer!AX:AX,ROW()-ROW(Leverancer!$AU$25)+1)*Leverancer!AX$96/1000)</f>
        <v>0</v>
      </c>
      <c r="X112" s="128" t="str">
        <f ca="1">IF(X$50="","",INDEX(Leverancer!AY:AY,ROW()-ROW(Leverancer!$AU$25)+1)*Leverancer!AY$96/1000)</f>
        <v/>
      </c>
      <c r="Y112" s="128" t="str">
        <f ca="1">IF(Y$50="","",INDEX(Leverancer!AZ:AZ,ROW()-ROW(Leverancer!$AU$25)+1)*Leverancer!AZ$96/1000)</f>
        <v/>
      </c>
      <c r="Z112" s="128" t="str">
        <f ca="1">IF(Z$50="","",INDEX(Leverancer!BA:BA,ROW()-ROW(Leverancer!$AU$25)+1)*Leverancer!BA$96/1000)</f>
        <v/>
      </c>
      <c r="AA112" s="128" t="str">
        <f ca="1">IF(AA$50="","",INDEX(Leverancer!BB:BB,ROW()-ROW(Leverancer!$AU$25)+1)*Leverancer!BB$96/1000)</f>
        <v/>
      </c>
      <c r="AB112" s="128" t="str">
        <f ca="1">IF(AB$50="","",INDEX(Leverancer!BC:BC,ROW()-ROW(Leverancer!$AU$25)+1)*Leverancer!BC$96/1000)</f>
        <v/>
      </c>
      <c r="AC112" s="128" t="str">
        <f ca="1">IF(AC$50="","",INDEX(Leverancer!BD:BD,ROW()-ROW(Leverancer!$AU$25)+1)*Leverancer!BD$96/1000)</f>
        <v/>
      </c>
      <c r="AD112" s="128" t="str">
        <f ca="1">IF(AD$50="","",INDEX(Leverancer!BE:BE,ROW()-ROW(Leverancer!$AU$25)+1)*Leverancer!BE$96/1000)</f>
        <v/>
      </c>
      <c r="AE112" s="128" t="str">
        <f ca="1">IF(AE$50="","",INDEX(Leverancer!BF:BF,ROW()-ROW(Leverancer!$AU$25)+1)*Leverancer!BF$96/1000)</f>
        <v/>
      </c>
      <c r="AF112" s="128" t="str">
        <f ca="1">IF(AF$50="","",INDEX(Leverancer!BG:BG,ROW()-ROW(Leverancer!$AU$25)+1)*Leverancer!BG$96/1000)</f>
        <v/>
      </c>
      <c r="AG112" s="128" t="str">
        <f ca="1">IF(AG$50="","",INDEX(Leverancer!BH:BH,ROW()-ROW(Leverancer!$AU$25)+1)*Leverancer!BH$96/1000)</f>
        <v/>
      </c>
      <c r="AH112" s="128" t="str">
        <f ca="1">IF(AH$50="","",INDEX(Leverancer!BI:BI,ROW()-ROW(Leverancer!$AU$25)+1)*Leverancer!BI$96/1000)</f>
        <v/>
      </c>
      <c r="AI112" s="128" t="str">
        <f ca="1">IF(AI$50="","",INDEX(Leverancer!BJ:BJ,ROW()-ROW(Leverancer!$AU$25)+1)*Leverancer!BJ$96/1000)</f>
        <v/>
      </c>
      <c r="AJ112" s="128" t="str">
        <f ca="1">IF(AJ$50="","",INDEX(Leverancer!BK:BK,ROW()-ROW(Leverancer!$AU$25)+1)*Leverancer!BK$96/1000)</f>
        <v/>
      </c>
      <c r="AK112" s="128" t="str">
        <f ca="1">IF(AK$50="","",INDEX(Leverancer!BL:BL,ROW()-ROW(Leverancer!$AU$25)+1)*Leverancer!BL$96/1000)</f>
        <v/>
      </c>
      <c r="AL112" s="128" t="str">
        <f ca="1">IF(AL$50="","",INDEX(Leverancer!BM:BM,ROW()-ROW(Leverancer!$AU$25)+1)*Leverancer!BM$96/1000)</f>
        <v/>
      </c>
      <c r="AM112" s="128" t="str">
        <f ca="1">IF(AM$50="","",INDEX(Leverancer!BN:BN,ROW()-ROW(Leverancer!$AU$25)+1)*Leverancer!BN$96/1000)</f>
        <v/>
      </c>
      <c r="AN112" s="128" t="str">
        <f ca="1">IF(AN$50="","",INDEX(Leverancer!BO:BO,ROW()-ROW(Leverancer!$AU$25)+1)*Leverancer!BO$96/1000)</f>
        <v/>
      </c>
      <c r="AO112" s="128" t="str">
        <f ca="1">IF(AO$50="","",INDEX(Leverancer!BP:BP,ROW()-ROW(Leverancer!$AU$25)+1)*Leverancer!BP$96/1000)</f>
        <v/>
      </c>
      <c r="AP112" s="128" t="str">
        <f ca="1">IF(AP$50="","",INDEX(Leverancer!BQ:BQ,ROW()-ROW(Leverancer!$AU$25)+1)*Leverancer!BQ$96/1000)</f>
        <v/>
      </c>
      <c r="AQ112" s="128" t="str">
        <f ca="1">IF(AQ$50="","",INDEX(Leverancer!BR:BR,ROW()-ROW(Leverancer!$AU$25)+1)*Leverancer!BR$96/1000)</f>
        <v/>
      </c>
      <c r="AR112" s="128" t="str">
        <f ca="1">IF(AR$50="","",INDEX(Leverancer!BS:BS,ROW()-ROW(Leverancer!$AU$25)+1)*Leverancer!BS$96/1000)</f>
        <v/>
      </c>
      <c r="AS112" s="128" t="str">
        <f ca="1">IF(AS$50="","",INDEX(Leverancer!BT:BT,ROW()-ROW(Leverancer!$AU$25)+1)*Leverancer!BT$96/1000)</f>
        <v/>
      </c>
      <c r="AT112" s="128" t="str">
        <f ca="1">IF(AT$50="","",INDEX(Leverancer!BU:BU,ROW()-ROW(Leverancer!$AU$25)+1)*Leverancer!BU$96/1000)</f>
        <v/>
      </c>
      <c r="AU112" s="128" t="str">
        <f ca="1">IF(AU$50="","",INDEX(Leverancer!BV:BV,ROW()-ROW(Leverancer!$AU$25)+1)*Leverancer!BV$96/1000)</f>
        <v/>
      </c>
      <c r="AV112" s="128" t="str">
        <f ca="1">IF(AV$50="","",INDEX(Leverancer!BW:BW,ROW()-ROW(Leverancer!$AU$25)+1)*Leverancer!BW$96/1000)</f>
        <v/>
      </c>
      <c r="AW112" s="128" t="str">
        <f ca="1">IF(AW$50="","",INDEX(Leverancer!BX:BX,ROW()-ROW(Leverancer!$AU$25)+1)*Leverancer!BX$96/1000)</f>
        <v/>
      </c>
      <c r="AX112" s="104"/>
      <c r="AY112" s="104"/>
      <c r="AZ112" s="101"/>
    </row>
    <row r="113" spans="1:52" ht="12.75" customHeight="1" collapsed="1" x14ac:dyDescent="0.25">
      <c r="N113" s="99"/>
      <c r="O113" s="104"/>
      <c r="P113" s="104"/>
      <c r="Q113" s="131" t="str">
        <f>INDEX(g_lang_val,MATCH("le_2_5",g_lang_key,0))</f>
        <v>Risikopulje</v>
      </c>
      <c r="R113" s="136">
        <f ca="1">IF(S$114&lt;&gt;0,S113/(S62+S51+S113),0)</f>
        <v>0</v>
      </c>
      <c r="S113" s="133">
        <f ca="1">SUM(T113:BG113)</f>
        <v>0</v>
      </c>
      <c r="T113" s="134">
        <f ca="1">IF(T$50="","",INDEX(Leverancer!AU104:BX104,1)/1000)</f>
        <v>0</v>
      </c>
      <c r="U113" s="134">
        <f ca="1">IF(U$50="","",INDEX(Leverancer!AV104:BY104,1)/1000)</f>
        <v>0</v>
      </c>
      <c r="V113" s="134">
        <f ca="1">IF(V$50="","",INDEX(Leverancer!AW104:BZ104,1)/1000)</f>
        <v>0</v>
      </c>
      <c r="W113" s="134">
        <f ca="1">IF(W$50="","",INDEX(Leverancer!AX104:CA104,1)/1000)</f>
        <v>0</v>
      </c>
      <c r="X113" s="134" t="str">
        <f ca="1">IF(X$50="","",INDEX(Leverancer!AY104:CB104,1)/1000)</f>
        <v/>
      </c>
      <c r="Y113" s="134" t="str">
        <f ca="1">IF(Y$50="","",INDEX(Leverancer!AZ104:CC104,1)/1000)</f>
        <v/>
      </c>
      <c r="Z113" s="134" t="str">
        <f ca="1">IF(Z$50="","",INDEX(Leverancer!BA104:CD104,1)/1000)</f>
        <v/>
      </c>
      <c r="AA113" s="134" t="str">
        <f ca="1">IF(AA$50="","",INDEX(Leverancer!BB104:CE104,1)/1000)</f>
        <v/>
      </c>
      <c r="AB113" s="134" t="str">
        <f ca="1">IF(AB$50="","",INDEX(Leverancer!BC104:CF104,1)/1000)</f>
        <v/>
      </c>
      <c r="AC113" s="134" t="str">
        <f ca="1">IF(AC$50="","",INDEX(Leverancer!BD104:CG104,1)/1000)</f>
        <v/>
      </c>
      <c r="AD113" s="134" t="str">
        <f ca="1">IF(AD$50="","",INDEX(Leverancer!BE104:CH104,1)/1000)</f>
        <v/>
      </c>
      <c r="AE113" s="134" t="str">
        <f ca="1">IF(AE$50="","",INDEX(Leverancer!BF104:CI104,1)/1000)</f>
        <v/>
      </c>
      <c r="AF113" s="134" t="str">
        <f ca="1">IF(AF$50="","",INDEX(Leverancer!BG104:CJ104,1)/1000)</f>
        <v/>
      </c>
      <c r="AG113" s="134" t="str">
        <f ca="1">IF(AG$50="","",INDEX(Leverancer!BH104:CK104,1)/1000)</f>
        <v/>
      </c>
      <c r="AH113" s="134" t="str">
        <f ca="1">IF(AH$50="","",INDEX(Leverancer!BI104:CL104,1)/1000)</f>
        <v/>
      </c>
      <c r="AI113" s="134" t="str">
        <f ca="1">IF(AI$50="","",INDEX(Leverancer!BJ104:CM104,1)/1000)</f>
        <v/>
      </c>
      <c r="AJ113" s="134" t="str">
        <f ca="1">IF(AJ$50="","",INDEX(Leverancer!BK104:CN104,1)/1000)</f>
        <v/>
      </c>
      <c r="AK113" s="134" t="str">
        <f ca="1">IF(AK$50="","",INDEX(Leverancer!BL104:CO104,1)/1000)</f>
        <v/>
      </c>
      <c r="AL113" s="134" t="str">
        <f ca="1">IF(AL$50="","",INDEX(Leverancer!BM104:CP104,1)/1000)</f>
        <v/>
      </c>
      <c r="AM113" s="134" t="str">
        <f ca="1">IF(AM$50="","",INDEX(Leverancer!BN104:CQ104,1)/1000)</f>
        <v/>
      </c>
      <c r="AN113" s="134" t="str">
        <f ca="1">IF(AN$50="","",INDEX(Leverancer!BO104:CR104,1)/1000)</f>
        <v/>
      </c>
      <c r="AO113" s="134" t="str">
        <f ca="1">IF(AO$50="","",INDEX(Leverancer!BP104:CS104,1)/1000)</f>
        <v/>
      </c>
      <c r="AP113" s="134" t="str">
        <f ca="1">IF(AP$50="","",INDEX(Leverancer!BQ104:CT104,1)/1000)</f>
        <v/>
      </c>
      <c r="AQ113" s="134" t="str">
        <f ca="1">IF(AQ$50="","",INDEX(Leverancer!BR104:CU104,1)/1000)</f>
        <v/>
      </c>
      <c r="AR113" s="134" t="str">
        <f ca="1">IF(AR$50="","",INDEX(Leverancer!BS104:CV104,1)/1000)</f>
        <v/>
      </c>
      <c r="AS113" s="134" t="str">
        <f ca="1">IF(AS$50="","",INDEX(Leverancer!BT104:CW104,1)/1000)</f>
        <v/>
      </c>
      <c r="AT113" s="134" t="str">
        <f ca="1">IF(AT$50="","",INDEX(Leverancer!BU104:CX104,1)/1000)</f>
        <v/>
      </c>
      <c r="AU113" s="134" t="str">
        <f ca="1">IF(AU$50="","",INDEX(Leverancer!BV104:CY104,1)/1000)</f>
        <v/>
      </c>
      <c r="AV113" s="134" t="str">
        <f ca="1">IF(AV$50="","",INDEX(Leverancer!BW104:CZ104,1)/1000)</f>
        <v/>
      </c>
      <c r="AW113" s="134" t="str">
        <f ca="1">IF(AW$50="","",INDEX(Leverancer!BX104:DA104,1)/1000)</f>
        <v/>
      </c>
      <c r="AX113" s="104"/>
      <c r="AY113" s="104"/>
      <c r="AZ113" s="101"/>
    </row>
    <row r="114" spans="1:52" ht="12.75" customHeight="1" x14ac:dyDescent="0.25">
      <c r="N114" s="99"/>
      <c r="O114" s="104"/>
      <c r="P114" s="104"/>
      <c r="Q114" s="131" t="str">
        <f>INDEX(g_lang_val,MATCH("tb_2_1_4",g_lang_key,0))</f>
        <v>Total, ekskl. renter</v>
      </c>
      <c r="R114" s="136">
        <f ca="1">R51+R62+R113</f>
        <v>0</v>
      </c>
      <c r="S114" s="133">
        <f ca="1">SUM(T114:BG114)</f>
        <v>0</v>
      </c>
      <c r="T114" s="134">
        <f ca="1">IF(T$50="","",T51+T62+T113)</f>
        <v>0</v>
      </c>
      <c r="U114" s="134">
        <f ca="1">IF(U$50="","",U51+U62+U113)</f>
        <v>0</v>
      </c>
      <c r="V114" s="134">
        <f t="shared" ref="V114:AW114" ca="1" si="12">IF(V$50="","",V51+V62+V113)</f>
        <v>0</v>
      </c>
      <c r="W114" s="134">
        <f t="shared" ca="1" si="12"/>
        <v>0</v>
      </c>
      <c r="X114" s="134" t="str">
        <f t="shared" ca="1" si="12"/>
        <v/>
      </c>
      <c r="Y114" s="134" t="str">
        <f t="shared" ca="1" si="12"/>
        <v/>
      </c>
      <c r="Z114" s="134" t="str">
        <f t="shared" ca="1" si="12"/>
        <v/>
      </c>
      <c r="AA114" s="134" t="str">
        <f t="shared" ca="1" si="12"/>
        <v/>
      </c>
      <c r="AB114" s="134" t="str">
        <f t="shared" ca="1" si="12"/>
        <v/>
      </c>
      <c r="AC114" s="134" t="str">
        <f t="shared" ca="1" si="12"/>
        <v/>
      </c>
      <c r="AD114" s="134" t="str">
        <f t="shared" ca="1" si="12"/>
        <v/>
      </c>
      <c r="AE114" s="134" t="str">
        <f t="shared" ca="1" si="12"/>
        <v/>
      </c>
      <c r="AF114" s="134" t="str">
        <f t="shared" ca="1" si="12"/>
        <v/>
      </c>
      <c r="AG114" s="134" t="str">
        <f t="shared" ca="1" si="12"/>
        <v/>
      </c>
      <c r="AH114" s="134" t="str">
        <f t="shared" ca="1" si="12"/>
        <v/>
      </c>
      <c r="AI114" s="134" t="str">
        <f t="shared" ca="1" si="12"/>
        <v/>
      </c>
      <c r="AJ114" s="134" t="str">
        <f t="shared" ca="1" si="12"/>
        <v/>
      </c>
      <c r="AK114" s="134" t="str">
        <f t="shared" ca="1" si="12"/>
        <v/>
      </c>
      <c r="AL114" s="134" t="str">
        <f t="shared" ca="1" si="12"/>
        <v/>
      </c>
      <c r="AM114" s="134" t="str">
        <f t="shared" ca="1" si="12"/>
        <v/>
      </c>
      <c r="AN114" s="134" t="str">
        <f t="shared" ca="1" si="12"/>
        <v/>
      </c>
      <c r="AO114" s="134" t="str">
        <f t="shared" ca="1" si="12"/>
        <v/>
      </c>
      <c r="AP114" s="134" t="str">
        <f t="shared" ca="1" si="12"/>
        <v/>
      </c>
      <c r="AQ114" s="134" t="str">
        <f t="shared" ca="1" si="12"/>
        <v/>
      </c>
      <c r="AR114" s="134" t="str">
        <f t="shared" ca="1" si="12"/>
        <v/>
      </c>
      <c r="AS114" s="134" t="str">
        <f t="shared" ca="1" si="12"/>
        <v/>
      </c>
      <c r="AT114" s="134" t="str">
        <f t="shared" ca="1" si="12"/>
        <v/>
      </c>
      <c r="AU114" s="134" t="str">
        <f t="shared" ca="1" si="12"/>
        <v/>
      </c>
      <c r="AV114" s="134" t="str">
        <f t="shared" ca="1" si="12"/>
        <v/>
      </c>
      <c r="AW114" s="134" t="str">
        <f t="shared" ca="1" si="12"/>
        <v/>
      </c>
      <c r="AX114" s="104"/>
      <c r="AY114" s="104"/>
      <c r="AZ114" s="101"/>
    </row>
    <row r="115" spans="1:52" ht="12.75" hidden="1" customHeight="1" x14ac:dyDescent="0.25">
      <c r="N115" s="99"/>
      <c r="O115" s="104"/>
      <c r="P115" s="104"/>
      <c r="Q115" s="137" t="s">
        <v>132</v>
      </c>
      <c r="R115" s="136" t="e">
        <f ca="1">S115/S114</f>
        <v>#DIV/0!</v>
      </c>
      <c r="S115" s="133">
        <f t="shared" ref="S115" si="13">SUM(T115:AM115)</f>
        <v>0</v>
      </c>
      <c r="T115" s="134">
        <f>SUMIF($B:$B,1,T:T)</f>
        <v>0</v>
      </c>
      <c r="U115" s="134">
        <f>SUMIF($B:$B,1,U:U)</f>
        <v>0</v>
      </c>
      <c r="V115" s="134">
        <f>SUMIF($B:$B,1,V:V)</f>
        <v>0</v>
      </c>
      <c r="W115" s="134">
        <f>SUMIF($B:$B,1,W:W)</f>
        <v>0</v>
      </c>
      <c r="X115" s="138"/>
      <c r="Y115" s="138"/>
      <c r="Z115" s="138"/>
      <c r="AA115" s="138"/>
      <c r="AB115" s="138"/>
      <c r="AC115" s="138"/>
      <c r="AD115" s="138"/>
      <c r="AE115" s="138"/>
      <c r="AF115" s="138"/>
      <c r="AG115" s="138"/>
      <c r="AH115" s="138"/>
      <c r="AI115" s="138"/>
      <c r="AJ115" s="138"/>
      <c r="AK115" s="138"/>
      <c r="AL115" s="138"/>
      <c r="AM115" s="138"/>
      <c r="AN115" s="104"/>
      <c r="AO115" s="104"/>
      <c r="AP115" s="104"/>
      <c r="AQ115" s="104"/>
      <c r="AR115" s="104"/>
      <c r="AS115" s="104"/>
      <c r="AT115" s="104"/>
      <c r="AU115" s="104"/>
      <c r="AV115" s="104"/>
      <c r="AW115" s="104"/>
      <c r="AX115" s="104"/>
      <c r="AY115" s="104"/>
      <c r="AZ115" s="101"/>
    </row>
    <row r="116" spans="1:52" ht="12.75" customHeight="1" x14ac:dyDescent="0.3">
      <c r="N116" s="99"/>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01"/>
    </row>
    <row r="117" spans="1:52" ht="25.5" customHeight="1" thickBot="1" x14ac:dyDescent="0.35">
      <c r="N117" s="118"/>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120"/>
    </row>
    <row r="118" spans="1:52" ht="32.25" customHeight="1" thickTop="1" x14ac:dyDescent="0.3">
      <c r="A118" s="102">
        <v>248</v>
      </c>
      <c r="B118" s="102">
        <v>248</v>
      </c>
      <c r="C118" s="102">
        <v>222</v>
      </c>
      <c r="N118" s="253" t="str">
        <f>INDEX(g_lang_val,MATCH("le_3_2",g_lang_key,0))</f>
        <v>Drifts-, vedligeholds- og udviklingsomkostninger</v>
      </c>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c r="AP118" s="254"/>
      <c r="AQ118" s="254"/>
      <c r="AR118" s="254"/>
      <c r="AS118" s="254"/>
      <c r="AT118" s="254"/>
      <c r="AU118" s="254"/>
      <c r="AV118" s="254"/>
      <c r="AW118" s="254"/>
      <c r="AX118" s="254"/>
      <c r="AY118" s="254"/>
      <c r="AZ118" s="255"/>
    </row>
    <row r="119" spans="1:52" ht="12.75" customHeight="1" x14ac:dyDescent="0.3">
      <c r="N119" s="99"/>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1"/>
    </row>
    <row r="120" spans="1:52" ht="22.9" customHeight="1" x14ac:dyDescent="0.3">
      <c r="N120" s="99"/>
      <c r="O120" s="102"/>
      <c r="P120" s="102"/>
      <c r="Q120" s="121" t="str">
        <f>INDEX(g_lang_val,MATCH("tb_1_1",g_lang_key,0)) &amp; " 4"</f>
        <v>Tabel 4</v>
      </c>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1"/>
    </row>
    <row r="121" spans="1:52" ht="31.15" customHeight="1" x14ac:dyDescent="0.3">
      <c r="N121" s="99"/>
      <c r="O121" s="104"/>
      <c r="P121" s="104"/>
      <c r="Q121" s="122" t="str">
        <f>INDEX(g_lang_val,MATCH("le_3_2",g_lang_key,0))</f>
        <v>Drifts-, vedligeholds- og udviklingsomkostninger</v>
      </c>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T121" s="104"/>
      <c r="AU121" s="104"/>
      <c r="AV121" s="104"/>
      <c r="AW121" s="104"/>
      <c r="AX121" s="104"/>
      <c r="AY121" s="104"/>
      <c r="AZ121" s="101"/>
    </row>
    <row r="122" spans="1:52" ht="12.75" customHeight="1" thickBot="1" x14ac:dyDescent="0.3">
      <c r="N122" s="99"/>
      <c r="O122" s="104"/>
      <c r="P122" s="104"/>
      <c r="Q122" s="107" t="str">
        <f ca="1">INDEX(g_lang_val,MATCH("tb_1_1_1_1",g_lang_key,0)) &amp;g_reporting_year&amp;INDEX(g_lang_val,MATCH("tb_1_1_1_2",g_lang_key,0))</f>
        <v>Mio. kr. 2025-pl</v>
      </c>
      <c r="R122" s="135"/>
      <c r="S122" s="108" t="str">
        <f>INDEX(g_lang_val,MATCH("le_2_2",g_lang_key,0))</f>
        <v xml:space="preserve">Total </v>
      </c>
      <c r="T122" s="124">
        <f ca="1">T37</f>
        <v>2025</v>
      </c>
      <c r="U122" s="124">
        <f t="shared" ref="U122:Z122" ca="1" si="14">U37</f>
        <v>2026</v>
      </c>
      <c r="V122" s="124">
        <f t="shared" ca="1" si="14"/>
        <v>2027</v>
      </c>
      <c r="W122" s="124">
        <f t="shared" ca="1" si="14"/>
        <v>2028</v>
      </c>
      <c r="X122" s="124" t="str">
        <f t="shared" ca="1" si="14"/>
        <v/>
      </c>
      <c r="Y122" s="124" t="str">
        <f t="shared" ca="1" si="14"/>
        <v/>
      </c>
      <c r="Z122" s="124" t="str">
        <f t="shared" ca="1" si="14"/>
        <v/>
      </c>
      <c r="AA122" s="124" t="str">
        <f t="shared" ref="AA122:AW122" ca="1" si="15">AA37</f>
        <v/>
      </c>
      <c r="AB122" s="124" t="str">
        <f t="shared" ca="1" si="15"/>
        <v/>
      </c>
      <c r="AC122" s="124" t="str">
        <f t="shared" ca="1" si="15"/>
        <v/>
      </c>
      <c r="AD122" s="124" t="str">
        <f t="shared" ca="1" si="15"/>
        <v/>
      </c>
      <c r="AE122" s="124" t="str">
        <f t="shared" ca="1" si="15"/>
        <v/>
      </c>
      <c r="AF122" s="124" t="str">
        <f t="shared" ca="1" si="15"/>
        <v/>
      </c>
      <c r="AG122" s="124" t="str">
        <f t="shared" ca="1" si="15"/>
        <v/>
      </c>
      <c r="AH122" s="124" t="str">
        <f t="shared" ca="1" si="15"/>
        <v/>
      </c>
      <c r="AI122" s="124" t="str">
        <f t="shared" ca="1" si="15"/>
        <v/>
      </c>
      <c r="AJ122" s="124" t="str">
        <f t="shared" ca="1" si="15"/>
        <v/>
      </c>
      <c r="AK122" s="124" t="str">
        <f t="shared" ca="1" si="15"/>
        <v/>
      </c>
      <c r="AL122" s="124" t="str">
        <f t="shared" ca="1" si="15"/>
        <v/>
      </c>
      <c r="AM122" s="124" t="str">
        <f t="shared" ca="1" si="15"/>
        <v/>
      </c>
      <c r="AN122" s="124" t="str">
        <f t="shared" ca="1" si="15"/>
        <v/>
      </c>
      <c r="AO122" s="124" t="str">
        <f t="shared" ca="1" si="15"/>
        <v/>
      </c>
      <c r="AP122" s="124" t="str">
        <f t="shared" ca="1" si="15"/>
        <v/>
      </c>
      <c r="AQ122" s="124" t="str">
        <f t="shared" ca="1" si="15"/>
        <v/>
      </c>
      <c r="AR122" s="124" t="str">
        <f t="shared" ca="1" si="15"/>
        <v/>
      </c>
      <c r="AS122" s="124" t="str">
        <f t="shared" ca="1" si="15"/>
        <v/>
      </c>
      <c r="AT122" s="124" t="str">
        <f t="shared" ca="1" si="15"/>
        <v/>
      </c>
      <c r="AU122" s="124" t="str">
        <f t="shared" ca="1" si="15"/>
        <v/>
      </c>
      <c r="AV122" s="124" t="str">
        <f t="shared" ca="1" si="15"/>
        <v/>
      </c>
      <c r="AW122" s="124" t="str">
        <f t="shared" ca="1" si="15"/>
        <v/>
      </c>
      <c r="AX122" s="104"/>
      <c r="AY122" s="104"/>
      <c r="AZ122" s="101"/>
    </row>
    <row r="123" spans="1:52" ht="12.75" customHeight="1" thickTop="1" x14ac:dyDescent="0.25">
      <c r="N123" s="99"/>
      <c r="O123" s="104"/>
      <c r="P123" s="104"/>
      <c r="Q123" s="130" t="str">
        <f>INDEX(Leverancer!$AO$1:$AO$1061,ROW()-ROW($Q$123) + ROW(Leverancer!$AO$116))&amp;": "&amp;INDEX(Leverancer!$AP$1:$AP$1061,ROW()-ROW($Q$123) + ROW(Leverancer!$AO$116))</f>
        <v xml:space="preserve">D1: </v>
      </c>
      <c r="R123" s="132"/>
      <c r="S123" s="158">
        <f ca="1">SUM(T123:BG123)</f>
        <v>0</v>
      </c>
      <c r="T123" s="128">
        <f ca="1">IF(T$37="","",INDEX(Leverancer!AU$1:AU$1061,ROW()-ROW($Q$122) + ROW(Leverancer!$AO$115))*Leverancer!AU$143/1000)</f>
        <v>0</v>
      </c>
      <c r="U123" s="128">
        <f ca="1">IF(U$37="","",INDEX(Leverancer!AV$1:AV$1061,ROW()-ROW($Q$122) + ROW(Leverancer!$AO$115))*Leverancer!AV$143/1000)</f>
        <v>0</v>
      </c>
      <c r="V123" s="128">
        <f ca="1">IF(V$37="","",INDEX(Leverancer!AW$1:AW$1061,ROW()-ROW($Q$122) + ROW(Leverancer!$AO$115))*Leverancer!AW$143/1000)</f>
        <v>0</v>
      </c>
      <c r="W123" s="128">
        <f ca="1">IF(W$37="","",INDEX(Leverancer!AX$1:AX$1061,ROW()-ROW($Q$122) + ROW(Leverancer!$AO$115))*Leverancer!AX$143/1000)</f>
        <v>0</v>
      </c>
      <c r="X123" s="128" t="str">
        <f ca="1">IF(X$37="","",INDEX(Leverancer!AY$1:AY$1061,ROW()-ROW($Q$122) + ROW(Leverancer!$AO$115))*Leverancer!AY$143/1000)</f>
        <v/>
      </c>
      <c r="Y123" s="128" t="str">
        <f ca="1">IF(Y$37="","",INDEX(Leverancer!AZ$1:AZ$1061,ROW()-ROW($Q$122) + ROW(Leverancer!$AO$115))*Leverancer!AZ$143/1000)</f>
        <v/>
      </c>
      <c r="Z123" s="128" t="str">
        <f ca="1">IF(Z$37="","",INDEX(Leverancer!BA$1:BA$1061,ROW()-ROW($Q$122) + ROW(Leverancer!$AO$115))*Leverancer!BA$143/1000)</f>
        <v/>
      </c>
      <c r="AA123" s="128" t="str">
        <f ca="1">IF(AA$37="","",INDEX(Leverancer!BB$1:BB$1061,ROW()-ROW($Q$122) + ROW(Leverancer!$AO$115))*Leverancer!BB$143/1000)</f>
        <v/>
      </c>
      <c r="AB123" s="128" t="str">
        <f ca="1">IF(AB$37="","",INDEX(Leverancer!BC$1:BC$1061,ROW()-ROW($Q$122) + ROW(Leverancer!$AO$115))*Leverancer!BC$143/1000)</f>
        <v/>
      </c>
      <c r="AC123" s="128" t="str">
        <f ca="1">IF(AC$37="","",INDEX(Leverancer!BD$1:BD$1061,ROW()-ROW($Q$122) + ROW(Leverancer!$AO$115))*Leverancer!BD$143/1000)</f>
        <v/>
      </c>
      <c r="AD123" s="128" t="str">
        <f ca="1">IF(AD$37="","",INDEX(Leverancer!BE$1:BE$1061,ROW()-ROW($Q$122) + ROW(Leverancer!$AO$115))*Leverancer!BE$143/1000)</f>
        <v/>
      </c>
      <c r="AE123" s="128" t="str">
        <f ca="1">IF(AE$37="","",INDEX(Leverancer!BF$1:BF$1061,ROW()-ROW($Q$122) + ROW(Leverancer!$AO$115))*Leverancer!BF$143/1000)</f>
        <v/>
      </c>
      <c r="AF123" s="128" t="str">
        <f ca="1">IF(AF$37="","",INDEX(Leverancer!BG$1:BG$1061,ROW()-ROW($Q$122) + ROW(Leverancer!$AO$115))*Leverancer!BG$143/1000)</f>
        <v/>
      </c>
      <c r="AG123" s="128" t="str">
        <f ca="1">IF(AG$37="","",INDEX(Leverancer!BH$1:BH$1061,ROW()-ROW($Q$122) + ROW(Leverancer!$AO$115))*Leverancer!BH$143/1000)</f>
        <v/>
      </c>
      <c r="AH123" s="128" t="str">
        <f ca="1">IF(AH$37="","",INDEX(Leverancer!BI$1:BI$1061,ROW()-ROW($Q$122) + ROW(Leverancer!$AO$115))*Leverancer!BI$143/1000)</f>
        <v/>
      </c>
      <c r="AI123" s="128" t="str">
        <f ca="1">IF(AI$37="","",INDEX(Leverancer!BJ$1:BJ$1061,ROW()-ROW($Q$122) + ROW(Leverancer!$AO$115))*Leverancer!BJ$143/1000)</f>
        <v/>
      </c>
      <c r="AJ123" s="128" t="str">
        <f ca="1">IF(AJ$37="","",INDEX(Leverancer!BK$1:BK$1061,ROW()-ROW($Q$122) + ROW(Leverancer!$AO$115))*Leverancer!BK$143/1000)</f>
        <v/>
      </c>
      <c r="AK123" s="128" t="str">
        <f ca="1">IF(AK$37="","",INDEX(Leverancer!BL$1:BL$1061,ROW()-ROW($Q$122) + ROW(Leverancer!$AO$115))*Leverancer!BL$143/1000)</f>
        <v/>
      </c>
      <c r="AL123" s="128" t="str">
        <f ca="1">IF(AL$37="","",INDEX(Leverancer!BM$1:BM$1061,ROW()-ROW($Q$122) + ROW(Leverancer!$AO$115))*Leverancer!BM$143/1000)</f>
        <v/>
      </c>
      <c r="AM123" s="128" t="str">
        <f ca="1">IF(AM$37="","",INDEX(Leverancer!BN$1:BN$1061,ROW()-ROW($Q$122) + ROW(Leverancer!$AO$115))*Leverancer!BN$143/1000)</f>
        <v/>
      </c>
      <c r="AN123" s="128" t="str">
        <f ca="1">IF(AN$37="","",INDEX(Leverancer!BO$1:BO$1061,ROW()-ROW($Q$122) + ROW(Leverancer!$AO$115))*Leverancer!BO$143/1000)</f>
        <v/>
      </c>
      <c r="AO123" s="128" t="str">
        <f ca="1">IF(AO$37="","",INDEX(Leverancer!BP$1:BP$1061,ROW()-ROW($Q$122) + ROW(Leverancer!$AO$115))*Leverancer!BP$143/1000)</f>
        <v/>
      </c>
      <c r="AP123" s="128" t="str">
        <f ca="1">IF(AP$37="","",INDEX(Leverancer!BQ$1:BQ$1061,ROW()-ROW($Q$122) + ROW(Leverancer!$AO$115))*Leverancer!BQ$143/1000)</f>
        <v/>
      </c>
      <c r="AQ123" s="128" t="str">
        <f ca="1">IF(AQ$37="","",INDEX(Leverancer!BR$1:BR$1061,ROW()-ROW($Q$122) + ROW(Leverancer!$AO$115))*Leverancer!BR$143/1000)</f>
        <v/>
      </c>
      <c r="AR123" s="128" t="str">
        <f ca="1">IF(AR$37="","",INDEX(Leverancer!BS$1:BS$1061,ROW()-ROW($Q$122) + ROW(Leverancer!$AO$115))*Leverancer!BS$143/1000)</f>
        <v/>
      </c>
      <c r="AS123" s="128" t="str">
        <f ca="1">IF(AS$37="","",INDEX(Leverancer!BT$1:BT$1061,ROW()-ROW($Q$122) + ROW(Leverancer!$AO$115))*Leverancer!BT$143/1000)</f>
        <v/>
      </c>
      <c r="AT123" s="128" t="str">
        <f ca="1">IF(AT$37="","",INDEX(Leverancer!BU$1:BU$1061,ROW()-ROW($Q$122) + ROW(Leverancer!$AO$115))*Leverancer!BU$143/1000)</f>
        <v/>
      </c>
      <c r="AU123" s="128" t="str">
        <f ca="1">IF(AU$37="","",INDEX(Leverancer!BV$1:BV$1061,ROW()-ROW($Q$122) + ROW(Leverancer!$AO$115))*Leverancer!BV$143/1000)</f>
        <v/>
      </c>
      <c r="AV123" s="128" t="str">
        <f ca="1">IF(AV$37="","",INDEX(Leverancer!BW$1:BW$1061,ROW()-ROW($Q$122) + ROW(Leverancer!$AO$115))*Leverancer!BW$143/1000)</f>
        <v/>
      </c>
      <c r="AW123" s="128" t="str">
        <f ca="1">IF(AW$37="","",INDEX(Leverancer!BX$1:BX$1061,ROW()-ROW($Q$122) + ROW(Leverancer!$AO$115))*Leverancer!BX$143/1000)</f>
        <v/>
      </c>
      <c r="AX123" s="104"/>
      <c r="AY123" s="104"/>
      <c r="AZ123" s="101"/>
    </row>
    <row r="124" spans="1:52" ht="12.75" customHeight="1" x14ac:dyDescent="0.25">
      <c r="N124" s="99"/>
      <c r="O124" s="104"/>
      <c r="P124" s="104"/>
      <c r="Q124" s="130" t="str">
        <f>INDEX(Leverancer!$AO$1:$AO$1061,ROW()-ROW($Q$123) + ROW(Leverancer!$AO$116))&amp;": "&amp;INDEX(Leverancer!$AP$1:$AP$1061,ROW()-ROW($Q$123) + ROW(Leverancer!$AO$116))</f>
        <v xml:space="preserve">D2: </v>
      </c>
      <c r="R124" s="132"/>
      <c r="S124" s="158">
        <f t="shared" ref="S124:S142" ca="1" si="16">SUM(T124:BG124)</f>
        <v>0</v>
      </c>
      <c r="T124" s="128">
        <f ca="1">IF(T$37="","",INDEX(Leverancer!AU$1:AU$1061,ROW()-ROW($Q$122) + ROW(Leverancer!$AO$115))*Leverancer!AU$143/1000)</f>
        <v>0</v>
      </c>
      <c r="U124" s="128">
        <f ca="1">IF(U$37="","",INDEX(Leverancer!AV$1:AV$1061,ROW()-ROW($Q$122) + ROW(Leverancer!$AO$115))*Leverancer!AV$143/1000)</f>
        <v>0</v>
      </c>
      <c r="V124" s="128">
        <f ca="1">IF(V$37="","",INDEX(Leverancer!AW$1:AW$1061,ROW()-ROW($Q$122) + ROW(Leverancer!$AO$115))*Leverancer!AW$143/1000)</f>
        <v>0</v>
      </c>
      <c r="W124" s="128">
        <f ca="1">IF(W$37="","",INDEX(Leverancer!AX$1:AX$1061,ROW()-ROW($Q$122) + ROW(Leverancer!$AO$115))*Leverancer!AX$143/1000)</f>
        <v>0</v>
      </c>
      <c r="X124" s="128" t="str">
        <f ca="1">IF(X$37="","",INDEX(Leverancer!AY$1:AY$1061,ROW()-ROW($Q$122) + ROW(Leverancer!$AO$115))*Leverancer!AY$143/1000)</f>
        <v/>
      </c>
      <c r="Y124" s="128" t="str">
        <f ca="1">IF(Y$37="","",INDEX(Leverancer!AZ$1:AZ$1061,ROW()-ROW($Q$122) + ROW(Leverancer!$AO$115))*Leverancer!AZ$143/1000)</f>
        <v/>
      </c>
      <c r="Z124" s="128" t="str">
        <f ca="1">IF(Z$37="","",INDEX(Leverancer!BA$1:BA$1061,ROW()-ROW($Q$122) + ROW(Leverancer!$AO$115))*Leverancer!BA$143/1000)</f>
        <v/>
      </c>
      <c r="AA124" s="128" t="str">
        <f ca="1">IF(AA$37="","",INDEX(Leverancer!BB$1:BB$1061,ROW()-ROW($Q$122) + ROW(Leverancer!$AO$115))*Leverancer!BB$143/1000)</f>
        <v/>
      </c>
      <c r="AB124" s="128" t="str">
        <f ca="1">IF(AB$37="","",INDEX(Leverancer!BC$1:BC$1061,ROW()-ROW($Q$122) + ROW(Leverancer!$AO$115))*Leverancer!BC$143/1000)</f>
        <v/>
      </c>
      <c r="AC124" s="128" t="str">
        <f ca="1">IF(AC$37="","",INDEX(Leverancer!BD$1:BD$1061,ROW()-ROW($Q$122) + ROW(Leverancer!$AO$115))*Leverancer!BD$143/1000)</f>
        <v/>
      </c>
      <c r="AD124" s="128" t="str">
        <f ca="1">IF(AD$37="","",INDEX(Leverancer!BE$1:BE$1061,ROW()-ROW($Q$122) + ROW(Leverancer!$AO$115))*Leverancer!BE$143/1000)</f>
        <v/>
      </c>
      <c r="AE124" s="128" t="str">
        <f ca="1">IF(AE$37="","",INDEX(Leverancer!BF$1:BF$1061,ROW()-ROW($Q$122) + ROW(Leverancer!$AO$115))*Leverancer!BF$143/1000)</f>
        <v/>
      </c>
      <c r="AF124" s="128" t="str">
        <f ca="1">IF(AF$37="","",INDEX(Leverancer!BG$1:BG$1061,ROW()-ROW($Q$122) + ROW(Leverancer!$AO$115))*Leverancer!BG$143/1000)</f>
        <v/>
      </c>
      <c r="AG124" s="128" t="str">
        <f ca="1">IF(AG$37="","",INDEX(Leverancer!BH$1:BH$1061,ROW()-ROW($Q$122) + ROW(Leverancer!$AO$115))*Leverancer!BH$143/1000)</f>
        <v/>
      </c>
      <c r="AH124" s="128" t="str">
        <f ca="1">IF(AH$37="","",INDEX(Leverancer!BI$1:BI$1061,ROW()-ROW($Q$122) + ROW(Leverancer!$AO$115))*Leverancer!BI$143/1000)</f>
        <v/>
      </c>
      <c r="AI124" s="128" t="str">
        <f ca="1">IF(AI$37="","",INDEX(Leverancer!BJ$1:BJ$1061,ROW()-ROW($Q$122) + ROW(Leverancer!$AO$115))*Leverancer!BJ$143/1000)</f>
        <v/>
      </c>
      <c r="AJ124" s="128" t="str">
        <f ca="1">IF(AJ$37="","",INDEX(Leverancer!BK$1:BK$1061,ROW()-ROW($Q$122) + ROW(Leverancer!$AO$115))*Leverancer!BK$143/1000)</f>
        <v/>
      </c>
      <c r="AK124" s="128" t="str">
        <f ca="1">IF(AK$37="","",INDEX(Leverancer!BL$1:BL$1061,ROW()-ROW($Q$122) + ROW(Leverancer!$AO$115))*Leverancer!BL$143/1000)</f>
        <v/>
      </c>
      <c r="AL124" s="128" t="str">
        <f ca="1">IF(AL$37="","",INDEX(Leverancer!BM$1:BM$1061,ROW()-ROW($Q$122) + ROW(Leverancer!$AO$115))*Leverancer!BM$143/1000)</f>
        <v/>
      </c>
      <c r="AM124" s="128" t="str">
        <f ca="1">IF(AM$37="","",INDEX(Leverancer!BN$1:BN$1061,ROW()-ROW($Q$122) + ROW(Leverancer!$AO$115))*Leverancer!BN$143/1000)</f>
        <v/>
      </c>
      <c r="AN124" s="128" t="str">
        <f ca="1">IF(AN$37="","",INDEX(Leverancer!BO$1:BO$1061,ROW()-ROW($Q$122) + ROW(Leverancer!$AO$115))*Leverancer!BO$143/1000)</f>
        <v/>
      </c>
      <c r="AO124" s="128" t="str">
        <f ca="1">IF(AO$37="","",INDEX(Leverancer!BP$1:BP$1061,ROW()-ROW($Q$122) + ROW(Leverancer!$AO$115))*Leverancer!BP$143/1000)</f>
        <v/>
      </c>
      <c r="AP124" s="128" t="str">
        <f ca="1">IF(AP$37="","",INDEX(Leverancer!BQ$1:BQ$1061,ROW()-ROW($Q$122) + ROW(Leverancer!$AO$115))*Leverancer!BQ$143/1000)</f>
        <v/>
      </c>
      <c r="AQ124" s="128" t="str">
        <f ca="1">IF(AQ$37="","",INDEX(Leverancer!BR$1:BR$1061,ROW()-ROW($Q$122) + ROW(Leverancer!$AO$115))*Leverancer!BR$143/1000)</f>
        <v/>
      </c>
      <c r="AR124" s="128" t="str">
        <f ca="1">IF(AR$37="","",INDEX(Leverancer!BS$1:BS$1061,ROW()-ROW($Q$122) + ROW(Leverancer!$AO$115))*Leverancer!BS$143/1000)</f>
        <v/>
      </c>
      <c r="AS124" s="128" t="str">
        <f ca="1">IF(AS$37="","",INDEX(Leverancer!BT$1:BT$1061,ROW()-ROW($Q$122) + ROW(Leverancer!$AO$115))*Leverancer!BT$143/1000)</f>
        <v/>
      </c>
      <c r="AT124" s="128" t="str">
        <f ca="1">IF(AT$37="","",INDEX(Leverancer!BU$1:BU$1061,ROW()-ROW($Q$122) + ROW(Leverancer!$AO$115))*Leverancer!BU$143/1000)</f>
        <v/>
      </c>
      <c r="AU124" s="128" t="str">
        <f ca="1">IF(AU$37="","",INDEX(Leverancer!BV$1:BV$1061,ROW()-ROW($Q$122) + ROW(Leverancer!$AO$115))*Leverancer!BV$143/1000)</f>
        <v/>
      </c>
      <c r="AV124" s="128" t="str">
        <f ca="1">IF(AV$37="","",INDEX(Leverancer!BW$1:BW$1061,ROW()-ROW($Q$122) + ROW(Leverancer!$AO$115))*Leverancer!BW$143/1000)</f>
        <v/>
      </c>
      <c r="AW124" s="128" t="str">
        <f ca="1">IF(AW$37="","",INDEX(Leverancer!BX$1:BX$1061,ROW()-ROW($Q$122) + ROW(Leverancer!$AO$115))*Leverancer!BX$143/1000)</f>
        <v/>
      </c>
      <c r="AX124" s="104"/>
      <c r="AY124" s="104"/>
      <c r="AZ124" s="101"/>
    </row>
    <row r="125" spans="1:52" ht="12.75" customHeight="1" x14ac:dyDescent="0.25">
      <c r="N125" s="99"/>
      <c r="O125" s="104"/>
      <c r="P125" s="104"/>
      <c r="Q125" s="130" t="str">
        <f>INDEX(Leverancer!$AO$1:$AO$1061,ROW()-ROW($Q$123) + ROW(Leverancer!$AO$116))&amp;": "&amp;INDEX(Leverancer!$AP$1:$AP$1061,ROW()-ROW($Q$123) + ROW(Leverancer!$AO$116))</f>
        <v xml:space="preserve">D3: </v>
      </c>
      <c r="R125" s="132"/>
      <c r="S125" s="158">
        <f t="shared" ca="1" si="16"/>
        <v>0</v>
      </c>
      <c r="T125" s="128">
        <f ca="1">IF(T$37="","",INDEX(Leverancer!AU$1:AU$1061,ROW()-ROW($Q$122) + ROW(Leverancer!$AO$115))*Leverancer!AU$143/1000)</f>
        <v>0</v>
      </c>
      <c r="U125" s="128">
        <f ca="1">IF(U$37="","",INDEX(Leverancer!AV$1:AV$1061,ROW()-ROW($Q$122) + ROW(Leverancer!$AO$115))*Leverancer!AV$143/1000)</f>
        <v>0</v>
      </c>
      <c r="V125" s="128">
        <f ca="1">IF(V$37="","",INDEX(Leverancer!AW$1:AW$1061,ROW()-ROW($Q$122) + ROW(Leverancer!$AO$115))*Leverancer!AW$143/1000)</f>
        <v>0</v>
      </c>
      <c r="W125" s="128">
        <f ca="1">IF(W$37="","",INDEX(Leverancer!AX$1:AX$1061,ROW()-ROW($Q$122) + ROW(Leverancer!$AO$115))*Leverancer!AX$143/1000)</f>
        <v>0</v>
      </c>
      <c r="X125" s="128" t="str">
        <f ca="1">IF(X$37="","",INDEX(Leverancer!AY$1:AY$1061,ROW()-ROW($Q$122) + ROW(Leverancer!$AO$115))*Leverancer!AY$143/1000)</f>
        <v/>
      </c>
      <c r="Y125" s="128" t="str">
        <f ca="1">IF(Y$37="","",INDEX(Leverancer!AZ$1:AZ$1061,ROW()-ROW($Q$122) + ROW(Leverancer!$AO$115))*Leverancer!AZ$143/1000)</f>
        <v/>
      </c>
      <c r="Z125" s="128" t="str">
        <f ca="1">IF(Z$37="","",INDEX(Leverancer!BA$1:BA$1061,ROW()-ROW($Q$122) + ROW(Leverancer!$AO$115))*Leverancer!BA$143/1000)</f>
        <v/>
      </c>
      <c r="AA125" s="128" t="str">
        <f ca="1">IF(AA$37="","",INDEX(Leverancer!BB$1:BB$1061,ROW()-ROW($Q$122) + ROW(Leverancer!$AO$115))*Leverancer!BB$143/1000)</f>
        <v/>
      </c>
      <c r="AB125" s="128" t="str">
        <f ca="1">IF(AB$37="","",INDEX(Leverancer!BC$1:BC$1061,ROW()-ROW($Q$122) + ROW(Leverancer!$AO$115))*Leverancer!BC$143/1000)</f>
        <v/>
      </c>
      <c r="AC125" s="128" t="str">
        <f ca="1">IF(AC$37="","",INDEX(Leverancer!BD$1:BD$1061,ROW()-ROW($Q$122) + ROW(Leverancer!$AO$115))*Leverancer!BD$143/1000)</f>
        <v/>
      </c>
      <c r="AD125" s="128" t="str">
        <f ca="1">IF(AD$37="","",INDEX(Leverancer!BE$1:BE$1061,ROW()-ROW($Q$122) + ROW(Leverancer!$AO$115))*Leverancer!BE$143/1000)</f>
        <v/>
      </c>
      <c r="AE125" s="128" t="str">
        <f ca="1">IF(AE$37="","",INDEX(Leverancer!BF$1:BF$1061,ROW()-ROW($Q$122) + ROW(Leverancer!$AO$115))*Leverancer!BF$143/1000)</f>
        <v/>
      </c>
      <c r="AF125" s="128" t="str">
        <f ca="1">IF(AF$37="","",INDEX(Leverancer!BG$1:BG$1061,ROW()-ROW($Q$122) + ROW(Leverancer!$AO$115))*Leverancer!BG$143/1000)</f>
        <v/>
      </c>
      <c r="AG125" s="128" t="str">
        <f ca="1">IF(AG$37="","",INDEX(Leverancer!BH$1:BH$1061,ROW()-ROW($Q$122) + ROW(Leverancer!$AO$115))*Leverancer!BH$143/1000)</f>
        <v/>
      </c>
      <c r="AH125" s="128" t="str">
        <f ca="1">IF(AH$37="","",INDEX(Leverancer!BI$1:BI$1061,ROW()-ROW($Q$122) + ROW(Leverancer!$AO$115))*Leverancer!BI$143/1000)</f>
        <v/>
      </c>
      <c r="AI125" s="128" t="str">
        <f ca="1">IF(AI$37="","",INDEX(Leverancer!BJ$1:BJ$1061,ROW()-ROW($Q$122) + ROW(Leverancer!$AO$115))*Leverancer!BJ$143/1000)</f>
        <v/>
      </c>
      <c r="AJ125" s="128" t="str">
        <f ca="1">IF(AJ$37="","",INDEX(Leverancer!BK$1:BK$1061,ROW()-ROW($Q$122) + ROW(Leverancer!$AO$115))*Leverancer!BK$143/1000)</f>
        <v/>
      </c>
      <c r="AK125" s="128" t="str">
        <f ca="1">IF(AK$37="","",INDEX(Leverancer!BL$1:BL$1061,ROW()-ROW($Q$122) + ROW(Leverancer!$AO$115))*Leverancer!BL$143/1000)</f>
        <v/>
      </c>
      <c r="AL125" s="128" t="str">
        <f ca="1">IF(AL$37="","",INDEX(Leverancer!BM$1:BM$1061,ROW()-ROW($Q$122) + ROW(Leverancer!$AO$115))*Leverancer!BM$143/1000)</f>
        <v/>
      </c>
      <c r="AM125" s="128" t="str">
        <f ca="1">IF(AM$37="","",INDEX(Leverancer!BN$1:BN$1061,ROW()-ROW($Q$122) + ROW(Leverancer!$AO$115))*Leverancer!BN$143/1000)</f>
        <v/>
      </c>
      <c r="AN125" s="128" t="str">
        <f ca="1">IF(AN$37="","",INDEX(Leverancer!BO$1:BO$1061,ROW()-ROW($Q$122) + ROW(Leverancer!$AO$115))*Leverancer!BO$143/1000)</f>
        <v/>
      </c>
      <c r="AO125" s="128" t="str">
        <f ca="1">IF(AO$37="","",INDEX(Leverancer!BP$1:BP$1061,ROW()-ROW($Q$122) + ROW(Leverancer!$AO$115))*Leverancer!BP$143/1000)</f>
        <v/>
      </c>
      <c r="AP125" s="128" t="str">
        <f ca="1">IF(AP$37="","",INDEX(Leverancer!BQ$1:BQ$1061,ROW()-ROW($Q$122) + ROW(Leverancer!$AO$115))*Leverancer!BQ$143/1000)</f>
        <v/>
      </c>
      <c r="AQ125" s="128" t="str">
        <f ca="1">IF(AQ$37="","",INDEX(Leverancer!BR$1:BR$1061,ROW()-ROW($Q$122) + ROW(Leverancer!$AO$115))*Leverancer!BR$143/1000)</f>
        <v/>
      </c>
      <c r="AR125" s="128" t="str">
        <f ca="1">IF(AR$37="","",INDEX(Leverancer!BS$1:BS$1061,ROW()-ROW($Q$122) + ROW(Leverancer!$AO$115))*Leverancer!BS$143/1000)</f>
        <v/>
      </c>
      <c r="AS125" s="128" t="str">
        <f ca="1">IF(AS$37="","",INDEX(Leverancer!BT$1:BT$1061,ROW()-ROW($Q$122) + ROW(Leverancer!$AO$115))*Leverancer!BT$143/1000)</f>
        <v/>
      </c>
      <c r="AT125" s="128" t="str">
        <f ca="1">IF(AT$37="","",INDEX(Leverancer!BU$1:BU$1061,ROW()-ROW($Q$122) + ROW(Leverancer!$AO$115))*Leverancer!BU$143/1000)</f>
        <v/>
      </c>
      <c r="AU125" s="128" t="str">
        <f ca="1">IF(AU$37="","",INDEX(Leverancer!BV$1:BV$1061,ROW()-ROW($Q$122) + ROW(Leverancer!$AO$115))*Leverancer!BV$143/1000)</f>
        <v/>
      </c>
      <c r="AV125" s="128" t="str">
        <f ca="1">IF(AV$37="","",INDEX(Leverancer!BW$1:BW$1061,ROW()-ROW($Q$122) + ROW(Leverancer!$AO$115))*Leverancer!BW$143/1000)</f>
        <v/>
      </c>
      <c r="AW125" s="128" t="str">
        <f ca="1">IF(AW$37="","",INDEX(Leverancer!BX$1:BX$1061,ROW()-ROW($Q$122) + ROW(Leverancer!$AO$115))*Leverancer!BX$143/1000)</f>
        <v/>
      </c>
      <c r="AX125" s="104"/>
      <c r="AY125" s="104"/>
      <c r="AZ125" s="101"/>
    </row>
    <row r="126" spans="1:52" ht="12.75" customHeight="1" x14ac:dyDescent="0.25">
      <c r="N126" s="99"/>
      <c r="O126" s="104"/>
      <c r="P126" s="104"/>
      <c r="Q126" s="130" t="str">
        <f>INDEX(Leverancer!$AO$1:$AO$1061,ROW()-ROW($Q$123) + ROW(Leverancer!$AO$116))&amp;": "&amp;INDEX(Leverancer!$AP$1:$AP$1061,ROW()-ROW($Q$123) + ROW(Leverancer!$AO$116))</f>
        <v xml:space="preserve">D4: </v>
      </c>
      <c r="R126" s="132"/>
      <c r="S126" s="158">
        <f t="shared" ca="1" si="16"/>
        <v>0</v>
      </c>
      <c r="T126" s="128">
        <f ca="1">IF(T$37="","",INDEX(Leverancer!AU$1:AU$1061,ROW()-ROW($Q$122) + ROW(Leverancer!$AO$115))*Leverancer!AU$143/1000)</f>
        <v>0</v>
      </c>
      <c r="U126" s="128">
        <f ca="1">IF(U$37="","",INDEX(Leverancer!AV$1:AV$1061,ROW()-ROW($Q$122) + ROW(Leverancer!$AO$115))*Leverancer!AV$143/1000)</f>
        <v>0</v>
      </c>
      <c r="V126" s="128">
        <f ca="1">IF(V$37="","",INDEX(Leverancer!AW$1:AW$1061,ROW()-ROW($Q$122) + ROW(Leverancer!$AO$115))*Leverancer!AW$143/1000)</f>
        <v>0</v>
      </c>
      <c r="W126" s="128">
        <f ca="1">IF(W$37="","",INDEX(Leverancer!AX$1:AX$1061,ROW()-ROW($Q$122) + ROW(Leverancer!$AO$115))*Leverancer!AX$143/1000)</f>
        <v>0</v>
      </c>
      <c r="X126" s="128" t="str">
        <f ca="1">IF(X$37="","",INDEX(Leverancer!AY$1:AY$1061,ROW()-ROW($Q$122) + ROW(Leverancer!$AO$115))*Leverancer!AY$143/1000)</f>
        <v/>
      </c>
      <c r="Y126" s="128" t="str">
        <f ca="1">IF(Y$37="","",INDEX(Leverancer!AZ$1:AZ$1061,ROW()-ROW($Q$122) + ROW(Leverancer!$AO$115))*Leverancer!AZ$143/1000)</f>
        <v/>
      </c>
      <c r="Z126" s="128" t="str">
        <f ca="1">IF(Z$37="","",INDEX(Leverancer!BA$1:BA$1061,ROW()-ROW($Q$122) + ROW(Leverancer!$AO$115))*Leverancer!BA$143/1000)</f>
        <v/>
      </c>
      <c r="AA126" s="128" t="str">
        <f ca="1">IF(AA$37="","",INDEX(Leverancer!BB$1:BB$1061,ROW()-ROW($Q$122) + ROW(Leverancer!$AO$115))*Leverancer!BB$143/1000)</f>
        <v/>
      </c>
      <c r="AB126" s="128" t="str">
        <f ca="1">IF(AB$37="","",INDEX(Leverancer!BC$1:BC$1061,ROW()-ROW($Q$122) + ROW(Leverancer!$AO$115))*Leverancer!BC$143/1000)</f>
        <v/>
      </c>
      <c r="AC126" s="128" t="str">
        <f ca="1">IF(AC$37="","",INDEX(Leverancer!BD$1:BD$1061,ROW()-ROW($Q$122) + ROW(Leverancer!$AO$115))*Leverancer!BD$143/1000)</f>
        <v/>
      </c>
      <c r="AD126" s="128" t="str">
        <f ca="1">IF(AD$37="","",INDEX(Leverancer!BE$1:BE$1061,ROW()-ROW($Q$122) + ROW(Leverancer!$AO$115))*Leverancer!BE$143/1000)</f>
        <v/>
      </c>
      <c r="AE126" s="128" t="str">
        <f ca="1">IF(AE$37="","",INDEX(Leverancer!BF$1:BF$1061,ROW()-ROW($Q$122) + ROW(Leverancer!$AO$115))*Leverancer!BF$143/1000)</f>
        <v/>
      </c>
      <c r="AF126" s="128" t="str">
        <f ca="1">IF(AF$37="","",INDEX(Leverancer!BG$1:BG$1061,ROW()-ROW($Q$122) + ROW(Leverancer!$AO$115))*Leverancer!BG$143/1000)</f>
        <v/>
      </c>
      <c r="AG126" s="128" t="str">
        <f ca="1">IF(AG$37="","",INDEX(Leverancer!BH$1:BH$1061,ROW()-ROW($Q$122) + ROW(Leverancer!$AO$115))*Leverancer!BH$143/1000)</f>
        <v/>
      </c>
      <c r="AH126" s="128" t="str">
        <f ca="1">IF(AH$37="","",INDEX(Leverancer!BI$1:BI$1061,ROW()-ROW($Q$122) + ROW(Leverancer!$AO$115))*Leverancer!BI$143/1000)</f>
        <v/>
      </c>
      <c r="AI126" s="128" t="str">
        <f ca="1">IF(AI$37="","",INDEX(Leverancer!BJ$1:BJ$1061,ROW()-ROW($Q$122) + ROW(Leverancer!$AO$115))*Leverancer!BJ$143/1000)</f>
        <v/>
      </c>
      <c r="AJ126" s="128" t="str">
        <f ca="1">IF(AJ$37="","",INDEX(Leverancer!BK$1:BK$1061,ROW()-ROW($Q$122) + ROW(Leverancer!$AO$115))*Leverancer!BK$143/1000)</f>
        <v/>
      </c>
      <c r="AK126" s="128" t="str">
        <f ca="1">IF(AK$37="","",INDEX(Leverancer!BL$1:BL$1061,ROW()-ROW($Q$122) + ROW(Leverancer!$AO$115))*Leverancer!BL$143/1000)</f>
        <v/>
      </c>
      <c r="AL126" s="128" t="str">
        <f ca="1">IF(AL$37="","",INDEX(Leverancer!BM$1:BM$1061,ROW()-ROW($Q$122) + ROW(Leverancer!$AO$115))*Leverancer!BM$143/1000)</f>
        <v/>
      </c>
      <c r="AM126" s="128" t="str">
        <f ca="1">IF(AM$37="","",INDEX(Leverancer!BN$1:BN$1061,ROW()-ROW($Q$122) + ROW(Leverancer!$AO$115))*Leverancer!BN$143/1000)</f>
        <v/>
      </c>
      <c r="AN126" s="128" t="str">
        <f ca="1">IF(AN$37="","",INDEX(Leverancer!BO$1:BO$1061,ROW()-ROW($Q$122) + ROW(Leverancer!$AO$115))*Leverancer!BO$143/1000)</f>
        <v/>
      </c>
      <c r="AO126" s="128" t="str">
        <f ca="1">IF(AO$37="","",INDEX(Leverancer!BP$1:BP$1061,ROW()-ROW($Q$122) + ROW(Leverancer!$AO$115))*Leverancer!BP$143/1000)</f>
        <v/>
      </c>
      <c r="AP126" s="128" t="str">
        <f ca="1">IF(AP$37="","",INDEX(Leverancer!BQ$1:BQ$1061,ROW()-ROW($Q$122) + ROW(Leverancer!$AO$115))*Leverancer!BQ$143/1000)</f>
        <v/>
      </c>
      <c r="AQ126" s="128" t="str">
        <f ca="1">IF(AQ$37="","",INDEX(Leverancer!BR$1:BR$1061,ROW()-ROW($Q$122) + ROW(Leverancer!$AO$115))*Leverancer!BR$143/1000)</f>
        <v/>
      </c>
      <c r="AR126" s="128" t="str">
        <f ca="1">IF(AR$37="","",INDEX(Leverancer!BS$1:BS$1061,ROW()-ROW($Q$122) + ROW(Leverancer!$AO$115))*Leverancer!BS$143/1000)</f>
        <v/>
      </c>
      <c r="AS126" s="128" t="str">
        <f ca="1">IF(AS$37="","",INDEX(Leverancer!BT$1:BT$1061,ROW()-ROW($Q$122) + ROW(Leverancer!$AO$115))*Leverancer!BT$143/1000)</f>
        <v/>
      </c>
      <c r="AT126" s="128" t="str">
        <f ca="1">IF(AT$37="","",INDEX(Leverancer!BU$1:BU$1061,ROW()-ROW($Q$122) + ROW(Leverancer!$AO$115))*Leverancer!BU$143/1000)</f>
        <v/>
      </c>
      <c r="AU126" s="128" t="str">
        <f ca="1">IF(AU$37="","",INDEX(Leverancer!BV$1:BV$1061,ROW()-ROW($Q$122) + ROW(Leverancer!$AO$115))*Leverancer!BV$143/1000)</f>
        <v/>
      </c>
      <c r="AV126" s="128" t="str">
        <f ca="1">IF(AV$37="","",INDEX(Leverancer!BW$1:BW$1061,ROW()-ROW($Q$122) + ROW(Leverancer!$AO$115))*Leverancer!BW$143/1000)</f>
        <v/>
      </c>
      <c r="AW126" s="128" t="str">
        <f ca="1">IF(AW$37="","",INDEX(Leverancer!BX$1:BX$1061,ROW()-ROW($Q$122) + ROW(Leverancer!$AO$115))*Leverancer!BX$143/1000)</f>
        <v/>
      </c>
      <c r="AX126" s="104"/>
      <c r="AY126" s="104"/>
      <c r="AZ126" s="101"/>
    </row>
    <row r="127" spans="1:52" ht="12.75" customHeight="1" x14ac:dyDescent="0.25">
      <c r="N127" s="99"/>
      <c r="O127" s="104"/>
      <c r="P127" s="104"/>
      <c r="Q127" s="130" t="str">
        <f>INDEX(Leverancer!$AO$1:$AO$1061,ROW()-ROW($Q$123) + ROW(Leverancer!$AO$116))&amp;": "&amp;INDEX(Leverancer!$AP$1:$AP$1061,ROW()-ROW($Q$123) + ROW(Leverancer!$AO$116))</f>
        <v xml:space="preserve">D5: </v>
      </c>
      <c r="R127" s="132"/>
      <c r="S127" s="158">
        <f t="shared" ca="1" si="16"/>
        <v>0</v>
      </c>
      <c r="T127" s="128">
        <f ca="1">IF(T$37="","",INDEX(Leverancer!AU$1:AU$1061,ROW()-ROW($Q$122) + ROW(Leverancer!$AO$115))*Leverancer!AU$143/1000)</f>
        <v>0</v>
      </c>
      <c r="U127" s="128">
        <f ca="1">IF(U$37="","",INDEX(Leverancer!AV$1:AV$1061,ROW()-ROW($Q$122) + ROW(Leverancer!$AO$115))*Leverancer!AV$143/1000)</f>
        <v>0</v>
      </c>
      <c r="V127" s="128">
        <f ca="1">IF(V$37="","",INDEX(Leverancer!AW$1:AW$1061,ROW()-ROW($Q$122) + ROW(Leverancer!$AO$115))*Leverancer!AW$143/1000)</f>
        <v>0</v>
      </c>
      <c r="W127" s="128">
        <f ca="1">IF(W$37="","",INDEX(Leverancer!AX$1:AX$1061,ROW()-ROW($Q$122) + ROW(Leverancer!$AO$115))*Leverancer!AX$143/1000)</f>
        <v>0</v>
      </c>
      <c r="X127" s="128" t="str">
        <f ca="1">IF(X$37="","",INDEX(Leverancer!AY$1:AY$1061,ROW()-ROW($Q$122) + ROW(Leverancer!$AO$115))*Leverancer!AY$143/1000)</f>
        <v/>
      </c>
      <c r="Y127" s="128" t="str">
        <f ca="1">IF(Y$37="","",INDEX(Leverancer!AZ$1:AZ$1061,ROW()-ROW($Q$122) + ROW(Leverancer!$AO$115))*Leverancer!AZ$143/1000)</f>
        <v/>
      </c>
      <c r="Z127" s="128" t="str">
        <f ca="1">IF(Z$37="","",INDEX(Leverancer!BA$1:BA$1061,ROW()-ROW($Q$122) + ROW(Leverancer!$AO$115))*Leverancer!BA$143/1000)</f>
        <v/>
      </c>
      <c r="AA127" s="128" t="str">
        <f ca="1">IF(AA$37="","",INDEX(Leverancer!BB$1:BB$1061,ROW()-ROW($Q$122) + ROW(Leverancer!$AO$115))*Leverancer!BB$143/1000)</f>
        <v/>
      </c>
      <c r="AB127" s="128" t="str">
        <f ca="1">IF(AB$37="","",INDEX(Leverancer!BC$1:BC$1061,ROW()-ROW($Q$122) + ROW(Leverancer!$AO$115))*Leverancer!BC$143/1000)</f>
        <v/>
      </c>
      <c r="AC127" s="128" t="str">
        <f ca="1">IF(AC$37="","",INDEX(Leverancer!BD$1:BD$1061,ROW()-ROW($Q$122) + ROW(Leverancer!$AO$115))*Leverancer!BD$143/1000)</f>
        <v/>
      </c>
      <c r="AD127" s="128" t="str">
        <f ca="1">IF(AD$37="","",INDEX(Leverancer!BE$1:BE$1061,ROW()-ROW($Q$122) + ROW(Leverancer!$AO$115))*Leverancer!BE$143/1000)</f>
        <v/>
      </c>
      <c r="AE127" s="128" t="str">
        <f ca="1">IF(AE$37="","",INDEX(Leverancer!BF$1:BF$1061,ROW()-ROW($Q$122) + ROW(Leverancer!$AO$115))*Leverancer!BF$143/1000)</f>
        <v/>
      </c>
      <c r="AF127" s="128" t="str">
        <f ca="1">IF(AF$37="","",INDEX(Leverancer!BG$1:BG$1061,ROW()-ROW($Q$122) + ROW(Leverancer!$AO$115))*Leverancer!BG$143/1000)</f>
        <v/>
      </c>
      <c r="AG127" s="128" t="str">
        <f ca="1">IF(AG$37="","",INDEX(Leverancer!BH$1:BH$1061,ROW()-ROW($Q$122) + ROW(Leverancer!$AO$115))*Leverancer!BH$143/1000)</f>
        <v/>
      </c>
      <c r="AH127" s="128" t="str">
        <f ca="1">IF(AH$37="","",INDEX(Leverancer!BI$1:BI$1061,ROW()-ROW($Q$122) + ROW(Leverancer!$AO$115))*Leverancer!BI$143/1000)</f>
        <v/>
      </c>
      <c r="AI127" s="128" t="str">
        <f ca="1">IF(AI$37="","",INDEX(Leverancer!BJ$1:BJ$1061,ROW()-ROW($Q$122) + ROW(Leverancer!$AO$115))*Leverancer!BJ$143/1000)</f>
        <v/>
      </c>
      <c r="AJ127" s="128" t="str">
        <f ca="1">IF(AJ$37="","",INDEX(Leverancer!BK$1:BK$1061,ROW()-ROW($Q$122) + ROW(Leverancer!$AO$115))*Leverancer!BK$143/1000)</f>
        <v/>
      </c>
      <c r="AK127" s="128" t="str">
        <f ca="1">IF(AK$37="","",INDEX(Leverancer!BL$1:BL$1061,ROW()-ROW($Q$122) + ROW(Leverancer!$AO$115))*Leverancer!BL$143/1000)</f>
        <v/>
      </c>
      <c r="AL127" s="128" t="str">
        <f ca="1">IF(AL$37="","",INDEX(Leverancer!BM$1:BM$1061,ROW()-ROW($Q$122) + ROW(Leverancer!$AO$115))*Leverancer!BM$143/1000)</f>
        <v/>
      </c>
      <c r="AM127" s="128" t="str">
        <f ca="1">IF(AM$37="","",INDEX(Leverancer!BN$1:BN$1061,ROW()-ROW($Q$122) + ROW(Leverancer!$AO$115))*Leverancer!BN$143/1000)</f>
        <v/>
      </c>
      <c r="AN127" s="128" t="str">
        <f ca="1">IF(AN$37="","",INDEX(Leverancer!BO$1:BO$1061,ROW()-ROW($Q$122) + ROW(Leverancer!$AO$115))*Leverancer!BO$143/1000)</f>
        <v/>
      </c>
      <c r="AO127" s="128" t="str">
        <f ca="1">IF(AO$37="","",INDEX(Leverancer!BP$1:BP$1061,ROW()-ROW($Q$122) + ROW(Leverancer!$AO$115))*Leverancer!BP$143/1000)</f>
        <v/>
      </c>
      <c r="AP127" s="128" t="str">
        <f ca="1">IF(AP$37="","",INDEX(Leverancer!BQ$1:BQ$1061,ROW()-ROW($Q$122) + ROW(Leverancer!$AO$115))*Leverancer!BQ$143/1000)</f>
        <v/>
      </c>
      <c r="AQ127" s="128" t="str">
        <f ca="1">IF(AQ$37="","",INDEX(Leverancer!BR$1:BR$1061,ROW()-ROW($Q$122) + ROW(Leverancer!$AO$115))*Leverancer!BR$143/1000)</f>
        <v/>
      </c>
      <c r="AR127" s="128" t="str">
        <f ca="1">IF(AR$37="","",INDEX(Leverancer!BS$1:BS$1061,ROW()-ROW($Q$122) + ROW(Leverancer!$AO$115))*Leverancer!BS$143/1000)</f>
        <v/>
      </c>
      <c r="AS127" s="128" t="str">
        <f ca="1">IF(AS$37="","",INDEX(Leverancer!BT$1:BT$1061,ROW()-ROW($Q$122) + ROW(Leverancer!$AO$115))*Leverancer!BT$143/1000)</f>
        <v/>
      </c>
      <c r="AT127" s="128" t="str">
        <f ca="1">IF(AT$37="","",INDEX(Leverancer!BU$1:BU$1061,ROW()-ROW($Q$122) + ROW(Leverancer!$AO$115))*Leverancer!BU$143/1000)</f>
        <v/>
      </c>
      <c r="AU127" s="128" t="str">
        <f ca="1">IF(AU$37="","",INDEX(Leverancer!BV$1:BV$1061,ROW()-ROW($Q$122) + ROW(Leverancer!$AO$115))*Leverancer!BV$143/1000)</f>
        <v/>
      </c>
      <c r="AV127" s="128" t="str">
        <f ca="1">IF(AV$37="","",INDEX(Leverancer!BW$1:BW$1061,ROW()-ROW($Q$122) + ROW(Leverancer!$AO$115))*Leverancer!BW$143/1000)</f>
        <v/>
      </c>
      <c r="AW127" s="128" t="str">
        <f ca="1">IF(AW$37="","",INDEX(Leverancer!BX$1:BX$1061,ROW()-ROW($Q$122) + ROW(Leverancer!$AO$115))*Leverancer!BX$143/1000)</f>
        <v/>
      </c>
      <c r="AX127" s="104"/>
      <c r="AY127" s="104"/>
      <c r="AZ127" s="101"/>
    </row>
    <row r="128" spans="1:52" ht="12.75" hidden="1" customHeight="1" outlineLevel="1" x14ac:dyDescent="0.25">
      <c r="N128" s="99"/>
      <c r="O128" s="104"/>
      <c r="P128" s="104"/>
      <c r="Q128" s="130" t="str">
        <f>INDEX(Leverancer!$AO$1:$AO$1061,ROW()-ROW($Q$123) + ROW(Leverancer!$AO$116))&amp;": "&amp;INDEX(Leverancer!$AP$1:$AP$1061,ROW()-ROW($Q$123) + ROW(Leverancer!$AO$116))</f>
        <v xml:space="preserve">D6: </v>
      </c>
      <c r="R128" s="132"/>
      <c r="S128" s="158">
        <f t="shared" ca="1" si="16"/>
        <v>0</v>
      </c>
      <c r="T128" s="128">
        <f ca="1">IF(T$37="","",INDEX(Leverancer!AU$1:AU$1061,ROW()-ROW($Q$122) + ROW(Leverancer!$AO$115))*Leverancer!AU$143/1000)</f>
        <v>0</v>
      </c>
      <c r="U128" s="128">
        <f ca="1">IF(U$37="","",INDEX(Leverancer!AV$1:AV$1061,ROW()-ROW($Q$122) + ROW(Leverancer!$AO$115))*Leverancer!AV$143/1000)</f>
        <v>0</v>
      </c>
      <c r="V128" s="128">
        <f ca="1">IF(V$37="","",INDEX(Leverancer!AW$1:AW$1061,ROW()-ROW($Q$122) + ROW(Leverancer!$AO$115))*Leverancer!AW$143/1000)</f>
        <v>0</v>
      </c>
      <c r="W128" s="128">
        <f ca="1">IF(W$37="","",INDEX(Leverancer!AX$1:AX$1061,ROW()-ROW($Q$122) + ROW(Leverancer!$AO$115))*Leverancer!AX$143/1000)</f>
        <v>0</v>
      </c>
      <c r="X128" s="128" t="str">
        <f ca="1">IF(X$37="","",INDEX(Leverancer!AY$1:AY$1061,ROW()-ROW($Q$122) + ROW(Leverancer!$AO$115))*Leverancer!AY$143/1000)</f>
        <v/>
      </c>
      <c r="Y128" s="128" t="str">
        <f ca="1">IF(Y$37="","",INDEX(Leverancer!AZ$1:AZ$1061,ROW()-ROW($Q$122) + ROW(Leverancer!$AO$115))*Leverancer!AZ$143/1000)</f>
        <v/>
      </c>
      <c r="Z128" s="128" t="str">
        <f ca="1">IF(Z$37="","",INDEX(Leverancer!BA$1:BA$1061,ROW()-ROW($Q$122) + ROW(Leverancer!$AO$115))*Leverancer!BA$143/1000)</f>
        <v/>
      </c>
      <c r="AA128" s="128" t="str">
        <f ca="1">IF(AA$37="","",INDEX(Leverancer!BB$1:BB$1061,ROW()-ROW($Q$122) + ROW(Leverancer!$AO$115))*Leverancer!BB$143/1000)</f>
        <v/>
      </c>
      <c r="AB128" s="128" t="str">
        <f ca="1">IF(AB$37="","",INDEX(Leverancer!BC$1:BC$1061,ROW()-ROW($Q$122) + ROW(Leverancer!$AO$115))*Leverancer!BC$143/1000)</f>
        <v/>
      </c>
      <c r="AC128" s="128" t="str">
        <f ca="1">IF(AC$37="","",INDEX(Leverancer!BD$1:BD$1061,ROW()-ROW($Q$122) + ROW(Leverancer!$AO$115))*Leverancer!BD$143/1000)</f>
        <v/>
      </c>
      <c r="AD128" s="128" t="str">
        <f ca="1">IF(AD$37="","",INDEX(Leverancer!BE$1:BE$1061,ROW()-ROW($Q$122) + ROW(Leverancer!$AO$115))*Leverancer!BE$143/1000)</f>
        <v/>
      </c>
      <c r="AE128" s="128" t="str">
        <f ca="1">IF(AE$37="","",INDEX(Leverancer!BF$1:BF$1061,ROW()-ROW($Q$122) + ROW(Leverancer!$AO$115))*Leverancer!BF$143/1000)</f>
        <v/>
      </c>
      <c r="AF128" s="128" t="str">
        <f ca="1">IF(AF$37="","",INDEX(Leverancer!BG$1:BG$1061,ROW()-ROW($Q$122) + ROW(Leverancer!$AO$115))*Leverancer!BG$143/1000)</f>
        <v/>
      </c>
      <c r="AG128" s="128" t="str">
        <f ca="1">IF(AG$37="","",INDEX(Leverancer!BH$1:BH$1061,ROW()-ROW($Q$122) + ROW(Leverancer!$AO$115))*Leverancer!BH$143/1000)</f>
        <v/>
      </c>
      <c r="AH128" s="128" t="str">
        <f ca="1">IF(AH$37="","",INDEX(Leverancer!BI$1:BI$1061,ROW()-ROW($Q$122) + ROW(Leverancer!$AO$115))*Leverancer!BI$143/1000)</f>
        <v/>
      </c>
      <c r="AI128" s="128" t="str">
        <f ca="1">IF(AI$37="","",INDEX(Leverancer!BJ$1:BJ$1061,ROW()-ROW($Q$122) + ROW(Leverancer!$AO$115))*Leverancer!BJ$143/1000)</f>
        <v/>
      </c>
      <c r="AJ128" s="128" t="str">
        <f ca="1">IF(AJ$37="","",INDEX(Leverancer!BK$1:BK$1061,ROW()-ROW($Q$122) + ROW(Leverancer!$AO$115))*Leverancer!BK$143/1000)</f>
        <v/>
      </c>
      <c r="AK128" s="128" t="str">
        <f ca="1">IF(AK$37="","",INDEX(Leverancer!BL$1:BL$1061,ROW()-ROW($Q$122) + ROW(Leverancer!$AO$115))*Leverancer!BL$143/1000)</f>
        <v/>
      </c>
      <c r="AL128" s="128" t="str">
        <f ca="1">IF(AL$37="","",INDEX(Leverancer!BM$1:BM$1061,ROW()-ROW($Q$122) + ROW(Leverancer!$AO$115))*Leverancer!BM$143/1000)</f>
        <v/>
      </c>
      <c r="AM128" s="128" t="str">
        <f ca="1">IF(AM$37="","",INDEX(Leverancer!BN$1:BN$1061,ROW()-ROW($Q$122) + ROW(Leverancer!$AO$115))*Leverancer!BN$143/1000)</f>
        <v/>
      </c>
      <c r="AN128" s="128" t="str">
        <f ca="1">IF(AN$37="","",INDEX(Leverancer!BO$1:BO$1061,ROW()-ROW($Q$122) + ROW(Leverancer!$AO$115))*Leverancer!BO$143/1000)</f>
        <v/>
      </c>
      <c r="AO128" s="128" t="str">
        <f ca="1">IF(AO$37="","",INDEX(Leverancer!BP$1:BP$1061,ROW()-ROW($Q$122) + ROW(Leverancer!$AO$115))*Leverancer!BP$143/1000)</f>
        <v/>
      </c>
      <c r="AP128" s="128" t="str">
        <f ca="1">IF(AP$37="","",INDEX(Leverancer!BQ$1:BQ$1061,ROW()-ROW($Q$122) + ROW(Leverancer!$AO$115))*Leverancer!BQ$143/1000)</f>
        <v/>
      </c>
      <c r="AQ128" s="128" t="str">
        <f ca="1">IF(AQ$37="","",INDEX(Leverancer!BR$1:BR$1061,ROW()-ROW($Q$122) + ROW(Leverancer!$AO$115))*Leverancer!BR$143/1000)</f>
        <v/>
      </c>
      <c r="AR128" s="128" t="str">
        <f ca="1">IF(AR$37="","",INDEX(Leverancer!BS$1:BS$1061,ROW()-ROW($Q$122) + ROW(Leverancer!$AO$115))*Leverancer!BS$143/1000)</f>
        <v/>
      </c>
      <c r="AS128" s="128" t="str">
        <f ca="1">IF(AS$37="","",INDEX(Leverancer!BT$1:BT$1061,ROW()-ROW($Q$122) + ROW(Leverancer!$AO$115))*Leverancer!BT$143/1000)</f>
        <v/>
      </c>
      <c r="AT128" s="128" t="str">
        <f ca="1">IF(AT$37="","",INDEX(Leverancer!BU$1:BU$1061,ROW()-ROW($Q$122) + ROW(Leverancer!$AO$115))*Leverancer!BU$143/1000)</f>
        <v/>
      </c>
      <c r="AU128" s="128" t="str">
        <f ca="1">IF(AU$37="","",INDEX(Leverancer!BV$1:BV$1061,ROW()-ROW($Q$122) + ROW(Leverancer!$AO$115))*Leverancer!BV$143/1000)</f>
        <v/>
      </c>
      <c r="AV128" s="128" t="str">
        <f ca="1">IF(AV$37="","",INDEX(Leverancer!BW$1:BW$1061,ROW()-ROW($Q$122) + ROW(Leverancer!$AO$115))*Leverancer!BW$143/1000)</f>
        <v/>
      </c>
      <c r="AW128" s="128" t="str">
        <f ca="1">IF(AW$37="","",INDEX(Leverancer!BX$1:BX$1061,ROW()-ROW($Q$122) + ROW(Leverancer!$AO$115))*Leverancer!BX$143/1000)</f>
        <v/>
      </c>
      <c r="AX128" s="104"/>
      <c r="AY128" s="104"/>
      <c r="AZ128" s="101"/>
    </row>
    <row r="129" spans="14:52" ht="12.75" hidden="1" customHeight="1" outlineLevel="1" x14ac:dyDescent="0.25">
      <c r="N129" s="99"/>
      <c r="O129" s="104"/>
      <c r="P129" s="104"/>
      <c r="Q129" s="130" t="str">
        <f>INDEX(Leverancer!$AO$1:$AO$1061,ROW()-ROW($Q$123) + ROW(Leverancer!$AO$116))&amp;": "&amp;INDEX(Leverancer!$AP$1:$AP$1061,ROW()-ROW($Q$123) + ROW(Leverancer!$AO$116))</f>
        <v xml:space="preserve">D7: </v>
      </c>
      <c r="R129" s="132"/>
      <c r="S129" s="158">
        <f t="shared" ca="1" si="16"/>
        <v>0</v>
      </c>
      <c r="T129" s="128">
        <f ca="1">IF(T$37="","",INDEX(Leverancer!AU$1:AU$1061,ROW()-ROW($Q$122) + ROW(Leverancer!$AO$115))*Leverancer!AU$143/1000)</f>
        <v>0</v>
      </c>
      <c r="U129" s="128">
        <f ca="1">IF(U$37="","",INDEX(Leverancer!AV$1:AV$1061,ROW()-ROW($Q$122) + ROW(Leverancer!$AO$115))*Leverancer!AV$143/1000)</f>
        <v>0</v>
      </c>
      <c r="V129" s="128">
        <f ca="1">IF(V$37="","",INDEX(Leverancer!AW$1:AW$1061,ROW()-ROW($Q$122) + ROW(Leverancer!$AO$115))*Leverancer!AW$143/1000)</f>
        <v>0</v>
      </c>
      <c r="W129" s="128">
        <f ca="1">IF(W$37="","",INDEX(Leverancer!AX$1:AX$1061,ROW()-ROW($Q$122) + ROW(Leverancer!$AO$115))*Leverancer!AX$143/1000)</f>
        <v>0</v>
      </c>
      <c r="X129" s="128" t="str">
        <f ca="1">IF(X$37="","",INDEX(Leverancer!AY$1:AY$1061,ROW()-ROW($Q$122) + ROW(Leverancer!$AO$115))*Leverancer!AY$143/1000)</f>
        <v/>
      </c>
      <c r="Y129" s="128" t="str">
        <f ca="1">IF(Y$37="","",INDEX(Leverancer!AZ$1:AZ$1061,ROW()-ROW($Q$122) + ROW(Leverancer!$AO$115))*Leverancer!AZ$143/1000)</f>
        <v/>
      </c>
      <c r="Z129" s="128" t="str">
        <f ca="1">IF(Z$37="","",INDEX(Leverancer!BA$1:BA$1061,ROW()-ROW($Q$122) + ROW(Leverancer!$AO$115))*Leverancer!BA$143/1000)</f>
        <v/>
      </c>
      <c r="AA129" s="128" t="str">
        <f ca="1">IF(AA$37="","",INDEX(Leverancer!BB$1:BB$1061,ROW()-ROW($Q$122) + ROW(Leverancer!$AO$115))*Leverancer!BB$143/1000)</f>
        <v/>
      </c>
      <c r="AB129" s="128" t="str">
        <f ca="1">IF(AB$37="","",INDEX(Leverancer!BC$1:BC$1061,ROW()-ROW($Q$122) + ROW(Leverancer!$AO$115))*Leverancer!BC$143/1000)</f>
        <v/>
      </c>
      <c r="AC129" s="128" t="str">
        <f ca="1">IF(AC$37="","",INDEX(Leverancer!BD$1:BD$1061,ROW()-ROW($Q$122) + ROW(Leverancer!$AO$115))*Leverancer!BD$143/1000)</f>
        <v/>
      </c>
      <c r="AD129" s="128" t="str">
        <f ca="1">IF(AD$37="","",INDEX(Leverancer!BE$1:BE$1061,ROW()-ROW($Q$122) + ROW(Leverancer!$AO$115))*Leverancer!BE$143/1000)</f>
        <v/>
      </c>
      <c r="AE129" s="128" t="str">
        <f ca="1">IF(AE$37="","",INDEX(Leverancer!BF$1:BF$1061,ROW()-ROW($Q$122) + ROW(Leverancer!$AO$115))*Leverancer!BF$143/1000)</f>
        <v/>
      </c>
      <c r="AF129" s="128" t="str">
        <f ca="1">IF(AF$37="","",INDEX(Leverancer!BG$1:BG$1061,ROW()-ROW($Q$122) + ROW(Leverancer!$AO$115))*Leverancer!BG$143/1000)</f>
        <v/>
      </c>
      <c r="AG129" s="128" t="str">
        <f ca="1">IF(AG$37="","",INDEX(Leverancer!BH$1:BH$1061,ROW()-ROW($Q$122) + ROW(Leverancer!$AO$115))*Leverancer!BH$143/1000)</f>
        <v/>
      </c>
      <c r="AH129" s="128" t="str">
        <f ca="1">IF(AH$37="","",INDEX(Leverancer!BI$1:BI$1061,ROW()-ROW($Q$122) + ROW(Leverancer!$AO$115))*Leverancer!BI$143/1000)</f>
        <v/>
      </c>
      <c r="AI129" s="128" t="str">
        <f ca="1">IF(AI$37="","",INDEX(Leverancer!BJ$1:BJ$1061,ROW()-ROW($Q$122) + ROW(Leverancer!$AO$115))*Leverancer!BJ$143/1000)</f>
        <v/>
      </c>
      <c r="AJ129" s="128" t="str">
        <f ca="1">IF(AJ$37="","",INDEX(Leverancer!BK$1:BK$1061,ROW()-ROW($Q$122) + ROW(Leverancer!$AO$115))*Leverancer!BK$143/1000)</f>
        <v/>
      </c>
      <c r="AK129" s="128" t="str">
        <f ca="1">IF(AK$37="","",INDEX(Leverancer!BL$1:BL$1061,ROW()-ROW($Q$122) + ROW(Leverancer!$AO$115))*Leverancer!BL$143/1000)</f>
        <v/>
      </c>
      <c r="AL129" s="128" t="str">
        <f ca="1">IF(AL$37="","",INDEX(Leverancer!BM$1:BM$1061,ROW()-ROW($Q$122) + ROW(Leverancer!$AO$115))*Leverancer!BM$143/1000)</f>
        <v/>
      </c>
      <c r="AM129" s="128" t="str">
        <f ca="1">IF(AM$37="","",INDEX(Leverancer!BN$1:BN$1061,ROW()-ROW($Q$122) + ROW(Leverancer!$AO$115))*Leverancer!BN$143/1000)</f>
        <v/>
      </c>
      <c r="AN129" s="128" t="str">
        <f ca="1">IF(AN$37="","",INDEX(Leverancer!BO$1:BO$1061,ROW()-ROW($Q$122) + ROW(Leverancer!$AO$115))*Leverancer!BO$143/1000)</f>
        <v/>
      </c>
      <c r="AO129" s="128" t="str">
        <f ca="1">IF(AO$37="","",INDEX(Leverancer!BP$1:BP$1061,ROW()-ROW($Q$122) + ROW(Leverancer!$AO$115))*Leverancer!BP$143/1000)</f>
        <v/>
      </c>
      <c r="AP129" s="128" t="str">
        <f ca="1">IF(AP$37="","",INDEX(Leverancer!BQ$1:BQ$1061,ROW()-ROW($Q$122) + ROW(Leverancer!$AO$115))*Leverancer!BQ$143/1000)</f>
        <v/>
      </c>
      <c r="AQ129" s="128" t="str">
        <f ca="1">IF(AQ$37="","",INDEX(Leverancer!BR$1:BR$1061,ROW()-ROW($Q$122) + ROW(Leverancer!$AO$115))*Leverancer!BR$143/1000)</f>
        <v/>
      </c>
      <c r="AR129" s="128" t="str">
        <f ca="1">IF(AR$37="","",INDEX(Leverancer!BS$1:BS$1061,ROW()-ROW($Q$122) + ROW(Leverancer!$AO$115))*Leverancer!BS$143/1000)</f>
        <v/>
      </c>
      <c r="AS129" s="128" t="str">
        <f ca="1">IF(AS$37="","",INDEX(Leverancer!BT$1:BT$1061,ROW()-ROW($Q$122) + ROW(Leverancer!$AO$115))*Leverancer!BT$143/1000)</f>
        <v/>
      </c>
      <c r="AT129" s="128" t="str">
        <f ca="1">IF(AT$37="","",INDEX(Leverancer!BU$1:BU$1061,ROW()-ROW($Q$122) + ROW(Leverancer!$AO$115))*Leverancer!BU$143/1000)</f>
        <v/>
      </c>
      <c r="AU129" s="128" t="str">
        <f ca="1">IF(AU$37="","",INDEX(Leverancer!BV$1:BV$1061,ROW()-ROW($Q$122) + ROW(Leverancer!$AO$115))*Leverancer!BV$143/1000)</f>
        <v/>
      </c>
      <c r="AV129" s="128" t="str">
        <f ca="1">IF(AV$37="","",INDEX(Leverancer!BW$1:BW$1061,ROW()-ROW($Q$122) + ROW(Leverancer!$AO$115))*Leverancer!BW$143/1000)</f>
        <v/>
      </c>
      <c r="AW129" s="128" t="str">
        <f ca="1">IF(AW$37="","",INDEX(Leverancer!BX$1:BX$1061,ROW()-ROW($Q$122) + ROW(Leverancer!$AO$115))*Leverancer!BX$143/1000)</f>
        <v/>
      </c>
      <c r="AX129" s="104"/>
      <c r="AY129" s="104"/>
      <c r="AZ129" s="101"/>
    </row>
    <row r="130" spans="14:52" ht="12.75" hidden="1" customHeight="1" outlineLevel="1" x14ac:dyDescent="0.25">
      <c r="N130" s="99"/>
      <c r="O130" s="104"/>
      <c r="P130" s="104"/>
      <c r="Q130" s="130" t="str">
        <f>INDEX(Leverancer!$AO$1:$AO$1061,ROW()-ROW($Q$123) + ROW(Leverancer!$AO$116))&amp;": "&amp;INDEX(Leverancer!$AP$1:$AP$1061,ROW()-ROW($Q$123) + ROW(Leverancer!$AO$116))</f>
        <v xml:space="preserve">D8: </v>
      </c>
      <c r="R130" s="132"/>
      <c r="S130" s="158">
        <f t="shared" ca="1" si="16"/>
        <v>0</v>
      </c>
      <c r="T130" s="128">
        <f ca="1">IF(T$37="","",INDEX(Leverancer!AU$1:AU$1061,ROW()-ROW($Q$122) + ROW(Leverancer!$AO$115))*Leverancer!AU$143/1000)</f>
        <v>0</v>
      </c>
      <c r="U130" s="128">
        <f ca="1">IF(U$37="","",INDEX(Leverancer!AV$1:AV$1061,ROW()-ROW($Q$122) + ROW(Leverancer!$AO$115))*Leverancer!AV$143/1000)</f>
        <v>0</v>
      </c>
      <c r="V130" s="128">
        <f ca="1">IF(V$37="","",INDEX(Leverancer!AW$1:AW$1061,ROW()-ROW($Q$122) + ROW(Leverancer!$AO$115))*Leverancer!AW$143/1000)</f>
        <v>0</v>
      </c>
      <c r="W130" s="128">
        <f ca="1">IF(W$37="","",INDEX(Leverancer!AX$1:AX$1061,ROW()-ROW($Q$122) + ROW(Leverancer!$AO$115))*Leverancer!AX$143/1000)</f>
        <v>0</v>
      </c>
      <c r="X130" s="128" t="str">
        <f ca="1">IF(X$37="","",INDEX(Leverancer!AY$1:AY$1061,ROW()-ROW($Q$122) + ROW(Leverancer!$AO$115))*Leverancer!AY$143/1000)</f>
        <v/>
      </c>
      <c r="Y130" s="128" t="str">
        <f ca="1">IF(Y$37="","",INDEX(Leverancer!AZ$1:AZ$1061,ROW()-ROW($Q$122) + ROW(Leverancer!$AO$115))*Leverancer!AZ$143/1000)</f>
        <v/>
      </c>
      <c r="Z130" s="128" t="str">
        <f ca="1">IF(Z$37="","",INDEX(Leverancer!BA$1:BA$1061,ROW()-ROW($Q$122) + ROW(Leverancer!$AO$115))*Leverancer!BA$143/1000)</f>
        <v/>
      </c>
      <c r="AA130" s="128" t="str">
        <f ca="1">IF(AA$37="","",INDEX(Leverancer!BB$1:BB$1061,ROW()-ROW($Q$122) + ROW(Leverancer!$AO$115))*Leverancer!BB$143/1000)</f>
        <v/>
      </c>
      <c r="AB130" s="128" t="str">
        <f ca="1">IF(AB$37="","",INDEX(Leverancer!BC$1:BC$1061,ROW()-ROW($Q$122) + ROW(Leverancer!$AO$115))*Leverancer!BC$143/1000)</f>
        <v/>
      </c>
      <c r="AC130" s="128" t="str">
        <f ca="1">IF(AC$37="","",INDEX(Leverancer!BD$1:BD$1061,ROW()-ROW($Q$122) + ROW(Leverancer!$AO$115))*Leverancer!BD$143/1000)</f>
        <v/>
      </c>
      <c r="AD130" s="128" t="str">
        <f ca="1">IF(AD$37="","",INDEX(Leverancer!BE$1:BE$1061,ROW()-ROW($Q$122) + ROW(Leverancer!$AO$115))*Leverancer!BE$143/1000)</f>
        <v/>
      </c>
      <c r="AE130" s="128" t="str">
        <f ca="1">IF(AE$37="","",INDEX(Leverancer!BF$1:BF$1061,ROW()-ROW($Q$122) + ROW(Leverancer!$AO$115))*Leverancer!BF$143/1000)</f>
        <v/>
      </c>
      <c r="AF130" s="128" t="str">
        <f ca="1">IF(AF$37="","",INDEX(Leverancer!BG$1:BG$1061,ROW()-ROW($Q$122) + ROW(Leverancer!$AO$115))*Leverancer!BG$143/1000)</f>
        <v/>
      </c>
      <c r="AG130" s="128" t="str">
        <f ca="1">IF(AG$37="","",INDEX(Leverancer!BH$1:BH$1061,ROW()-ROW($Q$122) + ROW(Leverancer!$AO$115))*Leverancer!BH$143/1000)</f>
        <v/>
      </c>
      <c r="AH130" s="128" t="str">
        <f ca="1">IF(AH$37="","",INDEX(Leverancer!BI$1:BI$1061,ROW()-ROW($Q$122) + ROW(Leverancer!$AO$115))*Leverancer!BI$143/1000)</f>
        <v/>
      </c>
      <c r="AI130" s="128" t="str">
        <f ca="1">IF(AI$37="","",INDEX(Leverancer!BJ$1:BJ$1061,ROW()-ROW($Q$122) + ROW(Leverancer!$AO$115))*Leverancer!BJ$143/1000)</f>
        <v/>
      </c>
      <c r="AJ130" s="128" t="str">
        <f ca="1">IF(AJ$37="","",INDEX(Leverancer!BK$1:BK$1061,ROW()-ROW($Q$122) + ROW(Leverancer!$AO$115))*Leverancer!BK$143/1000)</f>
        <v/>
      </c>
      <c r="AK130" s="128" t="str">
        <f ca="1">IF(AK$37="","",INDEX(Leverancer!BL$1:BL$1061,ROW()-ROW($Q$122) + ROW(Leverancer!$AO$115))*Leverancer!BL$143/1000)</f>
        <v/>
      </c>
      <c r="AL130" s="128" t="str">
        <f ca="1">IF(AL$37="","",INDEX(Leverancer!BM$1:BM$1061,ROW()-ROW($Q$122) + ROW(Leverancer!$AO$115))*Leverancer!BM$143/1000)</f>
        <v/>
      </c>
      <c r="AM130" s="128" t="str">
        <f ca="1">IF(AM$37="","",INDEX(Leverancer!BN$1:BN$1061,ROW()-ROW($Q$122) + ROW(Leverancer!$AO$115))*Leverancer!BN$143/1000)</f>
        <v/>
      </c>
      <c r="AN130" s="128" t="str">
        <f ca="1">IF(AN$37="","",INDEX(Leverancer!BO$1:BO$1061,ROW()-ROW($Q$122) + ROW(Leverancer!$AO$115))*Leverancer!BO$143/1000)</f>
        <v/>
      </c>
      <c r="AO130" s="128" t="str">
        <f ca="1">IF(AO$37="","",INDEX(Leverancer!BP$1:BP$1061,ROW()-ROW($Q$122) + ROW(Leverancer!$AO$115))*Leverancer!BP$143/1000)</f>
        <v/>
      </c>
      <c r="AP130" s="128" t="str">
        <f ca="1">IF(AP$37="","",INDEX(Leverancer!BQ$1:BQ$1061,ROW()-ROW($Q$122) + ROW(Leverancer!$AO$115))*Leverancer!BQ$143/1000)</f>
        <v/>
      </c>
      <c r="AQ130" s="128" t="str">
        <f ca="1">IF(AQ$37="","",INDEX(Leverancer!BR$1:BR$1061,ROW()-ROW($Q$122) + ROW(Leverancer!$AO$115))*Leverancer!BR$143/1000)</f>
        <v/>
      </c>
      <c r="AR130" s="128" t="str">
        <f ca="1">IF(AR$37="","",INDEX(Leverancer!BS$1:BS$1061,ROW()-ROW($Q$122) + ROW(Leverancer!$AO$115))*Leverancer!BS$143/1000)</f>
        <v/>
      </c>
      <c r="AS130" s="128" t="str">
        <f ca="1">IF(AS$37="","",INDEX(Leverancer!BT$1:BT$1061,ROW()-ROW($Q$122) + ROW(Leverancer!$AO$115))*Leverancer!BT$143/1000)</f>
        <v/>
      </c>
      <c r="AT130" s="128" t="str">
        <f ca="1">IF(AT$37="","",INDEX(Leverancer!BU$1:BU$1061,ROW()-ROW($Q$122) + ROW(Leverancer!$AO$115))*Leverancer!BU$143/1000)</f>
        <v/>
      </c>
      <c r="AU130" s="128" t="str">
        <f ca="1">IF(AU$37="","",INDEX(Leverancer!BV$1:BV$1061,ROW()-ROW($Q$122) + ROW(Leverancer!$AO$115))*Leverancer!BV$143/1000)</f>
        <v/>
      </c>
      <c r="AV130" s="128" t="str">
        <f ca="1">IF(AV$37="","",INDEX(Leverancer!BW$1:BW$1061,ROW()-ROW($Q$122) + ROW(Leverancer!$AO$115))*Leverancer!BW$143/1000)</f>
        <v/>
      </c>
      <c r="AW130" s="128" t="str">
        <f ca="1">IF(AW$37="","",INDEX(Leverancer!BX$1:BX$1061,ROW()-ROW($Q$122) + ROW(Leverancer!$AO$115))*Leverancer!BX$143/1000)</f>
        <v/>
      </c>
      <c r="AX130" s="104"/>
      <c r="AY130" s="104"/>
      <c r="AZ130" s="101"/>
    </row>
    <row r="131" spans="14:52" ht="12.75" hidden="1" customHeight="1" outlineLevel="1" x14ac:dyDescent="0.25">
      <c r="N131" s="99"/>
      <c r="O131" s="104"/>
      <c r="P131" s="104"/>
      <c r="Q131" s="130" t="str">
        <f>INDEX(Leverancer!$AO$1:$AO$1061,ROW()-ROW($Q$123) + ROW(Leverancer!$AO$116))&amp;": "&amp;INDEX(Leverancer!$AP$1:$AP$1061,ROW()-ROW($Q$123) + ROW(Leverancer!$AO$116))</f>
        <v xml:space="preserve">D9: </v>
      </c>
      <c r="R131" s="132"/>
      <c r="S131" s="158">
        <f t="shared" ca="1" si="16"/>
        <v>0</v>
      </c>
      <c r="T131" s="128">
        <f ca="1">IF(T$37="","",INDEX(Leverancer!AU$1:AU$1061,ROW()-ROW($Q$122) + ROW(Leverancer!$AO$115))*Leverancer!AU$143/1000)</f>
        <v>0</v>
      </c>
      <c r="U131" s="128">
        <f ca="1">IF(U$37="","",INDEX(Leverancer!AV$1:AV$1061,ROW()-ROW($Q$122) + ROW(Leverancer!$AO$115))*Leverancer!AV$143/1000)</f>
        <v>0</v>
      </c>
      <c r="V131" s="128">
        <f ca="1">IF(V$37="","",INDEX(Leverancer!AW$1:AW$1061,ROW()-ROW($Q$122) + ROW(Leverancer!$AO$115))*Leverancer!AW$143/1000)</f>
        <v>0</v>
      </c>
      <c r="W131" s="128">
        <f ca="1">IF(W$37="","",INDEX(Leverancer!AX$1:AX$1061,ROW()-ROW($Q$122) + ROW(Leverancer!$AO$115))*Leverancer!AX$143/1000)</f>
        <v>0</v>
      </c>
      <c r="X131" s="128" t="str">
        <f ca="1">IF(X$37="","",INDEX(Leverancer!AY$1:AY$1061,ROW()-ROW($Q$122) + ROW(Leverancer!$AO$115))*Leverancer!AY$143/1000)</f>
        <v/>
      </c>
      <c r="Y131" s="128" t="str">
        <f ca="1">IF(Y$37="","",INDEX(Leverancer!AZ$1:AZ$1061,ROW()-ROW($Q$122) + ROW(Leverancer!$AO$115))*Leverancer!AZ$143/1000)</f>
        <v/>
      </c>
      <c r="Z131" s="128" t="str">
        <f ca="1">IF(Z$37="","",INDEX(Leverancer!BA$1:BA$1061,ROW()-ROW($Q$122) + ROW(Leverancer!$AO$115))*Leverancer!BA$143/1000)</f>
        <v/>
      </c>
      <c r="AA131" s="128" t="str">
        <f ca="1">IF(AA$37="","",INDEX(Leverancer!BB$1:BB$1061,ROW()-ROW($Q$122) + ROW(Leverancer!$AO$115))*Leverancer!BB$143/1000)</f>
        <v/>
      </c>
      <c r="AB131" s="128" t="str">
        <f ca="1">IF(AB$37="","",INDEX(Leverancer!BC$1:BC$1061,ROW()-ROW($Q$122) + ROW(Leverancer!$AO$115))*Leverancer!BC$143/1000)</f>
        <v/>
      </c>
      <c r="AC131" s="128" t="str">
        <f ca="1">IF(AC$37="","",INDEX(Leverancer!BD$1:BD$1061,ROW()-ROW($Q$122) + ROW(Leverancer!$AO$115))*Leverancer!BD$143/1000)</f>
        <v/>
      </c>
      <c r="AD131" s="128" t="str">
        <f ca="1">IF(AD$37="","",INDEX(Leverancer!BE$1:BE$1061,ROW()-ROW($Q$122) + ROW(Leverancer!$AO$115))*Leverancer!BE$143/1000)</f>
        <v/>
      </c>
      <c r="AE131" s="128" t="str">
        <f ca="1">IF(AE$37="","",INDEX(Leverancer!BF$1:BF$1061,ROW()-ROW($Q$122) + ROW(Leverancer!$AO$115))*Leverancer!BF$143/1000)</f>
        <v/>
      </c>
      <c r="AF131" s="128" t="str">
        <f ca="1">IF(AF$37="","",INDEX(Leverancer!BG$1:BG$1061,ROW()-ROW($Q$122) + ROW(Leverancer!$AO$115))*Leverancer!BG$143/1000)</f>
        <v/>
      </c>
      <c r="AG131" s="128" t="str">
        <f ca="1">IF(AG$37="","",INDEX(Leverancer!BH$1:BH$1061,ROW()-ROW($Q$122) + ROW(Leverancer!$AO$115))*Leverancer!BH$143/1000)</f>
        <v/>
      </c>
      <c r="AH131" s="128" t="str">
        <f ca="1">IF(AH$37="","",INDEX(Leverancer!BI$1:BI$1061,ROW()-ROW($Q$122) + ROW(Leverancer!$AO$115))*Leverancer!BI$143/1000)</f>
        <v/>
      </c>
      <c r="AI131" s="128" t="str">
        <f ca="1">IF(AI$37="","",INDEX(Leverancer!BJ$1:BJ$1061,ROW()-ROW($Q$122) + ROW(Leverancer!$AO$115))*Leverancer!BJ$143/1000)</f>
        <v/>
      </c>
      <c r="AJ131" s="128" t="str">
        <f ca="1">IF(AJ$37="","",INDEX(Leverancer!BK$1:BK$1061,ROW()-ROW($Q$122) + ROW(Leverancer!$AO$115))*Leverancer!BK$143/1000)</f>
        <v/>
      </c>
      <c r="AK131" s="128" t="str">
        <f ca="1">IF(AK$37="","",INDEX(Leverancer!BL$1:BL$1061,ROW()-ROW($Q$122) + ROW(Leverancer!$AO$115))*Leverancer!BL$143/1000)</f>
        <v/>
      </c>
      <c r="AL131" s="128" t="str">
        <f ca="1">IF(AL$37="","",INDEX(Leverancer!BM$1:BM$1061,ROW()-ROW($Q$122) + ROW(Leverancer!$AO$115))*Leverancer!BM$143/1000)</f>
        <v/>
      </c>
      <c r="AM131" s="128" t="str">
        <f ca="1">IF(AM$37="","",INDEX(Leverancer!BN$1:BN$1061,ROW()-ROW($Q$122) + ROW(Leverancer!$AO$115))*Leverancer!BN$143/1000)</f>
        <v/>
      </c>
      <c r="AN131" s="128" t="str">
        <f ca="1">IF(AN$37="","",INDEX(Leverancer!BO$1:BO$1061,ROW()-ROW($Q$122) + ROW(Leverancer!$AO$115))*Leverancer!BO$143/1000)</f>
        <v/>
      </c>
      <c r="AO131" s="128" t="str">
        <f ca="1">IF(AO$37="","",INDEX(Leverancer!BP$1:BP$1061,ROW()-ROW($Q$122) + ROW(Leverancer!$AO$115))*Leverancer!BP$143/1000)</f>
        <v/>
      </c>
      <c r="AP131" s="128" t="str">
        <f ca="1">IF(AP$37="","",INDEX(Leverancer!BQ$1:BQ$1061,ROW()-ROW($Q$122) + ROW(Leverancer!$AO$115))*Leverancer!BQ$143/1000)</f>
        <v/>
      </c>
      <c r="AQ131" s="128" t="str">
        <f ca="1">IF(AQ$37="","",INDEX(Leverancer!BR$1:BR$1061,ROW()-ROW($Q$122) + ROW(Leverancer!$AO$115))*Leverancer!BR$143/1000)</f>
        <v/>
      </c>
      <c r="AR131" s="128" t="str">
        <f ca="1">IF(AR$37="","",INDEX(Leverancer!BS$1:BS$1061,ROW()-ROW($Q$122) + ROW(Leverancer!$AO$115))*Leverancer!BS$143/1000)</f>
        <v/>
      </c>
      <c r="AS131" s="128" t="str">
        <f ca="1">IF(AS$37="","",INDEX(Leverancer!BT$1:BT$1061,ROW()-ROW($Q$122) + ROW(Leverancer!$AO$115))*Leverancer!BT$143/1000)</f>
        <v/>
      </c>
      <c r="AT131" s="128" t="str">
        <f ca="1">IF(AT$37="","",INDEX(Leverancer!BU$1:BU$1061,ROW()-ROW($Q$122) + ROW(Leverancer!$AO$115))*Leverancer!BU$143/1000)</f>
        <v/>
      </c>
      <c r="AU131" s="128" t="str">
        <f ca="1">IF(AU$37="","",INDEX(Leverancer!BV$1:BV$1061,ROW()-ROW($Q$122) + ROW(Leverancer!$AO$115))*Leverancer!BV$143/1000)</f>
        <v/>
      </c>
      <c r="AV131" s="128" t="str">
        <f ca="1">IF(AV$37="","",INDEX(Leverancer!BW$1:BW$1061,ROW()-ROW($Q$122) + ROW(Leverancer!$AO$115))*Leverancer!BW$143/1000)</f>
        <v/>
      </c>
      <c r="AW131" s="128" t="str">
        <f ca="1">IF(AW$37="","",INDEX(Leverancer!BX$1:BX$1061,ROW()-ROW($Q$122) + ROW(Leverancer!$AO$115))*Leverancer!BX$143/1000)</f>
        <v/>
      </c>
      <c r="AX131" s="104"/>
      <c r="AY131" s="104"/>
      <c r="AZ131" s="101"/>
    </row>
    <row r="132" spans="14:52" ht="12.75" hidden="1" customHeight="1" outlineLevel="1" x14ac:dyDescent="0.25">
      <c r="N132" s="99"/>
      <c r="O132" s="104"/>
      <c r="P132" s="104"/>
      <c r="Q132" s="130" t="str">
        <f>INDEX(Leverancer!$AO$1:$AO$1061,ROW()-ROW($Q$123) + ROW(Leverancer!$AO$116))&amp;": "&amp;INDEX(Leverancer!$AP$1:$AP$1061,ROW()-ROW($Q$123) + ROW(Leverancer!$AO$116))</f>
        <v xml:space="preserve">D10: </v>
      </c>
      <c r="R132" s="132"/>
      <c r="S132" s="158">
        <f t="shared" ca="1" si="16"/>
        <v>0</v>
      </c>
      <c r="T132" s="128">
        <f ca="1">IF(T$37="","",INDEX(Leverancer!AU$1:AU$1061,ROW()-ROW($Q$122) + ROW(Leverancer!$AO$115))*Leverancer!AU$143/1000)</f>
        <v>0</v>
      </c>
      <c r="U132" s="128">
        <f ca="1">IF(U$37="","",INDEX(Leverancer!AV$1:AV$1061,ROW()-ROW($Q$122) + ROW(Leverancer!$AO$115))*Leverancer!AV$143/1000)</f>
        <v>0</v>
      </c>
      <c r="V132" s="128">
        <f ca="1">IF(V$37="","",INDEX(Leverancer!AW$1:AW$1061,ROW()-ROW($Q$122) + ROW(Leverancer!$AO$115))*Leverancer!AW$143/1000)</f>
        <v>0</v>
      </c>
      <c r="W132" s="128">
        <f ca="1">IF(W$37="","",INDEX(Leverancer!AX$1:AX$1061,ROW()-ROW($Q$122) + ROW(Leverancer!$AO$115))*Leverancer!AX$143/1000)</f>
        <v>0</v>
      </c>
      <c r="X132" s="128" t="str">
        <f ca="1">IF(X$37="","",INDEX(Leverancer!AY$1:AY$1061,ROW()-ROW($Q$122) + ROW(Leverancer!$AO$115))*Leverancer!AY$143/1000)</f>
        <v/>
      </c>
      <c r="Y132" s="128" t="str">
        <f ca="1">IF(Y$37="","",INDEX(Leverancer!AZ$1:AZ$1061,ROW()-ROW($Q$122) + ROW(Leverancer!$AO$115))*Leverancer!AZ$143/1000)</f>
        <v/>
      </c>
      <c r="Z132" s="128" t="str">
        <f ca="1">IF(Z$37="","",INDEX(Leverancer!BA$1:BA$1061,ROW()-ROW($Q$122) + ROW(Leverancer!$AO$115))*Leverancer!BA$143/1000)</f>
        <v/>
      </c>
      <c r="AA132" s="128" t="str">
        <f ca="1">IF(AA$37="","",INDEX(Leverancer!BB$1:BB$1061,ROW()-ROW($Q$122) + ROW(Leverancer!$AO$115))*Leverancer!BB$143/1000)</f>
        <v/>
      </c>
      <c r="AB132" s="128" t="str">
        <f ca="1">IF(AB$37="","",INDEX(Leverancer!BC$1:BC$1061,ROW()-ROW($Q$122) + ROW(Leverancer!$AO$115))*Leverancer!BC$143/1000)</f>
        <v/>
      </c>
      <c r="AC132" s="128" t="str">
        <f ca="1">IF(AC$37="","",INDEX(Leverancer!BD$1:BD$1061,ROW()-ROW($Q$122) + ROW(Leverancer!$AO$115))*Leverancer!BD$143/1000)</f>
        <v/>
      </c>
      <c r="AD132" s="128" t="str">
        <f ca="1">IF(AD$37="","",INDEX(Leverancer!BE$1:BE$1061,ROW()-ROW($Q$122) + ROW(Leverancer!$AO$115))*Leverancer!BE$143/1000)</f>
        <v/>
      </c>
      <c r="AE132" s="128" t="str">
        <f ca="1">IF(AE$37="","",INDEX(Leverancer!BF$1:BF$1061,ROW()-ROW($Q$122) + ROW(Leverancer!$AO$115))*Leverancer!BF$143/1000)</f>
        <v/>
      </c>
      <c r="AF132" s="128" t="str">
        <f ca="1">IF(AF$37="","",INDEX(Leverancer!BG$1:BG$1061,ROW()-ROW($Q$122) + ROW(Leverancer!$AO$115))*Leverancer!BG$143/1000)</f>
        <v/>
      </c>
      <c r="AG132" s="128" t="str">
        <f ca="1">IF(AG$37="","",INDEX(Leverancer!BH$1:BH$1061,ROW()-ROW($Q$122) + ROW(Leverancer!$AO$115))*Leverancer!BH$143/1000)</f>
        <v/>
      </c>
      <c r="AH132" s="128" t="str">
        <f ca="1">IF(AH$37="","",INDEX(Leverancer!BI$1:BI$1061,ROW()-ROW($Q$122) + ROW(Leverancer!$AO$115))*Leverancer!BI$143/1000)</f>
        <v/>
      </c>
      <c r="AI132" s="128" t="str">
        <f ca="1">IF(AI$37="","",INDEX(Leverancer!BJ$1:BJ$1061,ROW()-ROW($Q$122) + ROW(Leverancer!$AO$115))*Leverancer!BJ$143/1000)</f>
        <v/>
      </c>
      <c r="AJ132" s="128" t="str">
        <f ca="1">IF(AJ$37="","",INDEX(Leverancer!BK$1:BK$1061,ROW()-ROW($Q$122) + ROW(Leverancer!$AO$115))*Leverancer!BK$143/1000)</f>
        <v/>
      </c>
      <c r="AK132" s="128" t="str">
        <f ca="1">IF(AK$37="","",INDEX(Leverancer!BL$1:BL$1061,ROW()-ROW($Q$122) + ROW(Leverancer!$AO$115))*Leverancer!BL$143/1000)</f>
        <v/>
      </c>
      <c r="AL132" s="128" t="str">
        <f ca="1">IF(AL$37="","",INDEX(Leverancer!BM$1:BM$1061,ROW()-ROW($Q$122) + ROW(Leverancer!$AO$115))*Leverancer!BM$143/1000)</f>
        <v/>
      </c>
      <c r="AM132" s="128" t="str">
        <f ca="1">IF(AM$37="","",INDEX(Leverancer!BN$1:BN$1061,ROW()-ROW($Q$122) + ROW(Leverancer!$AO$115))*Leverancer!BN$143/1000)</f>
        <v/>
      </c>
      <c r="AN132" s="128" t="str">
        <f ca="1">IF(AN$37="","",INDEX(Leverancer!BO$1:BO$1061,ROW()-ROW($Q$122) + ROW(Leverancer!$AO$115))*Leverancer!BO$143/1000)</f>
        <v/>
      </c>
      <c r="AO132" s="128" t="str">
        <f ca="1">IF(AO$37="","",INDEX(Leverancer!BP$1:BP$1061,ROW()-ROW($Q$122) + ROW(Leverancer!$AO$115))*Leverancer!BP$143/1000)</f>
        <v/>
      </c>
      <c r="AP132" s="128" t="str">
        <f ca="1">IF(AP$37="","",INDEX(Leverancer!BQ$1:BQ$1061,ROW()-ROW($Q$122) + ROW(Leverancer!$AO$115))*Leverancer!BQ$143/1000)</f>
        <v/>
      </c>
      <c r="AQ132" s="128" t="str">
        <f ca="1">IF(AQ$37="","",INDEX(Leverancer!BR$1:BR$1061,ROW()-ROW($Q$122) + ROW(Leverancer!$AO$115))*Leverancer!BR$143/1000)</f>
        <v/>
      </c>
      <c r="AR132" s="128" t="str">
        <f ca="1">IF(AR$37="","",INDEX(Leverancer!BS$1:BS$1061,ROW()-ROW($Q$122) + ROW(Leverancer!$AO$115))*Leverancer!BS$143/1000)</f>
        <v/>
      </c>
      <c r="AS132" s="128" t="str">
        <f ca="1">IF(AS$37="","",INDEX(Leverancer!BT$1:BT$1061,ROW()-ROW($Q$122) + ROW(Leverancer!$AO$115))*Leverancer!BT$143/1000)</f>
        <v/>
      </c>
      <c r="AT132" s="128" t="str">
        <f ca="1">IF(AT$37="","",INDEX(Leverancer!BU$1:BU$1061,ROW()-ROW($Q$122) + ROW(Leverancer!$AO$115))*Leverancer!BU$143/1000)</f>
        <v/>
      </c>
      <c r="AU132" s="128" t="str">
        <f ca="1">IF(AU$37="","",INDEX(Leverancer!BV$1:BV$1061,ROW()-ROW($Q$122) + ROW(Leverancer!$AO$115))*Leverancer!BV$143/1000)</f>
        <v/>
      </c>
      <c r="AV132" s="128" t="str">
        <f ca="1">IF(AV$37="","",INDEX(Leverancer!BW$1:BW$1061,ROW()-ROW($Q$122) + ROW(Leverancer!$AO$115))*Leverancer!BW$143/1000)</f>
        <v/>
      </c>
      <c r="AW132" s="128" t="str">
        <f ca="1">IF(AW$37="","",INDEX(Leverancer!BX$1:BX$1061,ROW()-ROW($Q$122) + ROW(Leverancer!$AO$115))*Leverancer!BX$143/1000)</f>
        <v/>
      </c>
      <c r="AX132" s="104"/>
      <c r="AY132" s="104"/>
      <c r="AZ132" s="101"/>
    </row>
    <row r="133" spans="14:52" ht="12.75" hidden="1" customHeight="1" outlineLevel="1" x14ac:dyDescent="0.25">
      <c r="N133" s="99"/>
      <c r="O133" s="104"/>
      <c r="P133" s="104"/>
      <c r="Q133" s="130" t="str">
        <f>INDEX(Leverancer!$AO$1:$AO$1061,ROW()-ROW($Q$123) + ROW(Leverancer!$AO$116))&amp;": "&amp;INDEX(Leverancer!$AP$1:$AP$1061,ROW()-ROW($Q$123) + ROW(Leverancer!$AO$116))</f>
        <v xml:space="preserve">D11: </v>
      </c>
      <c r="R133" s="132"/>
      <c r="S133" s="158">
        <f t="shared" ca="1" si="16"/>
        <v>0</v>
      </c>
      <c r="T133" s="128">
        <f ca="1">IF(T$37="","",INDEX(Leverancer!AU$1:AU$1061,ROW()-ROW($Q$122) + ROW(Leverancer!$AO$115))*Leverancer!AU$143/1000)</f>
        <v>0</v>
      </c>
      <c r="U133" s="128">
        <f ca="1">IF(U$37="","",INDEX(Leverancer!AV$1:AV$1061,ROW()-ROW($Q$122) + ROW(Leverancer!$AO$115))*Leverancer!AV$143/1000)</f>
        <v>0</v>
      </c>
      <c r="V133" s="128">
        <f ca="1">IF(V$37="","",INDEX(Leverancer!AW$1:AW$1061,ROW()-ROW($Q$122) + ROW(Leverancer!$AO$115))*Leverancer!AW$143/1000)</f>
        <v>0</v>
      </c>
      <c r="W133" s="128">
        <f ca="1">IF(W$37="","",INDEX(Leverancer!AX$1:AX$1061,ROW()-ROW($Q$122) + ROW(Leverancer!$AO$115))*Leverancer!AX$143/1000)</f>
        <v>0</v>
      </c>
      <c r="X133" s="128" t="str">
        <f ca="1">IF(X$37="","",INDEX(Leverancer!AY$1:AY$1061,ROW()-ROW($Q$122) + ROW(Leverancer!$AO$115))*Leverancer!AY$143/1000)</f>
        <v/>
      </c>
      <c r="Y133" s="128" t="str">
        <f ca="1">IF(Y$37="","",INDEX(Leverancer!AZ$1:AZ$1061,ROW()-ROW($Q$122) + ROW(Leverancer!$AO$115))*Leverancer!AZ$143/1000)</f>
        <v/>
      </c>
      <c r="Z133" s="128" t="str">
        <f ca="1">IF(Z$37="","",INDEX(Leverancer!BA$1:BA$1061,ROW()-ROW($Q$122) + ROW(Leverancer!$AO$115))*Leverancer!BA$143/1000)</f>
        <v/>
      </c>
      <c r="AA133" s="128" t="str">
        <f ca="1">IF(AA$37="","",INDEX(Leverancer!BB$1:BB$1061,ROW()-ROW($Q$122) + ROW(Leverancer!$AO$115))*Leverancer!BB$143/1000)</f>
        <v/>
      </c>
      <c r="AB133" s="128" t="str">
        <f ca="1">IF(AB$37="","",INDEX(Leverancer!BC$1:BC$1061,ROW()-ROW($Q$122) + ROW(Leverancer!$AO$115))*Leverancer!BC$143/1000)</f>
        <v/>
      </c>
      <c r="AC133" s="128" t="str">
        <f ca="1">IF(AC$37="","",INDEX(Leverancer!BD$1:BD$1061,ROW()-ROW($Q$122) + ROW(Leverancer!$AO$115))*Leverancer!BD$143/1000)</f>
        <v/>
      </c>
      <c r="AD133" s="128" t="str">
        <f ca="1">IF(AD$37="","",INDEX(Leverancer!BE$1:BE$1061,ROW()-ROW($Q$122) + ROW(Leverancer!$AO$115))*Leverancer!BE$143/1000)</f>
        <v/>
      </c>
      <c r="AE133" s="128" t="str">
        <f ca="1">IF(AE$37="","",INDEX(Leverancer!BF$1:BF$1061,ROW()-ROW($Q$122) + ROW(Leverancer!$AO$115))*Leverancer!BF$143/1000)</f>
        <v/>
      </c>
      <c r="AF133" s="128" t="str">
        <f ca="1">IF(AF$37="","",INDEX(Leverancer!BG$1:BG$1061,ROW()-ROW($Q$122) + ROW(Leverancer!$AO$115))*Leverancer!BG$143/1000)</f>
        <v/>
      </c>
      <c r="AG133" s="128" t="str">
        <f ca="1">IF(AG$37="","",INDEX(Leverancer!BH$1:BH$1061,ROW()-ROW($Q$122) + ROW(Leverancer!$AO$115))*Leverancer!BH$143/1000)</f>
        <v/>
      </c>
      <c r="AH133" s="128" t="str">
        <f ca="1">IF(AH$37="","",INDEX(Leverancer!BI$1:BI$1061,ROW()-ROW($Q$122) + ROW(Leverancer!$AO$115))*Leverancer!BI$143/1000)</f>
        <v/>
      </c>
      <c r="AI133" s="128" t="str">
        <f ca="1">IF(AI$37="","",INDEX(Leverancer!BJ$1:BJ$1061,ROW()-ROW($Q$122) + ROW(Leverancer!$AO$115))*Leverancer!BJ$143/1000)</f>
        <v/>
      </c>
      <c r="AJ133" s="128" t="str">
        <f ca="1">IF(AJ$37="","",INDEX(Leverancer!BK$1:BK$1061,ROW()-ROW($Q$122) + ROW(Leverancer!$AO$115))*Leverancer!BK$143/1000)</f>
        <v/>
      </c>
      <c r="AK133" s="128" t="str">
        <f ca="1">IF(AK$37="","",INDEX(Leverancer!BL$1:BL$1061,ROW()-ROW($Q$122) + ROW(Leverancer!$AO$115))*Leverancer!BL$143/1000)</f>
        <v/>
      </c>
      <c r="AL133" s="128" t="str">
        <f ca="1">IF(AL$37="","",INDEX(Leverancer!BM$1:BM$1061,ROW()-ROW($Q$122) + ROW(Leverancer!$AO$115))*Leverancer!BM$143/1000)</f>
        <v/>
      </c>
      <c r="AM133" s="128" t="str">
        <f ca="1">IF(AM$37="","",INDEX(Leverancer!BN$1:BN$1061,ROW()-ROW($Q$122) + ROW(Leverancer!$AO$115))*Leverancer!BN$143/1000)</f>
        <v/>
      </c>
      <c r="AN133" s="128" t="str">
        <f ca="1">IF(AN$37="","",INDEX(Leverancer!BO$1:BO$1061,ROW()-ROW($Q$122) + ROW(Leverancer!$AO$115))*Leverancer!BO$143/1000)</f>
        <v/>
      </c>
      <c r="AO133" s="128" t="str">
        <f ca="1">IF(AO$37="","",INDEX(Leverancer!BP$1:BP$1061,ROW()-ROW($Q$122) + ROW(Leverancer!$AO$115))*Leverancer!BP$143/1000)</f>
        <v/>
      </c>
      <c r="AP133" s="128" t="str">
        <f ca="1">IF(AP$37="","",INDEX(Leverancer!BQ$1:BQ$1061,ROW()-ROW($Q$122) + ROW(Leverancer!$AO$115))*Leverancer!BQ$143/1000)</f>
        <v/>
      </c>
      <c r="AQ133" s="128" t="str">
        <f ca="1">IF(AQ$37="","",INDEX(Leverancer!BR$1:BR$1061,ROW()-ROW($Q$122) + ROW(Leverancer!$AO$115))*Leverancer!BR$143/1000)</f>
        <v/>
      </c>
      <c r="AR133" s="128" t="str">
        <f ca="1">IF(AR$37="","",INDEX(Leverancer!BS$1:BS$1061,ROW()-ROW($Q$122) + ROW(Leverancer!$AO$115))*Leverancer!BS$143/1000)</f>
        <v/>
      </c>
      <c r="AS133" s="128" t="str">
        <f ca="1">IF(AS$37="","",INDEX(Leverancer!BT$1:BT$1061,ROW()-ROW($Q$122) + ROW(Leverancer!$AO$115))*Leverancer!BT$143/1000)</f>
        <v/>
      </c>
      <c r="AT133" s="128" t="str">
        <f ca="1">IF(AT$37="","",INDEX(Leverancer!BU$1:BU$1061,ROW()-ROW($Q$122) + ROW(Leverancer!$AO$115))*Leverancer!BU$143/1000)</f>
        <v/>
      </c>
      <c r="AU133" s="128" t="str">
        <f ca="1">IF(AU$37="","",INDEX(Leverancer!BV$1:BV$1061,ROW()-ROW($Q$122) + ROW(Leverancer!$AO$115))*Leverancer!BV$143/1000)</f>
        <v/>
      </c>
      <c r="AV133" s="128" t="str">
        <f ca="1">IF(AV$37="","",INDEX(Leverancer!BW$1:BW$1061,ROW()-ROW($Q$122) + ROW(Leverancer!$AO$115))*Leverancer!BW$143/1000)</f>
        <v/>
      </c>
      <c r="AW133" s="128" t="str">
        <f ca="1">IF(AW$37="","",INDEX(Leverancer!BX$1:BX$1061,ROW()-ROW($Q$122) + ROW(Leverancer!$AO$115))*Leverancer!BX$143/1000)</f>
        <v/>
      </c>
      <c r="AX133" s="104"/>
      <c r="AY133" s="104"/>
      <c r="AZ133" s="101"/>
    </row>
    <row r="134" spans="14:52" ht="12.75" hidden="1" customHeight="1" outlineLevel="1" x14ac:dyDescent="0.25">
      <c r="N134" s="99"/>
      <c r="O134" s="104"/>
      <c r="P134" s="104"/>
      <c r="Q134" s="130" t="str">
        <f>INDEX(Leverancer!$AO$1:$AO$1061,ROW()-ROW($Q$123) + ROW(Leverancer!$AO$116))&amp;": "&amp;INDEX(Leverancer!$AP$1:$AP$1061,ROW()-ROW($Q$123) + ROW(Leverancer!$AO$116))</f>
        <v xml:space="preserve">D12: </v>
      </c>
      <c r="R134" s="132"/>
      <c r="S134" s="158">
        <f t="shared" ca="1" si="16"/>
        <v>0</v>
      </c>
      <c r="T134" s="128">
        <f ca="1">IF(T$37="","",INDEX(Leverancer!AU$1:AU$1061,ROW()-ROW($Q$122) + ROW(Leverancer!$AO$115))*Leverancer!AU$143/1000)</f>
        <v>0</v>
      </c>
      <c r="U134" s="128">
        <f ca="1">IF(U$37="","",INDEX(Leverancer!AV$1:AV$1061,ROW()-ROW($Q$122) + ROW(Leverancer!$AO$115))*Leverancer!AV$143/1000)</f>
        <v>0</v>
      </c>
      <c r="V134" s="128">
        <f ca="1">IF(V$37="","",INDEX(Leverancer!AW$1:AW$1061,ROW()-ROW($Q$122) + ROW(Leverancer!$AO$115))*Leverancer!AW$143/1000)</f>
        <v>0</v>
      </c>
      <c r="W134" s="128">
        <f ca="1">IF(W$37="","",INDEX(Leverancer!AX$1:AX$1061,ROW()-ROW($Q$122) + ROW(Leverancer!$AO$115))*Leverancer!AX$143/1000)</f>
        <v>0</v>
      </c>
      <c r="X134" s="128" t="str">
        <f ca="1">IF(X$37="","",INDEX(Leverancer!AY$1:AY$1061,ROW()-ROW($Q$122) + ROW(Leverancer!$AO$115))*Leverancer!AY$143/1000)</f>
        <v/>
      </c>
      <c r="Y134" s="128" t="str">
        <f ca="1">IF(Y$37="","",INDEX(Leverancer!AZ$1:AZ$1061,ROW()-ROW($Q$122) + ROW(Leverancer!$AO$115))*Leverancer!AZ$143/1000)</f>
        <v/>
      </c>
      <c r="Z134" s="128" t="str">
        <f ca="1">IF(Z$37="","",INDEX(Leverancer!BA$1:BA$1061,ROW()-ROW($Q$122) + ROW(Leverancer!$AO$115))*Leverancer!BA$143/1000)</f>
        <v/>
      </c>
      <c r="AA134" s="128" t="str">
        <f ca="1">IF(AA$37="","",INDEX(Leverancer!BB$1:BB$1061,ROW()-ROW($Q$122) + ROW(Leverancer!$AO$115))*Leverancer!BB$143/1000)</f>
        <v/>
      </c>
      <c r="AB134" s="128" t="str">
        <f ca="1">IF(AB$37="","",INDEX(Leverancer!BC$1:BC$1061,ROW()-ROW($Q$122) + ROW(Leverancer!$AO$115))*Leverancer!BC$143/1000)</f>
        <v/>
      </c>
      <c r="AC134" s="128" t="str">
        <f ca="1">IF(AC$37="","",INDEX(Leverancer!BD$1:BD$1061,ROW()-ROW($Q$122) + ROW(Leverancer!$AO$115))*Leverancer!BD$143/1000)</f>
        <v/>
      </c>
      <c r="AD134" s="128" t="str">
        <f ca="1">IF(AD$37="","",INDEX(Leverancer!BE$1:BE$1061,ROW()-ROW($Q$122) + ROW(Leverancer!$AO$115))*Leverancer!BE$143/1000)</f>
        <v/>
      </c>
      <c r="AE134" s="128" t="str">
        <f ca="1">IF(AE$37="","",INDEX(Leverancer!BF$1:BF$1061,ROW()-ROW($Q$122) + ROW(Leverancer!$AO$115))*Leverancer!BF$143/1000)</f>
        <v/>
      </c>
      <c r="AF134" s="128" t="str">
        <f ca="1">IF(AF$37="","",INDEX(Leverancer!BG$1:BG$1061,ROW()-ROW($Q$122) + ROW(Leverancer!$AO$115))*Leverancer!BG$143/1000)</f>
        <v/>
      </c>
      <c r="AG134" s="128" t="str">
        <f ca="1">IF(AG$37="","",INDEX(Leverancer!BH$1:BH$1061,ROW()-ROW($Q$122) + ROW(Leverancer!$AO$115))*Leverancer!BH$143/1000)</f>
        <v/>
      </c>
      <c r="AH134" s="128" t="str">
        <f ca="1">IF(AH$37="","",INDEX(Leverancer!BI$1:BI$1061,ROW()-ROW($Q$122) + ROW(Leverancer!$AO$115))*Leverancer!BI$143/1000)</f>
        <v/>
      </c>
      <c r="AI134" s="128" t="str">
        <f ca="1">IF(AI$37="","",INDEX(Leverancer!BJ$1:BJ$1061,ROW()-ROW($Q$122) + ROW(Leverancer!$AO$115))*Leverancer!BJ$143/1000)</f>
        <v/>
      </c>
      <c r="AJ134" s="128" t="str">
        <f ca="1">IF(AJ$37="","",INDEX(Leverancer!BK$1:BK$1061,ROW()-ROW($Q$122) + ROW(Leverancer!$AO$115))*Leverancer!BK$143/1000)</f>
        <v/>
      </c>
      <c r="AK134" s="128" t="str">
        <f ca="1">IF(AK$37="","",INDEX(Leverancer!BL$1:BL$1061,ROW()-ROW($Q$122) + ROW(Leverancer!$AO$115))*Leverancer!BL$143/1000)</f>
        <v/>
      </c>
      <c r="AL134" s="128" t="str">
        <f ca="1">IF(AL$37="","",INDEX(Leverancer!BM$1:BM$1061,ROW()-ROW($Q$122) + ROW(Leverancer!$AO$115))*Leverancer!BM$143/1000)</f>
        <v/>
      </c>
      <c r="AM134" s="128" t="str">
        <f ca="1">IF(AM$37="","",INDEX(Leverancer!BN$1:BN$1061,ROW()-ROW($Q$122) + ROW(Leverancer!$AO$115))*Leverancer!BN$143/1000)</f>
        <v/>
      </c>
      <c r="AN134" s="128" t="str">
        <f ca="1">IF(AN$37="","",INDEX(Leverancer!BO$1:BO$1061,ROW()-ROW($Q$122) + ROW(Leverancer!$AO$115))*Leverancer!BO$143/1000)</f>
        <v/>
      </c>
      <c r="AO134" s="128" t="str">
        <f ca="1">IF(AO$37="","",INDEX(Leverancer!BP$1:BP$1061,ROW()-ROW($Q$122) + ROW(Leverancer!$AO$115))*Leverancer!BP$143/1000)</f>
        <v/>
      </c>
      <c r="AP134" s="128" t="str">
        <f ca="1">IF(AP$37="","",INDEX(Leverancer!BQ$1:BQ$1061,ROW()-ROW($Q$122) + ROW(Leverancer!$AO$115))*Leverancer!BQ$143/1000)</f>
        <v/>
      </c>
      <c r="AQ134" s="128" t="str">
        <f ca="1">IF(AQ$37="","",INDEX(Leverancer!BR$1:BR$1061,ROW()-ROW($Q$122) + ROW(Leverancer!$AO$115))*Leverancer!BR$143/1000)</f>
        <v/>
      </c>
      <c r="AR134" s="128" t="str">
        <f ca="1">IF(AR$37="","",INDEX(Leverancer!BS$1:BS$1061,ROW()-ROW($Q$122) + ROW(Leverancer!$AO$115))*Leverancer!BS$143/1000)</f>
        <v/>
      </c>
      <c r="AS134" s="128" t="str">
        <f ca="1">IF(AS$37="","",INDEX(Leverancer!BT$1:BT$1061,ROW()-ROW($Q$122) + ROW(Leverancer!$AO$115))*Leverancer!BT$143/1000)</f>
        <v/>
      </c>
      <c r="AT134" s="128" t="str">
        <f ca="1">IF(AT$37="","",INDEX(Leverancer!BU$1:BU$1061,ROW()-ROW($Q$122) + ROW(Leverancer!$AO$115))*Leverancer!BU$143/1000)</f>
        <v/>
      </c>
      <c r="AU134" s="128" t="str">
        <f ca="1">IF(AU$37="","",INDEX(Leverancer!BV$1:BV$1061,ROW()-ROW($Q$122) + ROW(Leverancer!$AO$115))*Leverancer!BV$143/1000)</f>
        <v/>
      </c>
      <c r="AV134" s="128" t="str">
        <f ca="1">IF(AV$37="","",INDEX(Leverancer!BW$1:BW$1061,ROW()-ROW($Q$122) + ROW(Leverancer!$AO$115))*Leverancer!BW$143/1000)</f>
        <v/>
      </c>
      <c r="AW134" s="128" t="str">
        <f ca="1">IF(AW$37="","",INDEX(Leverancer!BX$1:BX$1061,ROW()-ROW($Q$122) + ROW(Leverancer!$AO$115))*Leverancer!BX$143/1000)</f>
        <v/>
      </c>
      <c r="AX134" s="104"/>
      <c r="AY134" s="104"/>
      <c r="AZ134" s="101"/>
    </row>
    <row r="135" spans="14:52" ht="12.75" hidden="1" customHeight="1" outlineLevel="1" x14ac:dyDescent="0.25">
      <c r="N135" s="99"/>
      <c r="O135" s="104"/>
      <c r="P135" s="104"/>
      <c r="Q135" s="130" t="str">
        <f>INDEX(Leverancer!$AO$1:$AO$1061,ROW()-ROW($Q$123) + ROW(Leverancer!$AO$116))&amp;": "&amp;INDEX(Leverancer!$AP$1:$AP$1061,ROW()-ROW($Q$123) + ROW(Leverancer!$AO$116))</f>
        <v xml:space="preserve">D13: </v>
      </c>
      <c r="R135" s="132"/>
      <c r="S135" s="158">
        <f t="shared" ca="1" si="16"/>
        <v>0</v>
      </c>
      <c r="T135" s="128">
        <f ca="1">IF(T$37="","",INDEX(Leverancer!AU$1:AU$1061,ROW()-ROW($Q$122) + ROW(Leverancer!$AO$115))*Leverancer!AU$143/1000)</f>
        <v>0</v>
      </c>
      <c r="U135" s="128">
        <f ca="1">IF(U$37="","",INDEX(Leverancer!AV$1:AV$1061,ROW()-ROW($Q$122) + ROW(Leverancer!$AO$115))*Leverancer!AV$143/1000)</f>
        <v>0</v>
      </c>
      <c r="V135" s="128">
        <f ca="1">IF(V$37="","",INDEX(Leverancer!AW$1:AW$1061,ROW()-ROW($Q$122) + ROW(Leverancer!$AO$115))*Leverancer!AW$143/1000)</f>
        <v>0</v>
      </c>
      <c r="W135" s="128">
        <f ca="1">IF(W$37="","",INDEX(Leverancer!AX$1:AX$1061,ROW()-ROW($Q$122) + ROW(Leverancer!$AO$115))*Leverancer!AX$143/1000)</f>
        <v>0</v>
      </c>
      <c r="X135" s="128" t="str">
        <f ca="1">IF(X$37="","",INDEX(Leverancer!AY$1:AY$1061,ROW()-ROW($Q$122) + ROW(Leverancer!$AO$115))*Leverancer!AY$143/1000)</f>
        <v/>
      </c>
      <c r="Y135" s="128" t="str">
        <f ca="1">IF(Y$37="","",INDEX(Leverancer!AZ$1:AZ$1061,ROW()-ROW($Q$122) + ROW(Leverancer!$AO$115))*Leverancer!AZ$143/1000)</f>
        <v/>
      </c>
      <c r="Z135" s="128" t="str">
        <f ca="1">IF(Z$37="","",INDEX(Leverancer!BA$1:BA$1061,ROW()-ROW($Q$122) + ROW(Leverancer!$AO$115))*Leverancer!BA$143/1000)</f>
        <v/>
      </c>
      <c r="AA135" s="128" t="str">
        <f ca="1">IF(AA$37="","",INDEX(Leverancer!BB$1:BB$1061,ROW()-ROW($Q$122) + ROW(Leverancer!$AO$115))*Leverancer!BB$143/1000)</f>
        <v/>
      </c>
      <c r="AB135" s="128" t="str">
        <f ca="1">IF(AB$37="","",INDEX(Leverancer!BC$1:BC$1061,ROW()-ROW($Q$122) + ROW(Leverancer!$AO$115))*Leverancer!BC$143/1000)</f>
        <v/>
      </c>
      <c r="AC135" s="128" t="str">
        <f ca="1">IF(AC$37="","",INDEX(Leverancer!BD$1:BD$1061,ROW()-ROW($Q$122) + ROW(Leverancer!$AO$115))*Leverancer!BD$143/1000)</f>
        <v/>
      </c>
      <c r="AD135" s="128" t="str">
        <f ca="1">IF(AD$37="","",INDEX(Leverancer!BE$1:BE$1061,ROW()-ROW($Q$122) + ROW(Leverancer!$AO$115))*Leverancer!BE$143/1000)</f>
        <v/>
      </c>
      <c r="AE135" s="128" t="str">
        <f ca="1">IF(AE$37="","",INDEX(Leverancer!BF$1:BF$1061,ROW()-ROW($Q$122) + ROW(Leverancer!$AO$115))*Leverancer!BF$143/1000)</f>
        <v/>
      </c>
      <c r="AF135" s="128" t="str">
        <f ca="1">IF(AF$37="","",INDEX(Leverancer!BG$1:BG$1061,ROW()-ROW($Q$122) + ROW(Leverancer!$AO$115))*Leverancer!BG$143/1000)</f>
        <v/>
      </c>
      <c r="AG135" s="128" t="str">
        <f ca="1">IF(AG$37="","",INDEX(Leverancer!BH$1:BH$1061,ROW()-ROW($Q$122) + ROW(Leverancer!$AO$115))*Leverancer!BH$143/1000)</f>
        <v/>
      </c>
      <c r="AH135" s="128" t="str">
        <f ca="1">IF(AH$37="","",INDEX(Leverancer!BI$1:BI$1061,ROW()-ROW($Q$122) + ROW(Leverancer!$AO$115))*Leverancer!BI$143/1000)</f>
        <v/>
      </c>
      <c r="AI135" s="128" t="str">
        <f ca="1">IF(AI$37="","",INDEX(Leverancer!BJ$1:BJ$1061,ROW()-ROW($Q$122) + ROW(Leverancer!$AO$115))*Leverancer!BJ$143/1000)</f>
        <v/>
      </c>
      <c r="AJ135" s="128" t="str">
        <f ca="1">IF(AJ$37="","",INDEX(Leverancer!BK$1:BK$1061,ROW()-ROW($Q$122) + ROW(Leverancer!$AO$115))*Leverancer!BK$143/1000)</f>
        <v/>
      </c>
      <c r="AK135" s="128" t="str">
        <f ca="1">IF(AK$37="","",INDEX(Leverancer!BL$1:BL$1061,ROW()-ROW($Q$122) + ROW(Leverancer!$AO$115))*Leverancer!BL$143/1000)</f>
        <v/>
      </c>
      <c r="AL135" s="128" t="str">
        <f ca="1">IF(AL$37="","",INDEX(Leverancer!BM$1:BM$1061,ROW()-ROW($Q$122) + ROW(Leverancer!$AO$115))*Leverancer!BM$143/1000)</f>
        <v/>
      </c>
      <c r="AM135" s="128" t="str">
        <f ca="1">IF(AM$37="","",INDEX(Leverancer!BN$1:BN$1061,ROW()-ROW($Q$122) + ROW(Leverancer!$AO$115))*Leverancer!BN$143/1000)</f>
        <v/>
      </c>
      <c r="AN135" s="128" t="str">
        <f ca="1">IF(AN$37="","",INDEX(Leverancer!BO$1:BO$1061,ROW()-ROW($Q$122) + ROW(Leverancer!$AO$115))*Leverancer!BO$143/1000)</f>
        <v/>
      </c>
      <c r="AO135" s="128" t="str">
        <f ca="1">IF(AO$37="","",INDEX(Leverancer!BP$1:BP$1061,ROW()-ROW($Q$122) + ROW(Leverancer!$AO$115))*Leverancer!BP$143/1000)</f>
        <v/>
      </c>
      <c r="AP135" s="128" t="str">
        <f ca="1">IF(AP$37="","",INDEX(Leverancer!BQ$1:BQ$1061,ROW()-ROW($Q$122) + ROW(Leverancer!$AO$115))*Leverancer!BQ$143/1000)</f>
        <v/>
      </c>
      <c r="AQ135" s="128" t="str">
        <f ca="1">IF(AQ$37="","",INDEX(Leverancer!BR$1:BR$1061,ROW()-ROW($Q$122) + ROW(Leverancer!$AO$115))*Leverancer!BR$143/1000)</f>
        <v/>
      </c>
      <c r="AR135" s="128" t="str">
        <f ca="1">IF(AR$37="","",INDEX(Leverancer!BS$1:BS$1061,ROW()-ROW($Q$122) + ROW(Leverancer!$AO$115))*Leverancer!BS$143/1000)</f>
        <v/>
      </c>
      <c r="AS135" s="128" t="str">
        <f ca="1">IF(AS$37="","",INDEX(Leverancer!BT$1:BT$1061,ROW()-ROW($Q$122) + ROW(Leverancer!$AO$115))*Leverancer!BT$143/1000)</f>
        <v/>
      </c>
      <c r="AT135" s="128" t="str">
        <f ca="1">IF(AT$37="","",INDEX(Leverancer!BU$1:BU$1061,ROW()-ROW($Q$122) + ROW(Leverancer!$AO$115))*Leverancer!BU$143/1000)</f>
        <v/>
      </c>
      <c r="AU135" s="128" t="str">
        <f ca="1">IF(AU$37="","",INDEX(Leverancer!BV$1:BV$1061,ROW()-ROW($Q$122) + ROW(Leverancer!$AO$115))*Leverancer!BV$143/1000)</f>
        <v/>
      </c>
      <c r="AV135" s="128" t="str">
        <f ca="1">IF(AV$37="","",INDEX(Leverancer!BW$1:BW$1061,ROW()-ROW($Q$122) + ROW(Leverancer!$AO$115))*Leverancer!BW$143/1000)</f>
        <v/>
      </c>
      <c r="AW135" s="128" t="str">
        <f ca="1">IF(AW$37="","",INDEX(Leverancer!BX$1:BX$1061,ROW()-ROW($Q$122) + ROW(Leverancer!$AO$115))*Leverancer!BX$143/1000)</f>
        <v/>
      </c>
      <c r="AX135" s="104"/>
      <c r="AY135" s="104"/>
      <c r="AZ135" s="101"/>
    </row>
    <row r="136" spans="14:52" ht="12.75" hidden="1" customHeight="1" outlineLevel="1" x14ac:dyDescent="0.25">
      <c r="N136" s="99"/>
      <c r="O136" s="104"/>
      <c r="P136" s="104"/>
      <c r="Q136" s="130" t="str">
        <f>INDEX(Leverancer!$AO$1:$AO$1061,ROW()-ROW($Q$123) + ROW(Leverancer!$AO$116))&amp;": "&amp;INDEX(Leverancer!$AP$1:$AP$1061,ROW()-ROW($Q$123) + ROW(Leverancer!$AO$116))</f>
        <v xml:space="preserve">D14: </v>
      </c>
      <c r="R136" s="132"/>
      <c r="S136" s="158">
        <f t="shared" ca="1" si="16"/>
        <v>0</v>
      </c>
      <c r="T136" s="128">
        <f ca="1">IF(T$37="","",INDEX(Leverancer!AU$1:AU$1061,ROW()-ROW($Q$122) + ROW(Leverancer!$AO$115))*Leverancer!AU$143/1000)</f>
        <v>0</v>
      </c>
      <c r="U136" s="128">
        <f ca="1">IF(U$37="","",INDEX(Leverancer!AV$1:AV$1061,ROW()-ROW($Q$122) + ROW(Leverancer!$AO$115))*Leverancer!AV$143/1000)</f>
        <v>0</v>
      </c>
      <c r="V136" s="128">
        <f ca="1">IF(V$37="","",INDEX(Leverancer!AW$1:AW$1061,ROW()-ROW($Q$122) + ROW(Leverancer!$AO$115))*Leverancer!AW$143/1000)</f>
        <v>0</v>
      </c>
      <c r="W136" s="128">
        <f ca="1">IF(W$37="","",INDEX(Leverancer!AX$1:AX$1061,ROW()-ROW($Q$122) + ROW(Leverancer!$AO$115))*Leverancer!AX$143/1000)</f>
        <v>0</v>
      </c>
      <c r="X136" s="128" t="str">
        <f ca="1">IF(X$37="","",INDEX(Leverancer!AY$1:AY$1061,ROW()-ROW($Q$122) + ROW(Leverancer!$AO$115))*Leverancer!AY$143/1000)</f>
        <v/>
      </c>
      <c r="Y136" s="128" t="str">
        <f ca="1">IF(Y$37="","",INDEX(Leverancer!AZ$1:AZ$1061,ROW()-ROW($Q$122) + ROW(Leverancer!$AO$115))*Leverancer!AZ$143/1000)</f>
        <v/>
      </c>
      <c r="Z136" s="128" t="str">
        <f ca="1">IF(Z$37="","",INDEX(Leverancer!BA$1:BA$1061,ROW()-ROW($Q$122) + ROW(Leverancer!$AO$115))*Leverancer!BA$143/1000)</f>
        <v/>
      </c>
      <c r="AA136" s="128" t="str">
        <f ca="1">IF(AA$37="","",INDEX(Leverancer!BB$1:BB$1061,ROW()-ROW($Q$122) + ROW(Leverancer!$AO$115))*Leverancer!BB$143/1000)</f>
        <v/>
      </c>
      <c r="AB136" s="128" t="str">
        <f ca="1">IF(AB$37="","",INDEX(Leverancer!BC$1:BC$1061,ROW()-ROW($Q$122) + ROW(Leverancer!$AO$115))*Leverancer!BC$143/1000)</f>
        <v/>
      </c>
      <c r="AC136" s="128" t="str">
        <f ca="1">IF(AC$37="","",INDEX(Leverancer!BD$1:BD$1061,ROW()-ROW($Q$122) + ROW(Leverancer!$AO$115))*Leverancer!BD$143/1000)</f>
        <v/>
      </c>
      <c r="AD136" s="128" t="str">
        <f ca="1">IF(AD$37="","",INDEX(Leverancer!BE$1:BE$1061,ROW()-ROW($Q$122) + ROW(Leverancer!$AO$115))*Leverancer!BE$143/1000)</f>
        <v/>
      </c>
      <c r="AE136" s="128" t="str">
        <f ca="1">IF(AE$37="","",INDEX(Leverancer!BF$1:BF$1061,ROW()-ROW($Q$122) + ROW(Leverancer!$AO$115))*Leverancer!BF$143/1000)</f>
        <v/>
      </c>
      <c r="AF136" s="128" t="str">
        <f ca="1">IF(AF$37="","",INDEX(Leverancer!BG$1:BG$1061,ROW()-ROW($Q$122) + ROW(Leverancer!$AO$115))*Leverancer!BG$143/1000)</f>
        <v/>
      </c>
      <c r="AG136" s="128" t="str">
        <f ca="1">IF(AG$37="","",INDEX(Leverancer!BH$1:BH$1061,ROW()-ROW($Q$122) + ROW(Leverancer!$AO$115))*Leverancer!BH$143/1000)</f>
        <v/>
      </c>
      <c r="AH136" s="128" t="str">
        <f ca="1">IF(AH$37="","",INDEX(Leverancer!BI$1:BI$1061,ROW()-ROW($Q$122) + ROW(Leverancer!$AO$115))*Leverancer!BI$143/1000)</f>
        <v/>
      </c>
      <c r="AI136" s="128" t="str">
        <f ca="1">IF(AI$37="","",INDEX(Leverancer!BJ$1:BJ$1061,ROW()-ROW($Q$122) + ROW(Leverancer!$AO$115))*Leverancer!BJ$143/1000)</f>
        <v/>
      </c>
      <c r="AJ136" s="128" t="str">
        <f ca="1">IF(AJ$37="","",INDEX(Leverancer!BK$1:BK$1061,ROW()-ROW($Q$122) + ROW(Leverancer!$AO$115))*Leverancer!BK$143/1000)</f>
        <v/>
      </c>
      <c r="AK136" s="128" t="str">
        <f ca="1">IF(AK$37="","",INDEX(Leverancer!BL$1:BL$1061,ROW()-ROW($Q$122) + ROW(Leverancer!$AO$115))*Leverancer!BL$143/1000)</f>
        <v/>
      </c>
      <c r="AL136" s="128" t="str">
        <f ca="1">IF(AL$37="","",INDEX(Leverancer!BM$1:BM$1061,ROW()-ROW($Q$122) + ROW(Leverancer!$AO$115))*Leverancer!BM$143/1000)</f>
        <v/>
      </c>
      <c r="AM136" s="128" t="str">
        <f ca="1">IF(AM$37="","",INDEX(Leverancer!BN$1:BN$1061,ROW()-ROW($Q$122) + ROW(Leverancer!$AO$115))*Leverancer!BN$143/1000)</f>
        <v/>
      </c>
      <c r="AN136" s="128" t="str">
        <f ca="1">IF(AN$37="","",INDEX(Leverancer!BO$1:BO$1061,ROW()-ROW($Q$122) + ROW(Leverancer!$AO$115))*Leverancer!BO$143/1000)</f>
        <v/>
      </c>
      <c r="AO136" s="128" t="str">
        <f ca="1">IF(AO$37="","",INDEX(Leverancer!BP$1:BP$1061,ROW()-ROW($Q$122) + ROW(Leverancer!$AO$115))*Leverancer!BP$143/1000)</f>
        <v/>
      </c>
      <c r="AP136" s="128" t="str">
        <f ca="1">IF(AP$37="","",INDEX(Leverancer!BQ$1:BQ$1061,ROW()-ROW($Q$122) + ROW(Leverancer!$AO$115))*Leverancer!BQ$143/1000)</f>
        <v/>
      </c>
      <c r="AQ136" s="128" t="str">
        <f ca="1">IF(AQ$37="","",INDEX(Leverancer!BR$1:BR$1061,ROW()-ROW($Q$122) + ROW(Leverancer!$AO$115))*Leverancer!BR$143/1000)</f>
        <v/>
      </c>
      <c r="AR136" s="128" t="str">
        <f ca="1">IF(AR$37="","",INDEX(Leverancer!BS$1:BS$1061,ROW()-ROW($Q$122) + ROW(Leverancer!$AO$115))*Leverancer!BS$143/1000)</f>
        <v/>
      </c>
      <c r="AS136" s="128" t="str">
        <f ca="1">IF(AS$37="","",INDEX(Leverancer!BT$1:BT$1061,ROW()-ROW($Q$122) + ROW(Leverancer!$AO$115))*Leverancer!BT$143/1000)</f>
        <v/>
      </c>
      <c r="AT136" s="128" t="str">
        <f ca="1">IF(AT$37="","",INDEX(Leverancer!BU$1:BU$1061,ROW()-ROW($Q$122) + ROW(Leverancer!$AO$115))*Leverancer!BU$143/1000)</f>
        <v/>
      </c>
      <c r="AU136" s="128" t="str">
        <f ca="1">IF(AU$37="","",INDEX(Leverancer!BV$1:BV$1061,ROW()-ROW($Q$122) + ROW(Leverancer!$AO$115))*Leverancer!BV$143/1000)</f>
        <v/>
      </c>
      <c r="AV136" s="128" t="str">
        <f ca="1">IF(AV$37="","",INDEX(Leverancer!BW$1:BW$1061,ROW()-ROW($Q$122) + ROW(Leverancer!$AO$115))*Leverancer!BW$143/1000)</f>
        <v/>
      </c>
      <c r="AW136" s="128" t="str">
        <f ca="1">IF(AW$37="","",INDEX(Leverancer!BX$1:BX$1061,ROW()-ROW($Q$122) + ROW(Leverancer!$AO$115))*Leverancer!BX$143/1000)</f>
        <v/>
      </c>
      <c r="AX136" s="104"/>
      <c r="AY136" s="104"/>
      <c r="AZ136" s="101"/>
    </row>
    <row r="137" spans="14:52" ht="12.75" hidden="1" customHeight="1" outlineLevel="1" x14ac:dyDescent="0.25">
      <c r="N137" s="99"/>
      <c r="O137" s="104"/>
      <c r="P137" s="104"/>
      <c r="Q137" s="130" t="str">
        <f>INDEX(Leverancer!$AO$1:$AO$1061,ROW()-ROW($Q$123) + ROW(Leverancer!$AO$116))&amp;": "&amp;INDEX(Leverancer!$AP$1:$AP$1061,ROW()-ROW($Q$123) + ROW(Leverancer!$AO$116))</f>
        <v xml:space="preserve">D15: </v>
      </c>
      <c r="R137" s="132"/>
      <c r="S137" s="158">
        <f t="shared" ca="1" si="16"/>
        <v>0</v>
      </c>
      <c r="T137" s="128">
        <f ca="1">IF(T$37="","",INDEX(Leverancer!AU$1:AU$1061,ROW()-ROW($Q$122) + ROW(Leverancer!$AO$115))*Leverancer!AU$143/1000)</f>
        <v>0</v>
      </c>
      <c r="U137" s="128">
        <f ca="1">IF(U$37="","",INDEX(Leverancer!AV$1:AV$1061,ROW()-ROW($Q$122) + ROW(Leverancer!$AO$115))*Leverancer!AV$143/1000)</f>
        <v>0</v>
      </c>
      <c r="V137" s="128">
        <f ca="1">IF(V$37="","",INDEX(Leverancer!AW$1:AW$1061,ROW()-ROW($Q$122) + ROW(Leverancer!$AO$115))*Leverancer!AW$143/1000)</f>
        <v>0</v>
      </c>
      <c r="W137" s="128">
        <f ca="1">IF(W$37="","",INDEX(Leverancer!AX$1:AX$1061,ROW()-ROW($Q$122) + ROW(Leverancer!$AO$115))*Leverancer!AX$143/1000)</f>
        <v>0</v>
      </c>
      <c r="X137" s="128" t="str">
        <f ca="1">IF(X$37="","",INDEX(Leverancer!AY$1:AY$1061,ROW()-ROW($Q$122) + ROW(Leverancer!$AO$115))*Leverancer!AY$143/1000)</f>
        <v/>
      </c>
      <c r="Y137" s="128" t="str">
        <f ca="1">IF(Y$37="","",INDEX(Leverancer!AZ$1:AZ$1061,ROW()-ROW($Q$122) + ROW(Leverancer!$AO$115))*Leverancer!AZ$143/1000)</f>
        <v/>
      </c>
      <c r="Z137" s="128" t="str">
        <f ca="1">IF(Z$37="","",INDEX(Leverancer!BA$1:BA$1061,ROW()-ROW($Q$122) + ROW(Leverancer!$AO$115))*Leverancer!BA$143/1000)</f>
        <v/>
      </c>
      <c r="AA137" s="128" t="str">
        <f ca="1">IF(AA$37="","",INDEX(Leverancer!BB$1:BB$1061,ROW()-ROW($Q$122) + ROW(Leverancer!$AO$115))*Leverancer!BB$143/1000)</f>
        <v/>
      </c>
      <c r="AB137" s="128" t="str">
        <f ca="1">IF(AB$37="","",INDEX(Leverancer!BC$1:BC$1061,ROW()-ROW($Q$122) + ROW(Leverancer!$AO$115))*Leverancer!BC$143/1000)</f>
        <v/>
      </c>
      <c r="AC137" s="128" t="str">
        <f ca="1">IF(AC$37="","",INDEX(Leverancer!BD$1:BD$1061,ROW()-ROW($Q$122) + ROW(Leverancer!$AO$115))*Leverancer!BD$143/1000)</f>
        <v/>
      </c>
      <c r="AD137" s="128" t="str">
        <f ca="1">IF(AD$37="","",INDEX(Leverancer!BE$1:BE$1061,ROW()-ROW($Q$122) + ROW(Leverancer!$AO$115))*Leverancer!BE$143/1000)</f>
        <v/>
      </c>
      <c r="AE137" s="128" t="str">
        <f ca="1">IF(AE$37="","",INDEX(Leverancer!BF$1:BF$1061,ROW()-ROW($Q$122) + ROW(Leverancer!$AO$115))*Leverancer!BF$143/1000)</f>
        <v/>
      </c>
      <c r="AF137" s="128" t="str">
        <f ca="1">IF(AF$37="","",INDEX(Leverancer!BG$1:BG$1061,ROW()-ROW($Q$122) + ROW(Leverancer!$AO$115))*Leverancer!BG$143/1000)</f>
        <v/>
      </c>
      <c r="AG137" s="128" t="str">
        <f ca="1">IF(AG$37="","",INDEX(Leverancer!BH$1:BH$1061,ROW()-ROW($Q$122) + ROW(Leverancer!$AO$115))*Leverancer!BH$143/1000)</f>
        <v/>
      </c>
      <c r="AH137" s="128" t="str">
        <f ca="1">IF(AH$37="","",INDEX(Leverancer!BI$1:BI$1061,ROW()-ROW($Q$122) + ROW(Leverancer!$AO$115))*Leverancer!BI$143/1000)</f>
        <v/>
      </c>
      <c r="AI137" s="128" t="str">
        <f ca="1">IF(AI$37="","",INDEX(Leverancer!BJ$1:BJ$1061,ROW()-ROW($Q$122) + ROW(Leverancer!$AO$115))*Leverancer!BJ$143/1000)</f>
        <v/>
      </c>
      <c r="AJ137" s="128" t="str">
        <f ca="1">IF(AJ$37="","",INDEX(Leverancer!BK$1:BK$1061,ROW()-ROW($Q$122) + ROW(Leverancer!$AO$115))*Leverancer!BK$143/1000)</f>
        <v/>
      </c>
      <c r="AK137" s="128" t="str">
        <f ca="1">IF(AK$37="","",INDEX(Leverancer!BL$1:BL$1061,ROW()-ROW($Q$122) + ROW(Leverancer!$AO$115))*Leverancer!BL$143/1000)</f>
        <v/>
      </c>
      <c r="AL137" s="128" t="str">
        <f ca="1">IF(AL$37="","",INDEX(Leverancer!BM$1:BM$1061,ROW()-ROW($Q$122) + ROW(Leverancer!$AO$115))*Leverancer!BM$143/1000)</f>
        <v/>
      </c>
      <c r="AM137" s="128" t="str">
        <f ca="1">IF(AM$37="","",INDEX(Leverancer!BN$1:BN$1061,ROW()-ROW($Q$122) + ROW(Leverancer!$AO$115))*Leverancer!BN$143/1000)</f>
        <v/>
      </c>
      <c r="AN137" s="128" t="str">
        <f ca="1">IF(AN$37="","",INDEX(Leverancer!BO$1:BO$1061,ROW()-ROW($Q$122) + ROW(Leverancer!$AO$115))*Leverancer!BO$143/1000)</f>
        <v/>
      </c>
      <c r="AO137" s="128" t="str">
        <f ca="1">IF(AO$37="","",INDEX(Leverancer!BP$1:BP$1061,ROW()-ROW($Q$122) + ROW(Leverancer!$AO$115))*Leverancer!BP$143/1000)</f>
        <v/>
      </c>
      <c r="AP137" s="128" t="str">
        <f ca="1">IF(AP$37="","",INDEX(Leverancer!BQ$1:BQ$1061,ROW()-ROW($Q$122) + ROW(Leverancer!$AO$115))*Leverancer!BQ$143/1000)</f>
        <v/>
      </c>
      <c r="AQ137" s="128" t="str">
        <f ca="1">IF(AQ$37="","",INDEX(Leverancer!BR$1:BR$1061,ROW()-ROW($Q$122) + ROW(Leverancer!$AO$115))*Leverancer!BR$143/1000)</f>
        <v/>
      </c>
      <c r="AR137" s="128" t="str">
        <f ca="1">IF(AR$37="","",INDEX(Leverancer!BS$1:BS$1061,ROW()-ROW($Q$122) + ROW(Leverancer!$AO$115))*Leverancer!BS$143/1000)</f>
        <v/>
      </c>
      <c r="AS137" s="128" t="str">
        <f ca="1">IF(AS$37="","",INDEX(Leverancer!BT$1:BT$1061,ROW()-ROW($Q$122) + ROW(Leverancer!$AO$115))*Leverancer!BT$143/1000)</f>
        <v/>
      </c>
      <c r="AT137" s="128" t="str">
        <f ca="1">IF(AT$37="","",INDEX(Leverancer!BU$1:BU$1061,ROW()-ROW($Q$122) + ROW(Leverancer!$AO$115))*Leverancer!BU$143/1000)</f>
        <v/>
      </c>
      <c r="AU137" s="128" t="str">
        <f ca="1">IF(AU$37="","",INDEX(Leverancer!BV$1:BV$1061,ROW()-ROW($Q$122) + ROW(Leverancer!$AO$115))*Leverancer!BV$143/1000)</f>
        <v/>
      </c>
      <c r="AV137" s="128" t="str">
        <f ca="1">IF(AV$37="","",INDEX(Leverancer!BW$1:BW$1061,ROW()-ROW($Q$122) + ROW(Leverancer!$AO$115))*Leverancer!BW$143/1000)</f>
        <v/>
      </c>
      <c r="AW137" s="128" t="str">
        <f ca="1">IF(AW$37="","",INDEX(Leverancer!BX$1:BX$1061,ROW()-ROW($Q$122) + ROW(Leverancer!$AO$115))*Leverancer!BX$143/1000)</f>
        <v/>
      </c>
      <c r="AX137" s="104"/>
      <c r="AY137" s="104"/>
      <c r="AZ137" s="101"/>
    </row>
    <row r="138" spans="14:52" ht="12.75" hidden="1" customHeight="1" outlineLevel="1" x14ac:dyDescent="0.25">
      <c r="N138" s="99"/>
      <c r="O138" s="104"/>
      <c r="P138" s="104"/>
      <c r="Q138" s="130" t="str">
        <f>INDEX(Leverancer!$AO$1:$AO$1061,ROW()-ROW($Q$123) + ROW(Leverancer!$AO$116))&amp;": "&amp;INDEX(Leverancer!$AP$1:$AP$1061,ROW()-ROW($Q$123) + ROW(Leverancer!$AO$116))</f>
        <v xml:space="preserve">D16: </v>
      </c>
      <c r="R138" s="132"/>
      <c r="S138" s="158">
        <f t="shared" ca="1" si="16"/>
        <v>0</v>
      </c>
      <c r="T138" s="128">
        <f ca="1">IF(T$37="","",INDEX(Leverancer!AU$1:AU$1061,ROW()-ROW($Q$122) + ROW(Leverancer!$AO$115))*Leverancer!AU$143/1000)</f>
        <v>0</v>
      </c>
      <c r="U138" s="128">
        <f ca="1">IF(U$37="","",INDEX(Leverancer!AV$1:AV$1061,ROW()-ROW($Q$122) + ROW(Leverancer!$AO$115))*Leverancer!AV$143/1000)</f>
        <v>0</v>
      </c>
      <c r="V138" s="128">
        <f ca="1">IF(V$37="","",INDEX(Leverancer!AW$1:AW$1061,ROW()-ROW($Q$122) + ROW(Leverancer!$AO$115))*Leverancer!AW$143/1000)</f>
        <v>0</v>
      </c>
      <c r="W138" s="128">
        <f ca="1">IF(W$37="","",INDEX(Leverancer!AX$1:AX$1061,ROW()-ROW($Q$122) + ROW(Leverancer!$AO$115))*Leverancer!AX$143/1000)</f>
        <v>0</v>
      </c>
      <c r="X138" s="128" t="str">
        <f ca="1">IF(X$37="","",INDEX(Leverancer!AY$1:AY$1061,ROW()-ROW($Q$122) + ROW(Leverancer!$AO$115))*Leverancer!AY$143/1000)</f>
        <v/>
      </c>
      <c r="Y138" s="128" t="str">
        <f ca="1">IF(Y$37="","",INDEX(Leverancer!AZ$1:AZ$1061,ROW()-ROW($Q$122) + ROW(Leverancer!$AO$115))*Leverancer!AZ$143/1000)</f>
        <v/>
      </c>
      <c r="Z138" s="128" t="str">
        <f ca="1">IF(Z$37="","",INDEX(Leverancer!BA$1:BA$1061,ROW()-ROW($Q$122) + ROW(Leverancer!$AO$115))*Leverancer!BA$143/1000)</f>
        <v/>
      </c>
      <c r="AA138" s="128" t="str">
        <f ca="1">IF(AA$37="","",INDEX(Leverancer!BB$1:BB$1061,ROW()-ROW($Q$122) + ROW(Leverancer!$AO$115))*Leverancer!BB$143/1000)</f>
        <v/>
      </c>
      <c r="AB138" s="128" t="str">
        <f ca="1">IF(AB$37="","",INDEX(Leverancer!BC$1:BC$1061,ROW()-ROW($Q$122) + ROW(Leverancer!$AO$115))*Leverancer!BC$143/1000)</f>
        <v/>
      </c>
      <c r="AC138" s="128" t="str">
        <f ca="1">IF(AC$37="","",INDEX(Leverancer!BD$1:BD$1061,ROW()-ROW($Q$122) + ROW(Leverancer!$AO$115))*Leverancer!BD$143/1000)</f>
        <v/>
      </c>
      <c r="AD138" s="128" t="str">
        <f ca="1">IF(AD$37="","",INDEX(Leverancer!BE$1:BE$1061,ROW()-ROW($Q$122) + ROW(Leverancer!$AO$115))*Leverancer!BE$143/1000)</f>
        <v/>
      </c>
      <c r="AE138" s="128" t="str">
        <f ca="1">IF(AE$37="","",INDEX(Leverancer!BF$1:BF$1061,ROW()-ROW($Q$122) + ROW(Leverancer!$AO$115))*Leverancer!BF$143/1000)</f>
        <v/>
      </c>
      <c r="AF138" s="128" t="str">
        <f ca="1">IF(AF$37="","",INDEX(Leverancer!BG$1:BG$1061,ROW()-ROW($Q$122) + ROW(Leverancer!$AO$115))*Leverancer!BG$143/1000)</f>
        <v/>
      </c>
      <c r="AG138" s="128" t="str">
        <f ca="1">IF(AG$37="","",INDEX(Leverancer!BH$1:BH$1061,ROW()-ROW($Q$122) + ROW(Leverancer!$AO$115))*Leverancer!BH$143/1000)</f>
        <v/>
      </c>
      <c r="AH138" s="128" t="str">
        <f ca="1">IF(AH$37="","",INDEX(Leverancer!BI$1:BI$1061,ROW()-ROW($Q$122) + ROW(Leverancer!$AO$115))*Leverancer!BI$143/1000)</f>
        <v/>
      </c>
      <c r="AI138" s="128" t="str">
        <f ca="1">IF(AI$37="","",INDEX(Leverancer!BJ$1:BJ$1061,ROW()-ROW($Q$122) + ROW(Leverancer!$AO$115))*Leverancer!BJ$143/1000)</f>
        <v/>
      </c>
      <c r="AJ138" s="128" t="str">
        <f ca="1">IF(AJ$37="","",INDEX(Leverancer!BK$1:BK$1061,ROW()-ROW($Q$122) + ROW(Leverancer!$AO$115))*Leverancer!BK$143/1000)</f>
        <v/>
      </c>
      <c r="AK138" s="128" t="str">
        <f ca="1">IF(AK$37="","",INDEX(Leverancer!BL$1:BL$1061,ROW()-ROW($Q$122) + ROW(Leverancer!$AO$115))*Leverancer!BL$143/1000)</f>
        <v/>
      </c>
      <c r="AL138" s="128" t="str">
        <f ca="1">IF(AL$37="","",INDEX(Leverancer!BM$1:BM$1061,ROW()-ROW($Q$122) + ROW(Leverancer!$AO$115))*Leverancer!BM$143/1000)</f>
        <v/>
      </c>
      <c r="AM138" s="128" t="str">
        <f ca="1">IF(AM$37="","",INDEX(Leverancer!BN$1:BN$1061,ROW()-ROW($Q$122) + ROW(Leverancer!$AO$115))*Leverancer!BN$143/1000)</f>
        <v/>
      </c>
      <c r="AN138" s="128" t="str">
        <f ca="1">IF(AN$37="","",INDEX(Leverancer!BO$1:BO$1061,ROW()-ROW($Q$122) + ROW(Leverancer!$AO$115))*Leverancer!BO$143/1000)</f>
        <v/>
      </c>
      <c r="AO138" s="128" t="str">
        <f ca="1">IF(AO$37="","",INDEX(Leverancer!BP$1:BP$1061,ROW()-ROW($Q$122) + ROW(Leverancer!$AO$115))*Leverancer!BP$143/1000)</f>
        <v/>
      </c>
      <c r="AP138" s="128" t="str">
        <f ca="1">IF(AP$37="","",INDEX(Leverancer!BQ$1:BQ$1061,ROW()-ROW($Q$122) + ROW(Leverancer!$AO$115))*Leverancer!BQ$143/1000)</f>
        <v/>
      </c>
      <c r="AQ138" s="128" t="str">
        <f ca="1">IF(AQ$37="","",INDEX(Leverancer!BR$1:BR$1061,ROW()-ROW($Q$122) + ROW(Leverancer!$AO$115))*Leverancer!BR$143/1000)</f>
        <v/>
      </c>
      <c r="AR138" s="128" t="str">
        <f ca="1">IF(AR$37="","",INDEX(Leverancer!BS$1:BS$1061,ROW()-ROW($Q$122) + ROW(Leverancer!$AO$115))*Leverancer!BS$143/1000)</f>
        <v/>
      </c>
      <c r="AS138" s="128" t="str">
        <f ca="1">IF(AS$37="","",INDEX(Leverancer!BT$1:BT$1061,ROW()-ROW($Q$122) + ROW(Leverancer!$AO$115))*Leverancer!BT$143/1000)</f>
        <v/>
      </c>
      <c r="AT138" s="128" t="str">
        <f ca="1">IF(AT$37="","",INDEX(Leverancer!BU$1:BU$1061,ROW()-ROW($Q$122) + ROW(Leverancer!$AO$115))*Leverancer!BU$143/1000)</f>
        <v/>
      </c>
      <c r="AU138" s="128" t="str">
        <f ca="1">IF(AU$37="","",INDEX(Leverancer!BV$1:BV$1061,ROW()-ROW($Q$122) + ROW(Leverancer!$AO$115))*Leverancer!BV$143/1000)</f>
        <v/>
      </c>
      <c r="AV138" s="128" t="str">
        <f ca="1">IF(AV$37="","",INDEX(Leverancer!BW$1:BW$1061,ROW()-ROW($Q$122) + ROW(Leverancer!$AO$115))*Leverancer!BW$143/1000)</f>
        <v/>
      </c>
      <c r="AW138" s="128" t="str">
        <f ca="1">IF(AW$37="","",INDEX(Leverancer!BX$1:BX$1061,ROW()-ROW($Q$122) + ROW(Leverancer!$AO$115))*Leverancer!BX$143/1000)</f>
        <v/>
      </c>
      <c r="AX138" s="104"/>
      <c r="AY138" s="104"/>
      <c r="AZ138" s="101"/>
    </row>
    <row r="139" spans="14:52" ht="12.75" hidden="1" customHeight="1" outlineLevel="1" x14ac:dyDescent="0.25">
      <c r="N139" s="99"/>
      <c r="O139" s="104"/>
      <c r="P139" s="104"/>
      <c r="Q139" s="130" t="str">
        <f>INDEX(Leverancer!$AO$1:$AO$1061,ROW()-ROW($Q$123) + ROW(Leverancer!$AO$116))&amp;": "&amp;INDEX(Leverancer!$AP$1:$AP$1061,ROW()-ROW($Q$123) + ROW(Leverancer!$AO$116))</f>
        <v xml:space="preserve">D17: </v>
      </c>
      <c r="R139" s="128"/>
      <c r="S139" s="158">
        <f t="shared" ca="1" si="16"/>
        <v>0</v>
      </c>
      <c r="T139" s="128">
        <f ca="1">IF(T$37="","",INDEX(Leverancer!AU$1:AU$1061,ROW()-ROW($Q$122) + ROW(Leverancer!$AO$115))*Leverancer!AU$143/1000)</f>
        <v>0</v>
      </c>
      <c r="U139" s="128">
        <f ca="1">IF(U$37="","",INDEX(Leverancer!AV$1:AV$1061,ROW()-ROW($Q$122) + ROW(Leverancer!$AO$115))*Leverancer!AV$143/1000)</f>
        <v>0</v>
      </c>
      <c r="V139" s="128">
        <f ca="1">IF(V$37="","",INDEX(Leverancer!AW$1:AW$1061,ROW()-ROW($Q$122) + ROW(Leverancer!$AO$115))*Leverancer!AW$143/1000)</f>
        <v>0</v>
      </c>
      <c r="W139" s="128">
        <f ca="1">IF(W$37="","",INDEX(Leverancer!AX$1:AX$1061,ROW()-ROW($Q$122) + ROW(Leverancer!$AO$115))*Leverancer!AX$143/1000)</f>
        <v>0</v>
      </c>
      <c r="X139" s="128" t="str">
        <f ca="1">IF(X$37="","",INDEX(Leverancer!AY$1:AY$1061,ROW()-ROW($Q$122) + ROW(Leverancer!$AO$115))*Leverancer!AY$143/1000)</f>
        <v/>
      </c>
      <c r="Y139" s="128" t="str">
        <f ca="1">IF(Y$37="","",INDEX(Leverancer!AZ$1:AZ$1061,ROW()-ROW($Q$122) + ROW(Leverancer!$AO$115))*Leverancer!AZ$143/1000)</f>
        <v/>
      </c>
      <c r="Z139" s="128" t="str">
        <f ca="1">IF(Z$37="","",INDEX(Leverancer!BA$1:BA$1061,ROW()-ROW($Q$122) + ROW(Leverancer!$AO$115))*Leverancer!BA$143/1000)</f>
        <v/>
      </c>
      <c r="AA139" s="128" t="str">
        <f ca="1">IF(AA$37="","",INDEX(Leverancer!BB$1:BB$1061,ROW()-ROW($Q$122) + ROW(Leverancer!$AO$115))*Leverancer!BB$143/1000)</f>
        <v/>
      </c>
      <c r="AB139" s="128" t="str">
        <f ca="1">IF(AB$37="","",INDEX(Leverancer!BC$1:BC$1061,ROW()-ROW($Q$122) + ROW(Leverancer!$AO$115))*Leverancer!BC$143/1000)</f>
        <v/>
      </c>
      <c r="AC139" s="128" t="str">
        <f ca="1">IF(AC$37="","",INDEX(Leverancer!BD$1:BD$1061,ROW()-ROW($Q$122) + ROW(Leverancer!$AO$115))*Leverancer!BD$143/1000)</f>
        <v/>
      </c>
      <c r="AD139" s="128" t="str">
        <f ca="1">IF(AD$37="","",INDEX(Leverancer!BE$1:BE$1061,ROW()-ROW($Q$122) + ROW(Leverancer!$AO$115))*Leverancer!BE$143/1000)</f>
        <v/>
      </c>
      <c r="AE139" s="128" t="str">
        <f ca="1">IF(AE$37="","",INDEX(Leverancer!BF$1:BF$1061,ROW()-ROW($Q$122) + ROW(Leverancer!$AO$115))*Leverancer!BF$143/1000)</f>
        <v/>
      </c>
      <c r="AF139" s="128" t="str">
        <f ca="1">IF(AF$37="","",INDEX(Leverancer!BG$1:BG$1061,ROW()-ROW($Q$122) + ROW(Leverancer!$AO$115))*Leverancer!BG$143/1000)</f>
        <v/>
      </c>
      <c r="AG139" s="128" t="str">
        <f ca="1">IF(AG$37="","",INDEX(Leverancer!BH$1:BH$1061,ROW()-ROW($Q$122) + ROW(Leverancer!$AO$115))*Leverancer!BH$143/1000)</f>
        <v/>
      </c>
      <c r="AH139" s="128" t="str">
        <f ca="1">IF(AH$37="","",INDEX(Leverancer!BI$1:BI$1061,ROW()-ROW($Q$122) + ROW(Leverancer!$AO$115))*Leverancer!BI$143/1000)</f>
        <v/>
      </c>
      <c r="AI139" s="128" t="str">
        <f ca="1">IF(AI$37="","",INDEX(Leverancer!BJ$1:BJ$1061,ROW()-ROW($Q$122) + ROW(Leverancer!$AO$115))*Leverancer!BJ$143/1000)</f>
        <v/>
      </c>
      <c r="AJ139" s="128" t="str">
        <f ca="1">IF(AJ$37="","",INDEX(Leverancer!BK$1:BK$1061,ROW()-ROW($Q$122) + ROW(Leverancer!$AO$115))*Leverancer!BK$143/1000)</f>
        <v/>
      </c>
      <c r="AK139" s="128" t="str">
        <f ca="1">IF(AK$37="","",INDEX(Leverancer!BL$1:BL$1061,ROW()-ROW($Q$122) + ROW(Leverancer!$AO$115))*Leverancer!BL$143/1000)</f>
        <v/>
      </c>
      <c r="AL139" s="128" t="str">
        <f ca="1">IF(AL$37="","",INDEX(Leverancer!BM$1:BM$1061,ROW()-ROW($Q$122) + ROW(Leverancer!$AO$115))*Leverancer!BM$143/1000)</f>
        <v/>
      </c>
      <c r="AM139" s="128" t="str">
        <f ca="1">IF(AM$37="","",INDEX(Leverancer!BN$1:BN$1061,ROW()-ROW($Q$122) + ROW(Leverancer!$AO$115))*Leverancer!BN$143/1000)</f>
        <v/>
      </c>
      <c r="AN139" s="128" t="str">
        <f ca="1">IF(AN$37="","",INDEX(Leverancer!BO$1:BO$1061,ROW()-ROW($Q$122) + ROW(Leverancer!$AO$115))*Leverancer!BO$143/1000)</f>
        <v/>
      </c>
      <c r="AO139" s="128" t="str">
        <f ca="1">IF(AO$37="","",INDEX(Leverancer!BP$1:BP$1061,ROW()-ROW($Q$122) + ROW(Leverancer!$AO$115))*Leverancer!BP$143/1000)</f>
        <v/>
      </c>
      <c r="AP139" s="128" t="str">
        <f ca="1">IF(AP$37="","",INDEX(Leverancer!BQ$1:BQ$1061,ROW()-ROW($Q$122) + ROW(Leverancer!$AO$115))*Leverancer!BQ$143/1000)</f>
        <v/>
      </c>
      <c r="AQ139" s="128" t="str">
        <f ca="1">IF(AQ$37="","",INDEX(Leverancer!BR$1:BR$1061,ROW()-ROW($Q$122) + ROW(Leverancer!$AO$115))*Leverancer!BR$143/1000)</f>
        <v/>
      </c>
      <c r="AR139" s="128" t="str">
        <f ca="1">IF(AR$37="","",INDEX(Leverancer!BS$1:BS$1061,ROW()-ROW($Q$122) + ROW(Leverancer!$AO$115))*Leverancer!BS$143/1000)</f>
        <v/>
      </c>
      <c r="AS139" s="128" t="str">
        <f ca="1">IF(AS$37="","",INDEX(Leverancer!BT$1:BT$1061,ROW()-ROW($Q$122) + ROW(Leverancer!$AO$115))*Leverancer!BT$143/1000)</f>
        <v/>
      </c>
      <c r="AT139" s="128" t="str">
        <f ca="1">IF(AT$37="","",INDEX(Leverancer!BU$1:BU$1061,ROW()-ROW($Q$122) + ROW(Leverancer!$AO$115))*Leverancer!BU$143/1000)</f>
        <v/>
      </c>
      <c r="AU139" s="128" t="str">
        <f ca="1">IF(AU$37="","",INDEX(Leverancer!BV$1:BV$1061,ROW()-ROW($Q$122) + ROW(Leverancer!$AO$115))*Leverancer!BV$143/1000)</f>
        <v/>
      </c>
      <c r="AV139" s="128" t="str">
        <f ca="1">IF(AV$37="","",INDEX(Leverancer!BW$1:BW$1061,ROW()-ROW($Q$122) + ROW(Leverancer!$AO$115))*Leverancer!BW$143/1000)</f>
        <v/>
      </c>
      <c r="AW139" s="128" t="str">
        <f ca="1">IF(AW$37="","",INDEX(Leverancer!BX$1:BX$1061,ROW()-ROW($Q$122) + ROW(Leverancer!$AO$115))*Leverancer!BX$143/1000)</f>
        <v/>
      </c>
      <c r="AX139" s="104"/>
      <c r="AY139" s="104"/>
      <c r="AZ139" s="101"/>
    </row>
    <row r="140" spans="14:52" ht="12.75" hidden="1" customHeight="1" outlineLevel="1" x14ac:dyDescent="0.25">
      <c r="N140" s="99"/>
      <c r="O140" s="104"/>
      <c r="P140" s="104"/>
      <c r="Q140" s="130" t="str">
        <f>INDEX(Leverancer!$AO$1:$AO$1061,ROW()-ROW($Q$123) + ROW(Leverancer!$AO$116))&amp;": "&amp;INDEX(Leverancer!$AP$1:$AP$1061,ROW()-ROW($Q$123) + ROW(Leverancer!$AO$116))</f>
        <v xml:space="preserve">D18: </v>
      </c>
      <c r="R140" s="128"/>
      <c r="S140" s="158">
        <f t="shared" ca="1" si="16"/>
        <v>0</v>
      </c>
      <c r="T140" s="128">
        <f ca="1">IF(T$37="","",INDEX(Leverancer!AU$1:AU$1061,ROW()-ROW($Q$122) + ROW(Leverancer!$AO$115))*Leverancer!AU$143/1000)</f>
        <v>0</v>
      </c>
      <c r="U140" s="128">
        <f ca="1">IF(U$37="","",INDEX(Leverancer!AV$1:AV$1061,ROW()-ROW($Q$122) + ROW(Leverancer!$AO$115))*Leverancer!AV$143/1000)</f>
        <v>0</v>
      </c>
      <c r="V140" s="128">
        <f ca="1">IF(V$37="","",INDEX(Leverancer!AW$1:AW$1061,ROW()-ROW($Q$122) + ROW(Leverancer!$AO$115))*Leverancer!AW$143/1000)</f>
        <v>0</v>
      </c>
      <c r="W140" s="128">
        <f ca="1">IF(W$37="","",INDEX(Leverancer!AX$1:AX$1061,ROW()-ROW($Q$122) + ROW(Leverancer!$AO$115))*Leverancer!AX$143/1000)</f>
        <v>0</v>
      </c>
      <c r="X140" s="128" t="str">
        <f ca="1">IF(X$37="","",INDEX(Leverancer!AY$1:AY$1061,ROW()-ROW($Q$122) + ROW(Leverancer!$AO$115))*Leverancer!AY$143/1000)</f>
        <v/>
      </c>
      <c r="Y140" s="128" t="str">
        <f ca="1">IF(Y$37="","",INDEX(Leverancer!AZ$1:AZ$1061,ROW()-ROW($Q$122) + ROW(Leverancer!$AO$115))*Leverancer!AZ$143/1000)</f>
        <v/>
      </c>
      <c r="Z140" s="128" t="str">
        <f ca="1">IF(Z$37="","",INDEX(Leverancer!BA$1:BA$1061,ROW()-ROW($Q$122) + ROW(Leverancer!$AO$115))*Leverancer!BA$143/1000)</f>
        <v/>
      </c>
      <c r="AA140" s="128" t="str">
        <f ca="1">IF(AA$37="","",INDEX(Leverancer!BB$1:BB$1061,ROW()-ROW($Q$122) + ROW(Leverancer!$AO$115))*Leverancer!BB$143/1000)</f>
        <v/>
      </c>
      <c r="AB140" s="128" t="str">
        <f ca="1">IF(AB$37="","",INDEX(Leverancer!BC$1:BC$1061,ROW()-ROW($Q$122) + ROW(Leverancer!$AO$115))*Leverancer!BC$143/1000)</f>
        <v/>
      </c>
      <c r="AC140" s="128" t="str">
        <f ca="1">IF(AC$37="","",INDEX(Leverancer!BD$1:BD$1061,ROW()-ROW($Q$122) + ROW(Leverancer!$AO$115))*Leverancer!BD$143/1000)</f>
        <v/>
      </c>
      <c r="AD140" s="128" t="str">
        <f ca="1">IF(AD$37="","",INDEX(Leverancer!BE$1:BE$1061,ROW()-ROW($Q$122) + ROW(Leverancer!$AO$115))*Leverancer!BE$143/1000)</f>
        <v/>
      </c>
      <c r="AE140" s="128" t="str">
        <f ca="1">IF(AE$37="","",INDEX(Leverancer!BF$1:BF$1061,ROW()-ROW($Q$122) + ROW(Leverancer!$AO$115))*Leverancer!BF$143/1000)</f>
        <v/>
      </c>
      <c r="AF140" s="128" t="str">
        <f ca="1">IF(AF$37="","",INDEX(Leverancer!BG$1:BG$1061,ROW()-ROW($Q$122) + ROW(Leverancer!$AO$115))*Leverancer!BG$143/1000)</f>
        <v/>
      </c>
      <c r="AG140" s="128" t="str">
        <f ca="1">IF(AG$37="","",INDEX(Leverancer!BH$1:BH$1061,ROW()-ROW($Q$122) + ROW(Leverancer!$AO$115))*Leverancer!BH$143/1000)</f>
        <v/>
      </c>
      <c r="AH140" s="128" t="str">
        <f ca="1">IF(AH$37="","",INDEX(Leverancer!BI$1:BI$1061,ROW()-ROW($Q$122) + ROW(Leverancer!$AO$115))*Leverancer!BI$143/1000)</f>
        <v/>
      </c>
      <c r="AI140" s="128" t="str">
        <f ca="1">IF(AI$37="","",INDEX(Leverancer!BJ$1:BJ$1061,ROW()-ROW($Q$122) + ROW(Leverancer!$AO$115))*Leverancer!BJ$143/1000)</f>
        <v/>
      </c>
      <c r="AJ140" s="128" t="str">
        <f ca="1">IF(AJ$37="","",INDEX(Leverancer!BK$1:BK$1061,ROW()-ROW($Q$122) + ROW(Leverancer!$AO$115))*Leverancer!BK$143/1000)</f>
        <v/>
      </c>
      <c r="AK140" s="128" t="str">
        <f ca="1">IF(AK$37="","",INDEX(Leverancer!BL$1:BL$1061,ROW()-ROW($Q$122) + ROW(Leverancer!$AO$115))*Leverancer!BL$143/1000)</f>
        <v/>
      </c>
      <c r="AL140" s="128" t="str">
        <f ca="1">IF(AL$37="","",INDEX(Leverancer!BM$1:BM$1061,ROW()-ROW($Q$122) + ROW(Leverancer!$AO$115))*Leverancer!BM$143/1000)</f>
        <v/>
      </c>
      <c r="AM140" s="128" t="str">
        <f ca="1">IF(AM$37="","",INDEX(Leverancer!BN$1:BN$1061,ROW()-ROW($Q$122) + ROW(Leverancer!$AO$115))*Leverancer!BN$143/1000)</f>
        <v/>
      </c>
      <c r="AN140" s="128" t="str">
        <f ca="1">IF(AN$37="","",INDEX(Leverancer!BO$1:BO$1061,ROW()-ROW($Q$122) + ROW(Leverancer!$AO$115))*Leverancer!BO$143/1000)</f>
        <v/>
      </c>
      <c r="AO140" s="128" t="str">
        <f ca="1">IF(AO$37="","",INDEX(Leverancer!BP$1:BP$1061,ROW()-ROW($Q$122) + ROW(Leverancer!$AO$115))*Leverancer!BP$143/1000)</f>
        <v/>
      </c>
      <c r="AP140" s="128" t="str">
        <f ca="1">IF(AP$37="","",INDEX(Leverancer!BQ$1:BQ$1061,ROW()-ROW($Q$122) + ROW(Leverancer!$AO$115))*Leverancer!BQ$143/1000)</f>
        <v/>
      </c>
      <c r="AQ140" s="128" t="str">
        <f ca="1">IF(AQ$37="","",INDEX(Leverancer!BR$1:BR$1061,ROW()-ROW($Q$122) + ROW(Leverancer!$AO$115))*Leverancer!BR$143/1000)</f>
        <v/>
      </c>
      <c r="AR140" s="128" t="str">
        <f ca="1">IF(AR$37="","",INDEX(Leverancer!BS$1:BS$1061,ROW()-ROW($Q$122) + ROW(Leverancer!$AO$115))*Leverancer!BS$143/1000)</f>
        <v/>
      </c>
      <c r="AS140" s="128" t="str">
        <f ca="1">IF(AS$37="","",INDEX(Leverancer!BT$1:BT$1061,ROW()-ROW($Q$122) + ROW(Leverancer!$AO$115))*Leverancer!BT$143/1000)</f>
        <v/>
      </c>
      <c r="AT140" s="128" t="str">
        <f ca="1">IF(AT$37="","",INDEX(Leverancer!BU$1:BU$1061,ROW()-ROW($Q$122) + ROW(Leverancer!$AO$115))*Leverancer!BU$143/1000)</f>
        <v/>
      </c>
      <c r="AU140" s="128" t="str">
        <f ca="1">IF(AU$37="","",INDEX(Leverancer!BV$1:BV$1061,ROW()-ROW($Q$122) + ROW(Leverancer!$AO$115))*Leverancer!BV$143/1000)</f>
        <v/>
      </c>
      <c r="AV140" s="128" t="str">
        <f ca="1">IF(AV$37="","",INDEX(Leverancer!BW$1:BW$1061,ROW()-ROW($Q$122) + ROW(Leverancer!$AO$115))*Leverancer!BW$143/1000)</f>
        <v/>
      </c>
      <c r="AW140" s="128" t="str">
        <f ca="1">IF(AW$37="","",INDEX(Leverancer!BX$1:BX$1061,ROW()-ROW($Q$122) + ROW(Leverancer!$AO$115))*Leverancer!BX$143/1000)</f>
        <v/>
      </c>
      <c r="AX140" s="104"/>
      <c r="AY140" s="104"/>
      <c r="AZ140" s="101"/>
    </row>
    <row r="141" spans="14:52" ht="12.75" hidden="1" customHeight="1" outlineLevel="1" x14ac:dyDescent="0.25">
      <c r="N141" s="99"/>
      <c r="O141" s="104"/>
      <c r="P141" s="104"/>
      <c r="Q141" s="130" t="str">
        <f>INDEX(Leverancer!$AO$1:$AO$1061,ROW()-ROW($Q$123) + ROW(Leverancer!$AO$116))&amp;": "&amp;INDEX(Leverancer!$AP$1:$AP$1061,ROW()-ROW($Q$123) + ROW(Leverancer!$AO$116))</f>
        <v xml:space="preserve">D19: </v>
      </c>
      <c r="R141" s="128"/>
      <c r="S141" s="158">
        <f t="shared" ca="1" si="16"/>
        <v>0</v>
      </c>
      <c r="T141" s="128">
        <f ca="1">IF(T$37="","",INDEX(Leverancer!AU$1:AU$1061,ROW()-ROW($Q$122) + ROW(Leverancer!$AO$115))*Leverancer!AU$143/1000)</f>
        <v>0</v>
      </c>
      <c r="U141" s="128">
        <f ca="1">IF(U$37="","",INDEX(Leverancer!AV$1:AV$1061,ROW()-ROW($Q$122) + ROW(Leverancer!$AO$115))*Leverancer!AV$143/1000)</f>
        <v>0</v>
      </c>
      <c r="V141" s="128">
        <f ca="1">IF(V$37="","",INDEX(Leverancer!AW$1:AW$1061,ROW()-ROW($Q$122) + ROW(Leverancer!$AO$115))*Leverancer!AW$143/1000)</f>
        <v>0</v>
      </c>
      <c r="W141" s="128">
        <f ca="1">IF(W$37="","",INDEX(Leverancer!AX$1:AX$1061,ROW()-ROW($Q$122) + ROW(Leverancer!$AO$115))*Leverancer!AX$143/1000)</f>
        <v>0</v>
      </c>
      <c r="X141" s="128" t="str">
        <f ca="1">IF(X$37="","",INDEX(Leverancer!AY$1:AY$1061,ROW()-ROW($Q$122) + ROW(Leverancer!$AO$115))*Leverancer!AY$143/1000)</f>
        <v/>
      </c>
      <c r="Y141" s="128" t="str">
        <f ca="1">IF(Y$37="","",INDEX(Leverancer!AZ$1:AZ$1061,ROW()-ROW($Q$122) + ROW(Leverancer!$AO$115))*Leverancer!AZ$143/1000)</f>
        <v/>
      </c>
      <c r="Z141" s="128" t="str">
        <f ca="1">IF(Z$37="","",INDEX(Leverancer!BA$1:BA$1061,ROW()-ROW($Q$122) + ROW(Leverancer!$AO$115))*Leverancer!BA$143/1000)</f>
        <v/>
      </c>
      <c r="AA141" s="128" t="str">
        <f ca="1">IF(AA$37="","",INDEX(Leverancer!BB$1:BB$1061,ROW()-ROW($Q$122) + ROW(Leverancer!$AO$115))*Leverancer!BB$143/1000)</f>
        <v/>
      </c>
      <c r="AB141" s="128" t="str">
        <f ca="1">IF(AB$37="","",INDEX(Leverancer!BC$1:BC$1061,ROW()-ROW($Q$122) + ROW(Leverancer!$AO$115))*Leverancer!BC$143/1000)</f>
        <v/>
      </c>
      <c r="AC141" s="128" t="str">
        <f ca="1">IF(AC$37="","",INDEX(Leverancer!BD$1:BD$1061,ROW()-ROW($Q$122) + ROW(Leverancer!$AO$115))*Leverancer!BD$143/1000)</f>
        <v/>
      </c>
      <c r="AD141" s="128" t="str">
        <f ca="1">IF(AD$37="","",INDEX(Leverancer!BE$1:BE$1061,ROW()-ROW($Q$122) + ROW(Leverancer!$AO$115))*Leverancer!BE$143/1000)</f>
        <v/>
      </c>
      <c r="AE141" s="128" t="str">
        <f ca="1">IF(AE$37="","",INDEX(Leverancer!BF$1:BF$1061,ROW()-ROW($Q$122) + ROW(Leverancer!$AO$115))*Leverancer!BF$143/1000)</f>
        <v/>
      </c>
      <c r="AF141" s="128" t="str">
        <f ca="1">IF(AF$37="","",INDEX(Leverancer!BG$1:BG$1061,ROW()-ROW($Q$122) + ROW(Leverancer!$AO$115))*Leverancer!BG$143/1000)</f>
        <v/>
      </c>
      <c r="AG141" s="128" t="str">
        <f ca="1">IF(AG$37="","",INDEX(Leverancer!BH$1:BH$1061,ROW()-ROW($Q$122) + ROW(Leverancer!$AO$115))*Leverancer!BH$143/1000)</f>
        <v/>
      </c>
      <c r="AH141" s="128" t="str">
        <f ca="1">IF(AH$37="","",INDEX(Leverancer!BI$1:BI$1061,ROW()-ROW($Q$122) + ROW(Leverancer!$AO$115))*Leverancer!BI$143/1000)</f>
        <v/>
      </c>
      <c r="AI141" s="128" t="str">
        <f ca="1">IF(AI$37="","",INDEX(Leverancer!BJ$1:BJ$1061,ROW()-ROW($Q$122) + ROW(Leverancer!$AO$115))*Leverancer!BJ$143/1000)</f>
        <v/>
      </c>
      <c r="AJ141" s="128" t="str">
        <f ca="1">IF(AJ$37="","",INDEX(Leverancer!BK$1:BK$1061,ROW()-ROW($Q$122) + ROW(Leverancer!$AO$115))*Leverancer!BK$143/1000)</f>
        <v/>
      </c>
      <c r="AK141" s="128" t="str">
        <f ca="1">IF(AK$37="","",INDEX(Leverancer!BL$1:BL$1061,ROW()-ROW($Q$122) + ROW(Leverancer!$AO$115))*Leverancer!BL$143/1000)</f>
        <v/>
      </c>
      <c r="AL141" s="128" t="str">
        <f ca="1">IF(AL$37="","",INDEX(Leverancer!BM$1:BM$1061,ROW()-ROW($Q$122) + ROW(Leverancer!$AO$115))*Leverancer!BM$143/1000)</f>
        <v/>
      </c>
      <c r="AM141" s="128" t="str">
        <f ca="1">IF(AM$37="","",INDEX(Leverancer!BN$1:BN$1061,ROW()-ROW($Q$122) + ROW(Leverancer!$AO$115))*Leverancer!BN$143/1000)</f>
        <v/>
      </c>
      <c r="AN141" s="128" t="str">
        <f ca="1">IF(AN$37="","",INDEX(Leverancer!BO$1:BO$1061,ROW()-ROW($Q$122) + ROW(Leverancer!$AO$115))*Leverancer!BO$143/1000)</f>
        <v/>
      </c>
      <c r="AO141" s="128" t="str">
        <f ca="1">IF(AO$37="","",INDEX(Leverancer!BP$1:BP$1061,ROW()-ROW($Q$122) + ROW(Leverancer!$AO$115))*Leverancer!BP$143/1000)</f>
        <v/>
      </c>
      <c r="AP141" s="128" t="str">
        <f ca="1">IF(AP$37="","",INDEX(Leverancer!BQ$1:BQ$1061,ROW()-ROW($Q$122) + ROW(Leverancer!$AO$115))*Leverancer!BQ$143/1000)</f>
        <v/>
      </c>
      <c r="AQ141" s="128" t="str">
        <f ca="1">IF(AQ$37="","",INDEX(Leverancer!BR$1:BR$1061,ROW()-ROW($Q$122) + ROW(Leverancer!$AO$115))*Leverancer!BR$143/1000)</f>
        <v/>
      </c>
      <c r="AR141" s="128" t="str">
        <f ca="1">IF(AR$37="","",INDEX(Leverancer!BS$1:BS$1061,ROW()-ROW($Q$122) + ROW(Leverancer!$AO$115))*Leverancer!BS$143/1000)</f>
        <v/>
      </c>
      <c r="AS141" s="128" t="str">
        <f ca="1">IF(AS$37="","",INDEX(Leverancer!BT$1:BT$1061,ROW()-ROW($Q$122) + ROW(Leverancer!$AO$115))*Leverancer!BT$143/1000)</f>
        <v/>
      </c>
      <c r="AT141" s="128" t="str">
        <f ca="1">IF(AT$37="","",INDEX(Leverancer!BU$1:BU$1061,ROW()-ROW($Q$122) + ROW(Leverancer!$AO$115))*Leverancer!BU$143/1000)</f>
        <v/>
      </c>
      <c r="AU141" s="128" t="str">
        <f ca="1">IF(AU$37="","",INDEX(Leverancer!BV$1:BV$1061,ROW()-ROW($Q$122) + ROW(Leverancer!$AO$115))*Leverancer!BV$143/1000)</f>
        <v/>
      </c>
      <c r="AV141" s="128" t="str">
        <f ca="1">IF(AV$37="","",INDEX(Leverancer!BW$1:BW$1061,ROW()-ROW($Q$122) + ROW(Leverancer!$AO$115))*Leverancer!BW$143/1000)</f>
        <v/>
      </c>
      <c r="AW141" s="128" t="str">
        <f ca="1">IF(AW$37="","",INDEX(Leverancer!BX$1:BX$1061,ROW()-ROW($Q$122) + ROW(Leverancer!$AO$115))*Leverancer!BX$143/1000)</f>
        <v/>
      </c>
      <c r="AX141" s="104"/>
      <c r="AY141" s="104"/>
      <c r="AZ141" s="101"/>
    </row>
    <row r="142" spans="14:52" ht="12.75" hidden="1" customHeight="1" outlineLevel="1" x14ac:dyDescent="0.25">
      <c r="N142" s="99"/>
      <c r="O142" s="104"/>
      <c r="P142" s="104"/>
      <c r="Q142" s="130" t="str">
        <f>INDEX(Leverancer!$AO$1:$AO$1061,ROW()-ROW($Q$123) + ROW(Leverancer!$AO$116))&amp;": "&amp;INDEX(Leverancer!$AP$1:$AP$1061,ROW()-ROW($Q$123) + ROW(Leverancer!$AO$116))</f>
        <v xml:space="preserve">D20: </v>
      </c>
      <c r="R142" s="128"/>
      <c r="S142" s="158">
        <f t="shared" ca="1" si="16"/>
        <v>0</v>
      </c>
      <c r="T142" s="128">
        <f ca="1">IF(T$37="","",INDEX(Leverancer!AU$1:AU$1061,ROW()-ROW($Q$122) + ROW(Leverancer!$AO$115))*Leverancer!AU$143/1000)</f>
        <v>0</v>
      </c>
      <c r="U142" s="128">
        <f ca="1">IF(U$37="","",INDEX(Leverancer!AV$1:AV$1061,ROW()-ROW($Q$122) + ROW(Leverancer!$AO$115))*Leverancer!AV$143/1000)</f>
        <v>0</v>
      </c>
      <c r="V142" s="128">
        <f ca="1">IF(V$37="","",INDEX(Leverancer!AW$1:AW$1061,ROW()-ROW($Q$122) + ROW(Leverancer!$AO$115))*Leverancer!AW$143/1000)</f>
        <v>0</v>
      </c>
      <c r="W142" s="128">
        <f ca="1">IF(W$37="","",INDEX(Leverancer!AX$1:AX$1061,ROW()-ROW($Q$122) + ROW(Leverancer!$AO$115))*Leverancer!AX$143/1000)</f>
        <v>0</v>
      </c>
      <c r="X142" s="128" t="str">
        <f ca="1">IF(X$37="","",INDEX(Leverancer!AY$1:AY$1061,ROW()-ROW($Q$122) + ROW(Leverancer!$AO$115))*Leverancer!AY$143/1000)</f>
        <v/>
      </c>
      <c r="Y142" s="128" t="str">
        <f ca="1">IF(Y$37="","",INDEX(Leverancer!AZ$1:AZ$1061,ROW()-ROW($Q$122) + ROW(Leverancer!$AO$115))*Leverancer!AZ$143/1000)</f>
        <v/>
      </c>
      <c r="Z142" s="128" t="str">
        <f ca="1">IF(Z$37="","",INDEX(Leverancer!BA$1:BA$1061,ROW()-ROW($Q$122) + ROW(Leverancer!$AO$115))*Leverancer!BA$143/1000)</f>
        <v/>
      </c>
      <c r="AA142" s="128" t="str">
        <f ca="1">IF(AA$37="","",INDEX(Leverancer!BB$1:BB$1061,ROW()-ROW($Q$122) + ROW(Leverancer!$AO$115))*Leverancer!BB$143/1000)</f>
        <v/>
      </c>
      <c r="AB142" s="128" t="str">
        <f ca="1">IF(AB$37="","",INDEX(Leverancer!BC$1:BC$1061,ROW()-ROW($Q$122) + ROW(Leverancer!$AO$115))*Leverancer!BC$143/1000)</f>
        <v/>
      </c>
      <c r="AC142" s="128" t="str">
        <f ca="1">IF(AC$37="","",INDEX(Leverancer!BD$1:BD$1061,ROW()-ROW($Q$122) + ROW(Leverancer!$AO$115))*Leverancer!BD$143/1000)</f>
        <v/>
      </c>
      <c r="AD142" s="128" t="str">
        <f ca="1">IF(AD$37="","",INDEX(Leverancer!BE$1:BE$1061,ROW()-ROW($Q$122) + ROW(Leverancer!$AO$115))*Leverancer!BE$143/1000)</f>
        <v/>
      </c>
      <c r="AE142" s="128" t="str">
        <f ca="1">IF(AE$37="","",INDEX(Leverancer!BF$1:BF$1061,ROW()-ROW($Q$122) + ROW(Leverancer!$AO$115))*Leverancer!BF$143/1000)</f>
        <v/>
      </c>
      <c r="AF142" s="128" t="str">
        <f ca="1">IF(AF$37="","",INDEX(Leverancer!BG$1:BG$1061,ROW()-ROW($Q$122) + ROW(Leverancer!$AO$115))*Leverancer!BG$143/1000)</f>
        <v/>
      </c>
      <c r="AG142" s="128" t="str">
        <f ca="1">IF(AG$37="","",INDEX(Leverancer!BH$1:BH$1061,ROW()-ROW($Q$122) + ROW(Leverancer!$AO$115))*Leverancer!BH$143/1000)</f>
        <v/>
      </c>
      <c r="AH142" s="128" t="str">
        <f ca="1">IF(AH$37="","",INDEX(Leverancer!BI$1:BI$1061,ROW()-ROW($Q$122) + ROW(Leverancer!$AO$115))*Leverancer!BI$143/1000)</f>
        <v/>
      </c>
      <c r="AI142" s="128" t="str">
        <f ca="1">IF(AI$37="","",INDEX(Leverancer!BJ$1:BJ$1061,ROW()-ROW($Q$122) + ROW(Leverancer!$AO$115))*Leverancer!BJ$143/1000)</f>
        <v/>
      </c>
      <c r="AJ142" s="128" t="str">
        <f ca="1">IF(AJ$37="","",INDEX(Leverancer!BK$1:BK$1061,ROW()-ROW($Q$122) + ROW(Leverancer!$AO$115))*Leverancer!BK$143/1000)</f>
        <v/>
      </c>
      <c r="AK142" s="128" t="str">
        <f ca="1">IF(AK$37="","",INDEX(Leverancer!BL$1:BL$1061,ROW()-ROW($Q$122) + ROW(Leverancer!$AO$115))*Leverancer!BL$143/1000)</f>
        <v/>
      </c>
      <c r="AL142" s="128" t="str">
        <f ca="1">IF(AL$37="","",INDEX(Leverancer!BM$1:BM$1061,ROW()-ROW($Q$122) + ROW(Leverancer!$AO$115))*Leverancer!BM$143/1000)</f>
        <v/>
      </c>
      <c r="AM142" s="128" t="str">
        <f ca="1">IF(AM$37="","",INDEX(Leverancer!BN$1:BN$1061,ROW()-ROW($Q$122) + ROW(Leverancer!$AO$115))*Leverancer!BN$143/1000)</f>
        <v/>
      </c>
      <c r="AN142" s="128" t="str">
        <f ca="1">IF(AN$37="","",INDEX(Leverancer!BO$1:BO$1061,ROW()-ROW($Q$122) + ROW(Leverancer!$AO$115))*Leverancer!BO$143/1000)</f>
        <v/>
      </c>
      <c r="AO142" s="128" t="str">
        <f ca="1">IF(AO$37="","",INDEX(Leverancer!BP$1:BP$1061,ROW()-ROW($Q$122) + ROW(Leverancer!$AO$115))*Leverancer!BP$143/1000)</f>
        <v/>
      </c>
      <c r="AP142" s="128" t="str">
        <f ca="1">IF(AP$37="","",INDEX(Leverancer!BQ$1:BQ$1061,ROW()-ROW($Q$122) + ROW(Leverancer!$AO$115))*Leverancer!BQ$143/1000)</f>
        <v/>
      </c>
      <c r="AQ142" s="128" t="str">
        <f ca="1">IF(AQ$37="","",INDEX(Leverancer!BR$1:BR$1061,ROW()-ROW($Q$122) + ROW(Leverancer!$AO$115))*Leverancer!BR$143/1000)</f>
        <v/>
      </c>
      <c r="AR142" s="128" t="str">
        <f ca="1">IF(AR$37="","",INDEX(Leverancer!BS$1:BS$1061,ROW()-ROW($Q$122) + ROW(Leverancer!$AO$115))*Leverancer!BS$143/1000)</f>
        <v/>
      </c>
      <c r="AS142" s="128" t="str">
        <f ca="1">IF(AS$37="","",INDEX(Leverancer!BT$1:BT$1061,ROW()-ROW($Q$122) + ROW(Leverancer!$AO$115))*Leverancer!BT$143/1000)</f>
        <v/>
      </c>
      <c r="AT142" s="128" t="str">
        <f ca="1">IF(AT$37="","",INDEX(Leverancer!BU$1:BU$1061,ROW()-ROW($Q$122) + ROW(Leverancer!$AO$115))*Leverancer!BU$143/1000)</f>
        <v/>
      </c>
      <c r="AU142" s="128" t="str">
        <f ca="1">IF(AU$37="","",INDEX(Leverancer!BV$1:BV$1061,ROW()-ROW($Q$122) + ROW(Leverancer!$AO$115))*Leverancer!BV$143/1000)</f>
        <v/>
      </c>
      <c r="AV142" s="128" t="str">
        <f ca="1">IF(AV$37="","",INDEX(Leverancer!BW$1:BW$1061,ROW()-ROW($Q$122) + ROW(Leverancer!$AO$115))*Leverancer!BW$143/1000)</f>
        <v/>
      </c>
      <c r="AW142" s="128" t="str">
        <f ca="1">IF(AW$37="","",INDEX(Leverancer!BX$1:BX$1061,ROW()-ROW($Q$122) + ROW(Leverancer!$AO$115))*Leverancer!BX$143/1000)</f>
        <v/>
      </c>
      <c r="AX142" s="104"/>
      <c r="AY142" s="104"/>
      <c r="AZ142" s="101"/>
    </row>
    <row r="143" spans="14:52" ht="12.75" customHeight="1" collapsed="1" x14ac:dyDescent="0.25">
      <c r="N143" s="99"/>
      <c r="O143" s="104"/>
      <c r="P143" s="104"/>
      <c r="Q143" s="156" t="str">
        <f>INDEX(g_lang_val,MATCH("le_2_2",g_lang_key,0))</f>
        <v xml:space="preserve">Total </v>
      </c>
      <c r="R143" s="155"/>
      <c r="S143" s="158">
        <f ca="1">SUM(T143:BG143)</f>
        <v>0</v>
      </c>
      <c r="T143" s="155">
        <f ca="1">IF(T$37="","",SUM(T123:T142))</f>
        <v>0</v>
      </c>
      <c r="U143" s="155">
        <f t="shared" ref="U143:Z143" ca="1" si="17">IF(U$37="","",SUM(U123:U142))</f>
        <v>0</v>
      </c>
      <c r="V143" s="155">
        <f t="shared" ca="1" si="17"/>
        <v>0</v>
      </c>
      <c r="W143" s="155">
        <f t="shared" ca="1" si="17"/>
        <v>0</v>
      </c>
      <c r="X143" s="155" t="str">
        <f t="shared" ca="1" si="17"/>
        <v/>
      </c>
      <c r="Y143" s="155" t="str">
        <f t="shared" ca="1" si="17"/>
        <v/>
      </c>
      <c r="Z143" s="155" t="str">
        <f t="shared" ca="1" si="17"/>
        <v/>
      </c>
      <c r="AA143" s="155" t="str">
        <f t="shared" ref="AA143:AW143" ca="1" si="18">IF(AA$37="","",SUM(AA123:AA142))</f>
        <v/>
      </c>
      <c r="AB143" s="155" t="str">
        <f t="shared" ca="1" si="18"/>
        <v/>
      </c>
      <c r="AC143" s="155" t="str">
        <f t="shared" ca="1" si="18"/>
        <v/>
      </c>
      <c r="AD143" s="155" t="str">
        <f t="shared" ca="1" si="18"/>
        <v/>
      </c>
      <c r="AE143" s="155" t="str">
        <f t="shared" ca="1" si="18"/>
        <v/>
      </c>
      <c r="AF143" s="155" t="str">
        <f t="shared" ca="1" si="18"/>
        <v/>
      </c>
      <c r="AG143" s="155" t="str">
        <f t="shared" ca="1" si="18"/>
        <v/>
      </c>
      <c r="AH143" s="155" t="str">
        <f t="shared" ca="1" si="18"/>
        <v/>
      </c>
      <c r="AI143" s="155" t="str">
        <f t="shared" ca="1" si="18"/>
        <v/>
      </c>
      <c r="AJ143" s="155" t="str">
        <f t="shared" ca="1" si="18"/>
        <v/>
      </c>
      <c r="AK143" s="155" t="str">
        <f t="shared" ca="1" si="18"/>
        <v/>
      </c>
      <c r="AL143" s="155" t="str">
        <f t="shared" ca="1" si="18"/>
        <v/>
      </c>
      <c r="AM143" s="155" t="str">
        <f t="shared" ca="1" si="18"/>
        <v/>
      </c>
      <c r="AN143" s="155" t="str">
        <f t="shared" ca="1" si="18"/>
        <v/>
      </c>
      <c r="AO143" s="155" t="str">
        <f t="shared" ca="1" si="18"/>
        <v/>
      </c>
      <c r="AP143" s="155" t="str">
        <f t="shared" ca="1" si="18"/>
        <v/>
      </c>
      <c r="AQ143" s="155" t="str">
        <f t="shared" ca="1" si="18"/>
        <v/>
      </c>
      <c r="AR143" s="155" t="str">
        <f t="shared" ca="1" si="18"/>
        <v/>
      </c>
      <c r="AS143" s="155" t="str">
        <f t="shared" ca="1" si="18"/>
        <v/>
      </c>
      <c r="AT143" s="155" t="str">
        <f t="shared" ca="1" si="18"/>
        <v/>
      </c>
      <c r="AU143" s="155" t="str">
        <f t="shared" ca="1" si="18"/>
        <v/>
      </c>
      <c r="AV143" s="155" t="str">
        <f t="shared" ca="1" si="18"/>
        <v/>
      </c>
      <c r="AW143" s="155" t="str">
        <f t="shared" ca="1" si="18"/>
        <v/>
      </c>
      <c r="AX143" s="104"/>
      <c r="AY143" s="104"/>
      <c r="AZ143" s="101"/>
    </row>
    <row r="144" spans="14:52" ht="12.75" customHeight="1" x14ac:dyDescent="0.3">
      <c r="N144" s="99"/>
      <c r="O144" s="116"/>
      <c r="P144" s="116"/>
      <c r="Q144" s="116"/>
      <c r="R144" s="116"/>
      <c r="S144" s="116"/>
      <c r="T144" s="116"/>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6"/>
      <c r="AY144" s="116"/>
      <c r="AZ144" s="101"/>
    </row>
    <row r="145" spans="3:52" ht="25.5" customHeight="1" thickBot="1" x14ac:dyDescent="0.35">
      <c r="N145" s="118"/>
      <c r="O145" s="119"/>
      <c r="P145" s="119"/>
      <c r="Q145" s="119"/>
      <c r="R145" s="119"/>
      <c r="S145" s="119"/>
      <c r="T145" s="119"/>
      <c r="U145" s="119"/>
      <c r="V145" s="119"/>
      <c r="W145" s="119"/>
      <c r="X145" s="119"/>
      <c r="Y145" s="119"/>
      <c r="Z145" s="119"/>
      <c r="AA145" s="119"/>
      <c r="AB145" s="119"/>
      <c r="AC145" s="119"/>
      <c r="AD145" s="119"/>
      <c r="AE145" s="119"/>
      <c r="AF145" s="119"/>
      <c r="AG145" s="119"/>
      <c r="AH145" s="119"/>
      <c r="AI145" s="119"/>
      <c r="AJ145" s="119"/>
      <c r="AK145" s="119"/>
      <c r="AL145" s="119"/>
      <c r="AM145" s="119"/>
      <c r="AN145" s="119"/>
      <c r="AO145" s="119"/>
      <c r="AP145" s="119"/>
      <c r="AQ145" s="119"/>
      <c r="AR145" s="119"/>
      <c r="AS145" s="119"/>
      <c r="AT145" s="119"/>
      <c r="AU145" s="119"/>
      <c r="AV145" s="119"/>
      <c r="AW145" s="119"/>
      <c r="AX145" s="119"/>
      <c r="AY145" s="119"/>
      <c r="AZ145" s="120"/>
    </row>
    <row r="146" spans="3:52" ht="32.25" customHeight="1" thickTop="1" x14ac:dyDescent="0.3">
      <c r="N146" s="253" t="str">
        <f>INDEX(g_lang_val,MATCH("tb_2_4",g_lang_key,0))</f>
        <v>Afskrivningsprofiler</v>
      </c>
      <c r="O146" s="254"/>
      <c r="P146" s="254"/>
      <c r="Q146" s="254"/>
      <c r="R146" s="254"/>
      <c r="S146" s="254"/>
      <c r="T146" s="254"/>
      <c r="U146" s="254"/>
      <c r="V146" s="254"/>
      <c r="W146" s="254"/>
      <c r="X146" s="254"/>
      <c r="Y146" s="254"/>
      <c r="Z146" s="254"/>
      <c r="AA146" s="254"/>
      <c r="AB146" s="254"/>
      <c r="AC146" s="254"/>
      <c r="AD146" s="254"/>
      <c r="AE146" s="254"/>
      <c r="AF146" s="254"/>
      <c r="AG146" s="254"/>
      <c r="AH146" s="254"/>
      <c r="AI146" s="254"/>
      <c r="AJ146" s="254"/>
      <c r="AK146" s="254"/>
      <c r="AL146" s="254"/>
      <c r="AM146" s="254"/>
      <c r="AN146" s="254"/>
      <c r="AO146" s="254"/>
      <c r="AP146" s="254"/>
      <c r="AQ146" s="254"/>
      <c r="AR146" s="254"/>
      <c r="AS146" s="254"/>
      <c r="AT146" s="254"/>
      <c r="AU146" s="254"/>
      <c r="AV146" s="254"/>
      <c r="AW146" s="254"/>
      <c r="AX146" s="254"/>
      <c r="AY146" s="254"/>
      <c r="AZ146" s="255"/>
    </row>
    <row r="147" spans="3:52" ht="12.75" customHeight="1" x14ac:dyDescent="0.3">
      <c r="N147" s="99"/>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1"/>
    </row>
    <row r="148" spans="3:52" ht="22.9" customHeight="1" x14ac:dyDescent="0.3">
      <c r="N148" s="99"/>
      <c r="O148" s="102"/>
      <c r="P148" s="102"/>
      <c r="Q148" s="121" t="str">
        <f>INDEX(g_lang_val,MATCH("tb_1_1",g_lang_key,0)) &amp; " 5"</f>
        <v>Tabel 5</v>
      </c>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t="s">
        <v>117</v>
      </c>
      <c r="AM148" s="102"/>
      <c r="AN148" s="102"/>
      <c r="AO148" s="102"/>
      <c r="AP148" s="102"/>
      <c r="AQ148" s="102"/>
      <c r="AR148" s="102"/>
      <c r="AS148" s="102"/>
      <c r="AT148" s="102"/>
      <c r="AU148" s="102"/>
      <c r="AV148" s="102"/>
      <c r="AW148" s="102"/>
      <c r="AX148" s="102"/>
      <c r="AY148" s="102"/>
      <c r="AZ148" s="101"/>
    </row>
    <row r="149" spans="3:52" ht="31.15" customHeight="1" x14ac:dyDescent="0.3">
      <c r="N149" s="99"/>
      <c r="O149" s="104"/>
      <c r="P149" s="104"/>
      <c r="Q149" s="122" t="str">
        <f>INDEX(g_lang_val,MATCH("tb_2_4",g_lang_key,0))</f>
        <v>Afskrivningsprofiler</v>
      </c>
      <c r="R149" s="104"/>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c r="AY149" s="104"/>
      <c r="AZ149" s="101"/>
    </row>
    <row r="150" spans="3:52" ht="12.75" customHeight="1" thickBot="1" x14ac:dyDescent="0.3">
      <c r="N150" s="99"/>
      <c r="O150" s="104"/>
      <c r="P150" s="104"/>
      <c r="Q150" s="107" t="str">
        <f ca="1">INDEX(g_lang_val,MATCH("tb_1_1_1_1",g_lang_key,0)) &amp;g_reporting_year&amp;INDEX(g_lang_val,MATCH("tb_1_1_1_2",g_lang_key,0))</f>
        <v>Mio. kr. 2025-pl</v>
      </c>
      <c r="R150" s="123"/>
      <c r="S150" s="108" t="str">
        <f>INDEX(g_lang_val,MATCH("le_2_2",g_lang_key,0))</f>
        <v xml:space="preserve">Total </v>
      </c>
      <c r="T150" s="124">
        <f ca="1">Leverancer!AU114</f>
        <v>2025</v>
      </c>
      <c r="U150" s="124">
        <f ca="1">Leverancer!AV114</f>
        <v>2026</v>
      </c>
      <c r="V150" s="124">
        <f ca="1">Leverancer!AW114</f>
        <v>2027</v>
      </c>
      <c r="W150" s="124">
        <f ca="1">Leverancer!AX114</f>
        <v>2028</v>
      </c>
      <c r="X150" s="124" t="str">
        <f ca="1">Leverancer!AY114</f>
        <v/>
      </c>
      <c r="Y150" s="124" t="str">
        <f ca="1">Leverancer!AZ114</f>
        <v/>
      </c>
      <c r="Z150" s="124" t="str">
        <f ca="1">Leverancer!BA114</f>
        <v/>
      </c>
      <c r="AA150" s="124" t="str">
        <f ca="1">Leverancer!BB114</f>
        <v/>
      </c>
      <c r="AB150" s="124" t="str">
        <f ca="1">Leverancer!BC114</f>
        <v/>
      </c>
      <c r="AC150" s="124" t="str">
        <f ca="1">Leverancer!BD114</f>
        <v/>
      </c>
      <c r="AD150" s="124" t="str">
        <f ca="1">Leverancer!BE114</f>
        <v/>
      </c>
      <c r="AE150" s="124" t="str">
        <f ca="1">Leverancer!BF114</f>
        <v/>
      </c>
      <c r="AF150" s="124" t="str">
        <f ca="1">Leverancer!BG114</f>
        <v/>
      </c>
      <c r="AG150" s="124" t="str">
        <f ca="1">Leverancer!BH114</f>
        <v/>
      </c>
      <c r="AH150" s="124" t="str">
        <f ca="1">Leverancer!BI114</f>
        <v/>
      </c>
      <c r="AI150" s="124" t="str">
        <f ca="1">Leverancer!BJ114</f>
        <v/>
      </c>
      <c r="AJ150" s="124" t="str">
        <f ca="1">Leverancer!BK114</f>
        <v/>
      </c>
      <c r="AK150" s="124" t="str">
        <f ca="1">Leverancer!BL114</f>
        <v/>
      </c>
      <c r="AL150" s="124" t="str">
        <f ca="1">Leverancer!BM114</f>
        <v/>
      </c>
      <c r="AM150" s="124" t="str">
        <f ca="1">Leverancer!BN114</f>
        <v/>
      </c>
      <c r="AN150" s="124" t="str">
        <f ca="1">Leverancer!BO114</f>
        <v/>
      </c>
      <c r="AO150" s="124" t="str">
        <f ca="1">Leverancer!BP114</f>
        <v/>
      </c>
      <c r="AP150" s="124" t="str">
        <f ca="1">Leverancer!BQ114</f>
        <v/>
      </c>
      <c r="AQ150" s="124" t="str">
        <f ca="1">Leverancer!BR114</f>
        <v/>
      </c>
      <c r="AR150" s="124" t="str">
        <f ca="1">Leverancer!BS114</f>
        <v/>
      </c>
      <c r="AS150" s="124" t="str">
        <f ca="1">Leverancer!BT114</f>
        <v/>
      </c>
      <c r="AT150" s="124" t="str">
        <f ca="1">Leverancer!BU114</f>
        <v/>
      </c>
      <c r="AU150" s="124" t="str">
        <f ca="1">Leverancer!BV114</f>
        <v/>
      </c>
      <c r="AV150" s="124" t="str">
        <f ca="1">Leverancer!BW114</f>
        <v/>
      </c>
      <c r="AW150" s="124" t="str">
        <f ca="1">Leverancer!BX114</f>
        <v/>
      </c>
      <c r="AX150" s="104"/>
      <c r="AY150" s="104"/>
      <c r="AZ150" s="101"/>
    </row>
    <row r="151" spans="3:52" ht="12.75" customHeight="1" thickTop="1" x14ac:dyDescent="0.25">
      <c r="N151" s="99"/>
      <c r="O151" s="104"/>
      <c r="P151" s="104"/>
      <c r="Q151" s="132" t="str">
        <f>INDEX(g_assets_sc_1,3)</f>
        <v/>
      </c>
      <c r="R151" s="132"/>
      <c r="S151" s="127"/>
      <c r="T151" s="139">
        <f ca="1">T$150</f>
        <v>2025</v>
      </c>
      <c r="U151" s="139">
        <f t="shared" ref="U151:AW151" ca="1" si="19">U$150</f>
        <v>2026</v>
      </c>
      <c r="V151" s="139">
        <f t="shared" ca="1" si="19"/>
        <v>2027</v>
      </c>
      <c r="W151" s="139">
        <f t="shared" ca="1" si="19"/>
        <v>2028</v>
      </c>
      <c r="X151" s="139" t="str">
        <f t="shared" ca="1" si="19"/>
        <v/>
      </c>
      <c r="Y151" s="139" t="str">
        <f t="shared" ca="1" si="19"/>
        <v/>
      </c>
      <c r="Z151" s="139" t="str">
        <f t="shared" ca="1" si="19"/>
        <v/>
      </c>
      <c r="AA151" s="139" t="str">
        <f t="shared" ca="1" si="19"/>
        <v/>
      </c>
      <c r="AB151" s="139" t="str">
        <f t="shared" ca="1" si="19"/>
        <v/>
      </c>
      <c r="AC151" s="139" t="str">
        <f t="shared" ca="1" si="19"/>
        <v/>
      </c>
      <c r="AD151" s="139" t="str">
        <f t="shared" ca="1" si="19"/>
        <v/>
      </c>
      <c r="AE151" s="139" t="str">
        <f t="shared" ca="1" si="19"/>
        <v/>
      </c>
      <c r="AF151" s="139" t="str">
        <f t="shared" ca="1" si="19"/>
        <v/>
      </c>
      <c r="AG151" s="139" t="str">
        <f t="shared" ca="1" si="19"/>
        <v/>
      </c>
      <c r="AH151" s="139" t="str">
        <f t="shared" ca="1" si="19"/>
        <v/>
      </c>
      <c r="AI151" s="139" t="str">
        <f t="shared" ca="1" si="19"/>
        <v/>
      </c>
      <c r="AJ151" s="139" t="str">
        <f t="shared" ca="1" si="19"/>
        <v/>
      </c>
      <c r="AK151" s="139" t="str">
        <f t="shared" ca="1" si="19"/>
        <v/>
      </c>
      <c r="AL151" s="139" t="str">
        <f t="shared" ca="1" si="19"/>
        <v/>
      </c>
      <c r="AM151" s="139" t="str">
        <f t="shared" ca="1" si="19"/>
        <v/>
      </c>
      <c r="AN151" s="139" t="str">
        <f t="shared" ca="1" si="19"/>
        <v/>
      </c>
      <c r="AO151" s="139" t="str">
        <f t="shared" ca="1" si="19"/>
        <v/>
      </c>
      <c r="AP151" s="139" t="str">
        <f t="shared" ca="1" si="19"/>
        <v/>
      </c>
      <c r="AQ151" s="139" t="str">
        <f t="shared" ca="1" si="19"/>
        <v/>
      </c>
      <c r="AR151" s="139" t="str">
        <f t="shared" ca="1" si="19"/>
        <v/>
      </c>
      <c r="AS151" s="139" t="str">
        <f t="shared" ca="1" si="19"/>
        <v/>
      </c>
      <c r="AT151" s="139" t="str">
        <f t="shared" ca="1" si="19"/>
        <v/>
      </c>
      <c r="AU151" s="139" t="str">
        <f t="shared" ca="1" si="19"/>
        <v/>
      </c>
      <c r="AV151" s="139" t="str">
        <f t="shared" ca="1" si="19"/>
        <v/>
      </c>
      <c r="AW151" s="139" t="str">
        <f t="shared" ca="1" si="19"/>
        <v/>
      </c>
      <c r="AX151" s="104"/>
      <c r="AY151" s="104"/>
      <c r="AZ151" s="101"/>
    </row>
    <row r="152" spans="3:52" ht="12.75" customHeight="1" x14ac:dyDescent="0.25">
      <c r="C152" s="140">
        <f>INDEX(g_sc_1_assets_dates,G152)</f>
        <v>0</v>
      </c>
      <c r="G152" s="141">
        <v>1</v>
      </c>
      <c r="N152" s="99"/>
      <c r="O152" s="104"/>
      <c r="P152" s="104"/>
      <c r="Q152" s="129" t="str">
        <f>INDEX(g_lang_val,MATCH("tb_2_4_1",g_lang_key,0))</f>
        <v>Køb af anlægsaktiver</v>
      </c>
      <c r="R152" s="130"/>
      <c r="S152" s="133">
        <f ca="1">SUM(T152:BG152)</f>
        <v>0</v>
      </c>
      <c r="T152" s="128">
        <f ca="1">IF(T151="","",SUMPRODUCT(--(Leverancer!$C$28:$C$88=($G152+2)),Leverancer!D$28:D$88)/1000)</f>
        <v>0</v>
      </c>
      <c r="U152" s="128">
        <f ca="1">IF(U151="","",SUMPRODUCT(--(Leverancer!$C$28:$C$88=($G152+2)),Leverancer!E$28:E$88)/1000)</f>
        <v>0</v>
      </c>
      <c r="V152" s="128">
        <f ca="1">IF(V151="","",SUMPRODUCT(--(Leverancer!$C$28:$C$88=($G152+2)),Leverancer!F$28:F$88)/1000)</f>
        <v>0</v>
      </c>
      <c r="W152" s="128">
        <f ca="1">IF(W151="","",SUMPRODUCT(--(Leverancer!$C$28:$C$88=($G152+2)),Leverancer!G$28:G$88)/1000)</f>
        <v>0</v>
      </c>
      <c r="X152" s="128" t="str">
        <f ca="1">IF(X151="","",SUMPRODUCT(--(Leverancer!$C$28:$C$88=($G152+2)),Leverancer!H$28:H$88)/1000)</f>
        <v/>
      </c>
      <c r="Y152" s="128" t="str">
        <f ca="1">IF(Y151="","",SUMPRODUCT(--(Leverancer!$C$28:$C$88=($G152+2)),Leverancer!I$28:I$88)/1000)</f>
        <v/>
      </c>
      <c r="Z152" s="128" t="str">
        <f ca="1">IF(Z151="","",SUMPRODUCT(--(Leverancer!$C$28:$C$88=($G152+2)),Leverancer!J$28:J$88)/1000)</f>
        <v/>
      </c>
      <c r="AA152" s="128" t="str">
        <f ca="1">IF(AA151="","",SUMPRODUCT(--(Leverancer!$C$28:$C$88=($G152+2)),Leverancer!K$28:K$88)/1000)</f>
        <v/>
      </c>
      <c r="AB152" s="128" t="str">
        <f ca="1">IF(AB151="","",SUMPRODUCT(--(Leverancer!$C$28:$C$88=($G152+2)),Leverancer!L$28:L$88)/1000)</f>
        <v/>
      </c>
      <c r="AC152" s="128" t="str">
        <f ca="1">IF(AC151="","",SUMPRODUCT(--(Leverancer!$C$28:$C$88=($G152+2)),Leverancer!M$28:M$88)/1000)</f>
        <v/>
      </c>
      <c r="AD152" s="128" t="str">
        <f ca="1">IF(AD151="","",SUMPRODUCT(--(Leverancer!$C$28:$C$88=($G152+2)),Leverancer!N$28:N$88)/1000)</f>
        <v/>
      </c>
      <c r="AE152" s="128" t="str">
        <f ca="1">IF(AE151="","",SUMPRODUCT(--(Leverancer!$C$28:$C$88=($G152+2)),Leverancer!O$28:O$88)/1000)</f>
        <v/>
      </c>
      <c r="AF152" s="128" t="str">
        <f ca="1">IF(AF151="","",SUMPRODUCT(--(Leverancer!$C$28:$C$88=($G152+2)),Leverancer!P$28:P$88)/1000)</f>
        <v/>
      </c>
      <c r="AG152" s="128" t="str">
        <f ca="1">IF(AG151="","",SUMPRODUCT(--(Leverancer!$C$28:$C$88=($G152+2)),Leverancer!Q$28:Q$88)/1000)</f>
        <v/>
      </c>
      <c r="AH152" s="128" t="str">
        <f ca="1">IF(AH151="","",SUMPRODUCT(--(Leverancer!$C$28:$C$88=($G152+2)),Leverancer!R$28:R$88)/1000)</f>
        <v/>
      </c>
      <c r="AI152" s="128" t="str">
        <f ca="1">IF(AI151="","",SUMPRODUCT(--(Leverancer!$C$28:$C$88=($G152+2)),Leverancer!S$28:S$88)/1000)</f>
        <v/>
      </c>
      <c r="AJ152" s="128" t="str">
        <f ca="1">IF(AJ151="","",SUMPRODUCT(--(Leverancer!$C$28:$C$88=($G152+2)),Leverancer!T$28:T$88)/1000)</f>
        <v/>
      </c>
      <c r="AK152" s="128" t="str">
        <f ca="1">IF(AK151="","",SUMPRODUCT(--(Leverancer!$C$28:$C$88=($G152+2)),Leverancer!U$28:U$88)/1000)</f>
        <v/>
      </c>
      <c r="AL152" s="128" t="str">
        <f ca="1">IF(AL151="","",SUMPRODUCT(--(Leverancer!$C$28:$C$88=($G152+2)),Leverancer!V$28:V$88)/1000)</f>
        <v/>
      </c>
      <c r="AM152" s="128" t="str">
        <f ca="1">IF(AM151="","",SUMPRODUCT(--(Leverancer!$C$28:$C$88=($G152+2)),Leverancer!W$28:W$88)/1000)</f>
        <v/>
      </c>
      <c r="AN152" s="128" t="str">
        <f ca="1">IF(AN151="","",SUMPRODUCT(--(Leverancer!$C$28:$C$88=($G152+2)),Leverancer!X$28:X$88)/1000)</f>
        <v/>
      </c>
      <c r="AO152" s="128" t="str">
        <f ca="1">IF(AO151="","",SUMPRODUCT(--(Leverancer!$C$28:$C$88=($G152+2)),Leverancer!Y$28:Y$88)/1000)</f>
        <v/>
      </c>
      <c r="AP152" s="128" t="str">
        <f ca="1">IF(AP151="","",SUMPRODUCT(--(Leverancer!$C$28:$C$88=($G152+2)),Leverancer!Z$28:Z$88)/1000)</f>
        <v/>
      </c>
      <c r="AQ152" s="128" t="str">
        <f ca="1">IF(AQ151="","",SUMPRODUCT(--(Leverancer!$C$28:$C$88=($G152+2)),Leverancer!AA$28:AA$88)/1000)</f>
        <v/>
      </c>
      <c r="AR152" s="128" t="str">
        <f ca="1">IF(AR151="","",SUMPRODUCT(--(Leverancer!$C$28:$C$88=($G152+2)),Leverancer!AB$28:AB$88)/1000)</f>
        <v/>
      </c>
      <c r="AS152" s="128" t="str">
        <f ca="1">IF(AS151="","",SUMPRODUCT(--(Leverancer!$C$28:$C$88=($G152+2)),Leverancer!AC$28:AC$88)/1000)</f>
        <v/>
      </c>
      <c r="AT152" s="128" t="str">
        <f ca="1">IF(AT151="","",SUMPRODUCT(--(Leverancer!$C$28:$C$88=($G152+2)),Leverancer!AD$28:AD$88)/1000)</f>
        <v/>
      </c>
      <c r="AU152" s="128" t="str">
        <f ca="1">IF(AU151="","",SUMPRODUCT(--(Leverancer!$C$28:$C$88=($G152+2)),Leverancer!AE$28:AE$88)/1000)</f>
        <v/>
      </c>
      <c r="AV152" s="128" t="str">
        <f ca="1">IF(AV151="","",SUMPRODUCT(--(Leverancer!$C$28:$C$88=($G152+2)),Leverancer!AF$28:AF$88)/1000)</f>
        <v/>
      </c>
      <c r="AW152" s="128" t="str">
        <f ca="1">IF(AW151="","",SUMPRODUCT(--(Leverancer!$C$28:$C$88=($G152+2)),Leverancer!AG$28:AG$88)/1000)</f>
        <v/>
      </c>
      <c r="AX152" s="104"/>
      <c r="AY152" s="104"/>
      <c r="AZ152" s="101"/>
    </row>
    <row r="153" spans="3:52" ht="12.75" customHeight="1" x14ac:dyDescent="0.25">
      <c r="C153" s="142">
        <f>IFERROR(YEAR(C152),"")</f>
        <v>1900</v>
      </c>
      <c r="D153" s="142">
        <f>IFERROR(MONTH(C152),"")</f>
        <v>1</v>
      </c>
      <c r="E153" s="142">
        <f>INDEX(g_sc_1_assets_years,G152)</f>
        <v>0</v>
      </c>
      <c r="N153" s="99"/>
      <c r="O153" s="104"/>
      <c r="P153" s="104"/>
      <c r="Q153" s="129" t="str">
        <f>INDEX(g_lang_val,MATCH("tb_2_4_2",g_lang_key,0))</f>
        <v>Afskrivninger</v>
      </c>
      <c r="R153" s="130"/>
      <c r="S153" s="133">
        <f ca="1">SUM(T153:BG153)</f>
        <v>0</v>
      </c>
      <c r="T153" s="128">
        <f t="shared" ref="T153:Y153" ca="1" si="20">IF(T151="","",IF(T151&lt;$C153,0,IF(T151=$C153,T152/$C154*$E154+S154/$C154*$E154,IF(AND(T151&gt;$C153,T151&lt;ROUNDDOWN(($C153+($D153+$C154-1)/12),0)),(T152/2+S154)/($C154-$E154-12*(T151-$C153-1))*12,IF(AND($D154&lt;0,T151=ROUNDDOWN(($C153+($D153+$C154-1)/12),0)),S154+T152,IF(T151=ROUNDDOWN(($C153+($D153+$C154-1)/12),0),(T152+S154)/$C154*($D154+(T151-$C153-1)*12+$E154),IF(T151&gt;ROUNDDOWN(($C153+($D153+$C154)/12),0),0,0)))))))</f>
        <v>0</v>
      </c>
      <c r="U153" s="128">
        <f ca="1">IF(U151="","",IF(U151&lt;$C153,0,IF(U151=$C153,U152/$C154*$E154+T154/$C154*$E154,IF(AND(U151&gt;$C153,U151&lt;ROUNDDOWN(($C153+($D153+$C154-1)/12),0)),(U152/2+T154)/($C154-$E154-12*(U151-$C153-1))*12,IF(AND($D154&lt;0,U151=ROUNDDOWN(($C153+($D153+$C154-1)/12),0)),T154+U152,IF(U151=ROUNDDOWN(($C153+($D153+$C154-1)/12),0),(U152+T154)/$C154*($D154+(U151-$C153-1)*12+$E154),IF(U151&gt;ROUNDDOWN(($C153+($D153+$C154)/12),0),0,0)))))))</f>
        <v>0</v>
      </c>
      <c r="V153" s="128">
        <f t="shared" ca="1" si="20"/>
        <v>0</v>
      </c>
      <c r="W153" s="128">
        <f t="shared" ca="1" si="20"/>
        <v>0</v>
      </c>
      <c r="X153" s="128" t="str">
        <f t="shared" ca="1" si="20"/>
        <v/>
      </c>
      <c r="Y153" s="128" t="str">
        <f t="shared" ca="1" si="20"/>
        <v/>
      </c>
      <c r="Z153" s="128" t="str">
        <f ca="1">IF(Z151="","",IF(Z151&lt;$C153,0,IF(Z151=$C153,Z152/$C154*$E154+Y154/$C154*$E154,IF(AND(Z151&gt;$C153,Z151&lt;ROUNDDOWN(($C153+($D153+$C154-1)/12),0)),(Z152/2+Y154)/($C154-$E154-12*(Z151-$C153-1))*12,IF(AND($D154&lt;0,Z151=ROUNDDOWN(($C153+($D153+$C154-1)/12),0)),Y154+Z152,IF(Z151=ROUNDDOWN(($C153+($D153+$C154-1)/12),0),(Z152+Y154)/$C154*($D154+(Z151-$C153-1)*12+$E154),IF(Z151&gt;ROUNDDOWN(($C153+($D153+$C154)/12),0),0,0)))))))</f>
        <v/>
      </c>
      <c r="AA153" s="128" t="str">
        <f t="shared" ref="AA153" ca="1" si="21">IF(AA151="","",IF(AA151&lt;$C153,0,IF(AA151=$C153,AA152/$C154*$E154+Z154/$C154*$E154,IF(AND(AA151&gt;$C153,AA151&lt;ROUNDDOWN(($C153+($D153+$C154-1)/12),0)),(AA152/2+Z154)/($C154-$E154-12*(AA151-$C153-1))*12,IF(AND($D154&lt;0,AA151=ROUNDDOWN(($C153+($D153+$C154-1)/12),0)),Z154+AA152,IF(AA151=ROUNDDOWN(($C153+($D153+$C154-1)/12),0),(AA152+Z154)/$C154*($D154+(AA151-$C153-1)*12+$E154),IF(AA151&gt;ROUNDDOWN(($C153+($D153+$C154)/12),0),0,0)))))))</f>
        <v/>
      </c>
      <c r="AB153" s="128" t="str">
        <f t="shared" ref="AB153" ca="1" si="22">IF(AB151="","",IF(AB151&lt;$C153,0,IF(AB151=$C153,AB152/$C154*$E154+AA154/$C154*$E154,IF(AND(AB151&gt;$C153,AB151&lt;ROUNDDOWN(($C153+($D153+$C154-1)/12),0)),(AB152/2+AA154)/($C154-$E154-12*(AB151-$C153-1))*12,IF(AND($D154&lt;0,AB151=ROUNDDOWN(($C153+($D153+$C154-1)/12),0)),AA154+AB152,IF(AB151=ROUNDDOWN(($C153+($D153+$C154-1)/12),0),(AB152+AA154)/$C154*($D154+(AB151-$C153-1)*12+$E154),IF(AB151&gt;ROUNDDOWN(($C153+($D153+$C154)/12),0),0,0)))))))</f>
        <v/>
      </c>
      <c r="AC153" s="128" t="str">
        <f t="shared" ref="AC153" ca="1" si="23">IF(AC151="","",IF(AC151&lt;$C153,0,IF(AC151=$C153,AC152/$C154*$E154+AB154/$C154*$E154,IF(AND(AC151&gt;$C153,AC151&lt;ROUNDDOWN(($C153+($D153+$C154-1)/12),0)),(AC152/2+AB154)/($C154-$E154-12*(AC151-$C153-1))*12,IF(AND($D154&lt;0,AC151=ROUNDDOWN(($C153+($D153+$C154-1)/12),0)),AB154+AC152,IF(AC151=ROUNDDOWN(($C153+($D153+$C154-1)/12),0),(AC152+AB154)/$C154*($D154+(AC151-$C153-1)*12+$E154),IF(AC151&gt;ROUNDDOWN(($C153+($D153+$C154)/12),0),0,0)))))))</f>
        <v/>
      </c>
      <c r="AD153" s="128" t="str">
        <f t="shared" ref="AD153" ca="1" si="24">IF(AD151="","",IF(AD151&lt;$C153,0,IF(AD151=$C153,AD152/$C154*$E154+AC154/$C154*$E154,IF(AND(AD151&gt;$C153,AD151&lt;ROUNDDOWN(($C153+($D153+$C154-1)/12),0)),(AD152/2+AC154)/($C154-$E154-12*(AD151-$C153-1))*12,IF(AND($D154&lt;0,AD151=ROUNDDOWN(($C153+($D153+$C154-1)/12),0)),AC154+AD152,IF(AD151=ROUNDDOWN(($C153+($D153+$C154-1)/12),0),(AD152+AC154)/$C154*($D154+(AD151-$C153-1)*12+$E154),IF(AD151&gt;ROUNDDOWN(($C153+($D153+$C154)/12),0),0,0)))))))</f>
        <v/>
      </c>
      <c r="AE153" s="128" t="str">
        <f t="shared" ref="AE153" ca="1" si="25">IF(AE151="","",IF(AE151&lt;$C153,0,IF(AE151=$C153,AE152/$C154*$E154+AD154/$C154*$E154,IF(AND(AE151&gt;$C153,AE151&lt;ROUNDDOWN(($C153+($D153+$C154-1)/12),0)),(AE152/2+AD154)/($C154-$E154-12*(AE151-$C153-1))*12,IF(AND($D154&lt;0,AE151=ROUNDDOWN(($C153+($D153+$C154-1)/12),0)),AD154+AE152,IF(AE151=ROUNDDOWN(($C153+($D153+$C154-1)/12),0),(AE152+AD154)/$C154*($D154+(AE151-$C153-1)*12+$E154),IF(AE151&gt;ROUNDDOWN(($C153+($D153+$C154)/12),0),0,0)))))))</f>
        <v/>
      </c>
      <c r="AF153" s="128" t="str">
        <f t="shared" ref="AF153:AG153" ca="1" si="26">IF(AF151="","",IF(AF151&lt;$C153,0,IF(AF151=$C153,AF152/$C154*$E154+AE154/$C154*$E154,IF(AND(AF151&gt;$C153,AF151&lt;ROUNDDOWN(($C153+($D153+$C154-1)/12),0)),(AF152/2+AE154)/($C154-$E154-12*(AF151-$C153-1))*12,IF(AND($D154&lt;0,AF151=ROUNDDOWN(($C153+($D153+$C154-1)/12),0)),AE154+AF152,IF(AF151=ROUNDDOWN(($C153+($D153+$C154-1)/12),0),(AF152+AE154)/$C154*($D154+(AF151-$C153-1)*12+$E154),IF(AF151&gt;ROUNDDOWN(($C153+($D153+$C154)/12),0),0,0)))))))</f>
        <v/>
      </c>
      <c r="AG153" s="128" t="str">
        <f t="shared" ca="1" si="26"/>
        <v/>
      </c>
      <c r="AH153" s="128" t="str">
        <f t="shared" ref="AH153" ca="1" si="27">IF(AH151="","",IF(AH151&lt;$C153,0,IF(AH151=$C153,AH152/$C154*$E154+AG154/$C154*$E154,IF(AND(AH151&gt;$C153,AH151&lt;ROUNDDOWN(($C153+($D153+$C154-1)/12),0)),(AH152/2+AG154)/($C154-$E154-12*(AH151-$C153-1))*12,IF(AND($D154&lt;0,AH151=ROUNDDOWN(($C153+($D153+$C154-1)/12),0)),AG154+AH152,IF(AH151=ROUNDDOWN(($C153+($D153+$C154-1)/12),0),(AH152+AG154)/$C154*($D154+(AH151-$C153-1)*12+$E154),IF(AH151&gt;ROUNDDOWN(($C153+($D153+$C154)/12),0),0,0)))))))</f>
        <v/>
      </c>
      <c r="AI153" s="128" t="str">
        <f t="shared" ref="AI153" ca="1" si="28">IF(AI151="","",IF(AI151&lt;$C153,0,IF(AI151=$C153,AI152/$C154*$E154+AH154/$C154*$E154,IF(AND(AI151&gt;$C153,AI151&lt;ROUNDDOWN(($C153+($D153+$C154-1)/12),0)),(AI152/2+AH154)/($C154-$E154-12*(AI151-$C153-1))*12,IF(AND($D154&lt;0,AI151=ROUNDDOWN(($C153+($D153+$C154-1)/12),0)),AH154+AI152,IF(AI151=ROUNDDOWN(($C153+($D153+$C154-1)/12),0),(AI152+AH154)/$C154*($D154+(AI151-$C153-1)*12+$E154),IF(AI151&gt;ROUNDDOWN(($C153+($D153+$C154)/12),0),0,0)))))))</f>
        <v/>
      </c>
      <c r="AJ153" s="128" t="str">
        <f t="shared" ref="AJ153" ca="1" si="29">IF(AJ151="","",IF(AJ151&lt;$C153,0,IF(AJ151=$C153,AJ152/$C154*$E154+AI154/$C154*$E154,IF(AND(AJ151&gt;$C153,AJ151&lt;ROUNDDOWN(($C153+($D153+$C154-1)/12),0)),(AJ152/2+AI154)/($C154-$E154-12*(AJ151-$C153-1))*12,IF(AND($D154&lt;0,AJ151=ROUNDDOWN(($C153+($D153+$C154-1)/12),0)),AI154+AJ152,IF(AJ151=ROUNDDOWN(($C153+($D153+$C154-1)/12),0),(AJ152+AI154)/$C154*($D154+(AJ151-$C153-1)*12+$E154),IF(AJ151&gt;ROUNDDOWN(($C153+($D153+$C154)/12),0),0,0)))))))</f>
        <v/>
      </c>
      <c r="AK153" s="128" t="str">
        <f t="shared" ref="AK153" ca="1" si="30">IF(AK151="","",IF(AK151&lt;$C153,0,IF(AK151=$C153,AK152/$C154*$E154+AJ154/$C154*$E154,IF(AND(AK151&gt;$C153,AK151&lt;ROUNDDOWN(($C153+($D153+$C154-1)/12),0)),(AK152/2+AJ154)/($C154-$E154-12*(AK151-$C153-1))*12,IF(AND($D154&lt;0,AK151=ROUNDDOWN(($C153+($D153+$C154-1)/12),0)),AJ154+AK152,IF(AK151=ROUNDDOWN(($C153+($D153+$C154-1)/12),0),(AK152+AJ154)/$C154*($D154+(AK151-$C153-1)*12+$E154),IF(AK151&gt;ROUNDDOWN(($C153+($D153+$C154)/12),0),0,0)))))))</f>
        <v/>
      </c>
      <c r="AL153" s="128" t="str">
        <f t="shared" ref="AL153" ca="1" si="31">IF(AL151="","",IF(AL151&lt;$C153,0,IF(AL151=$C153,AL152/$C154*$E154+AK154/$C154*$E154,IF(AND(AL151&gt;$C153,AL151&lt;ROUNDDOWN(($C153+($D153+$C154-1)/12),0)),(AL152/2+AK154)/($C154-$E154-12*(AL151-$C153-1))*12,IF(AND($D154&lt;0,AL151=ROUNDDOWN(($C153+($D153+$C154-1)/12),0)),AK154+AL152,IF(AL151=ROUNDDOWN(($C153+($D153+$C154-1)/12),0),(AL152+AK154)/$C154*($D154+(AL151-$C153-1)*12+$E154),IF(AL151&gt;ROUNDDOWN(($C153+($D153+$C154)/12),0),0,0)))))))</f>
        <v/>
      </c>
      <c r="AM153" s="128" t="str">
        <f t="shared" ref="AM153:AN153" ca="1" si="32">IF(AM151="","",IF(AM151&lt;$C153,0,IF(AM151=$C153,AM152/$C154*$E154+AL154/$C154*$E154,IF(AND(AM151&gt;$C153,AM151&lt;ROUNDDOWN(($C153+($D153+$C154-1)/12),0)),(AM152/2+AL154)/($C154-$E154-12*(AM151-$C153-1))*12,IF(AND($D154&lt;0,AM151=ROUNDDOWN(($C153+($D153+$C154-1)/12),0)),AL154+AM152,IF(AM151=ROUNDDOWN(($C153+($D153+$C154-1)/12),0),(AM152+AL154)/$C154*($D154+(AM151-$C153-1)*12+$E154),IF(AM151&gt;ROUNDDOWN(($C153+($D153+$C154)/12),0),0,0)))))))</f>
        <v/>
      </c>
      <c r="AN153" s="128" t="str">
        <f t="shared" ca="1" si="32"/>
        <v/>
      </c>
      <c r="AO153" s="128" t="str">
        <f t="shared" ref="AO153" ca="1" si="33">IF(AO151="","",IF(AO151&lt;$C153,0,IF(AO151=$C153,AO152/$C154*$E154+AN154/$C154*$E154,IF(AND(AO151&gt;$C153,AO151&lt;ROUNDDOWN(($C153+($D153+$C154-1)/12),0)),(AO152/2+AN154)/($C154-$E154-12*(AO151-$C153-1))*12,IF(AND($D154&lt;0,AO151=ROUNDDOWN(($C153+($D153+$C154-1)/12),0)),AN154+AO152,IF(AO151=ROUNDDOWN(($C153+($D153+$C154-1)/12),0),(AO152+AN154)/$C154*($D154+(AO151-$C153-1)*12+$E154),IF(AO151&gt;ROUNDDOWN(($C153+($D153+$C154)/12),0),0,0)))))))</f>
        <v/>
      </c>
      <c r="AP153" s="128" t="str">
        <f t="shared" ref="AP153" ca="1" si="34">IF(AP151="","",IF(AP151&lt;$C153,0,IF(AP151=$C153,AP152/$C154*$E154+AO154/$C154*$E154,IF(AND(AP151&gt;$C153,AP151&lt;ROUNDDOWN(($C153+($D153+$C154-1)/12),0)),(AP152/2+AO154)/($C154-$E154-12*(AP151-$C153-1))*12,IF(AND($D154&lt;0,AP151=ROUNDDOWN(($C153+($D153+$C154-1)/12),0)),AO154+AP152,IF(AP151=ROUNDDOWN(($C153+($D153+$C154-1)/12),0),(AP152+AO154)/$C154*($D154+(AP151-$C153-1)*12+$E154),IF(AP151&gt;ROUNDDOWN(($C153+($D153+$C154)/12),0),0,0)))))))</f>
        <v/>
      </c>
      <c r="AQ153" s="128" t="str">
        <f t="shared" ref="AQ153" ca="1" si="35">IF(AQ151="","",IF(AQ151&lt;$C153,0,IF(AQ151=$C153,AQ152/$C154*$E154+AP154/$C154*$E154,IF(AND(AQ151&gt;$C153,AQ151&lt;ROUNDDOWN(($C153+($D153+$C154-1)/12),0)),(AQ152/2+AP154)/($C154-$E154-12*(AQ151-$C153-1))*12,IF(AND($D154&lt;0,AQ151=ROUNDDOWN(($C153+($D153+$C154-1)/12),0)),AP154+AQ152,IF(AQ151=ROUNDDOWN(($C153+($D153+$C154-1)/12),0),(AQ152+AP154)/$C154*($D154+(AQ151-$C153-1)*12+$E154),IF(AQ151&gt;ROUNDDOWN(($C153+($D153+$C154)/12),0),0,0)))))))</f>
        <v/>
      </c>
      <c r="AR153" s="128" t="str">
        <f t="shared" ref="AR153" ca="1" si="36">IF(AR151="","",IF(AR151&lt;$C153,0,IF(AR151=$C153,AR152/$C154*$E154+AQ154/$C154*$E154,IF(AND(AR151&gt;$C153,AR151&lt;ROUNDDOWN(($C153+($D153+$C154-1)/12),0)),(AR152/2+AQ154)/($C154-$E154-12*(AR151-$C153-1))*12,IF(AND($D154&lt;0,AR151=ROUNDDOWN(($C153+($D153+$C154-1)/12),0)),AQ154+AR152,IF(AR151=ROUNDDOWN(($C153+($D153+$C154-1)/12),0),(AR152+AQ154)/$C154*($D154+(AR151-$C153-1)*12+$E154),IF(AR151&gt;ROUNDDOWN(($C153+($D153+$C154)/12),0),0,0)))))))</f>
        <v/>
      </c>
      <c r="AS153" s="128" t="str">
        <f t="shared" ref="AS153" ca="1" si="37">IF(AS151="","",IF(AS151&lt;$C153,0,IF(AS151=$C153,AS152/$C154*$E154+AR154/$C154*$E154,IF(AND(AS151&gt;$C153,AS151&lt;ROUNDDOWN(($C153+($D153+$C154-1)/12),0)),(AS152/2+AR154)/($C154-$E154-12*(AS151-$C153-1))*12,IF(AND($D154&lt;0,AS151=ROUNDDOWN(($C153+($D153+$C154-1)/12),0)),AR154+AS152,IF(AS151=ROUNDDOWN(($C153+($D153+$C154-1)/12),0),(AS152+AR154)/$C154*($D154+(AS151-$C153-1)*12+$E154),IF(AS151&gt;ROUNDDOWN(($C153+($D153+$C154)/12),0),0,0)))))))</f>
        <v/>
      </c>
      <c r="AT153" s="128" t="str">
        <f t="shared" ref="AT153:AU153" ca="1" si="38">IF(AT151="","",IF(AT151&lt;$C153,0,IF(AT151=$C153,AT152/$C154*$E154+AS154/$C154*$E154,IF(AND(AT151&gt;$C153,AT151&lt;ROUNDDOWN(($C153+($D153+$C154-1)/12),0)),(AT152/2+AS154)/($C154-$E154-12*(AT151-$C153-1))*12,IF(AND($D154&lt;0,AT151=ROUNDDOWN(($C153+($D153+$C154-1)/12),0)),AS154+AT152,IF(AT151=ROUNDDOWN(($C153+($D153+$C154-1)/12),0),(AT152+AS154)/$C154*($D154+(AT151-$C153-1)*12+$E154),IF(AT151&gt;ROUNDDOWN(($C153+($D153+$C154)/12),0),0,0)))))))</f>
        <v/>
      </c>
      <c r="AU153" s="128" t="str">
        <f t="shared" ca="1" si="38"/>
        <v/>
      </c>
      <c r="AV153" s="128" t="str">
        <f t="shared" ref="AV153" ca="1" si="39">IF(AV151="","",IF(AV151&lt;$C153,0,IF(AV151=$C153,AV152/$C154*$E154+AU154/$C154*$E154,IF(AND(AV151&gt;$C153,AV151&lt;ROUNDDOWN(($C153+($D153+$C154-1)/12),0)),(AV152/2+AU154)/($C154-$E154-12*(AV151-$C153-1))*12,IF(AND($D154&lt;0,AV151=ROUNDDOWN(($C153+($D153+$C154-1)/12),0)),AU154+AV152,IF(AV151=ROUNDDOWN(($C153+($D153+$C154-1)/12),0),(AV152+AU154)/$C154*($D154+(AV151-$C153-1)*12+$E154),IF(AV151&gt;ROUNDDOWN(($C153+($D153+$C154)/12),0),0,0)))))))</f>
        <v/>
      </c>
      <c r="AW153" s="128" t="str">
        <f t="shared" ref="AW153" ca="1" si="40">IF(AW151="","",IF(AW151&lt;$C153,0,IF(AW151=$C153,AW152/$C154*$E154+AV154/$C154*$E154,IF(AND(AW151&gt;$C153,AW151&lt;ROUNDDOWN(($C153+($D153+$C154-1)/12),0)),(AW152/2+AV154)/($C154-$E154-12*(AW151-$C153-1))*12,IF(AND($D154&lt;0,AW151=ROUNDDOWN(($C153+($D153+$C154-1)/12),0)),AV154+AW152,IF(AW151=ROUNDDOWN(($C153+($D153+$C154-1)/12),0),(AW152+AV154)/$C154*($D154+(AW151-$C153-1)*12+$E154),IF(AW151&gt;ROUNDDOWN(($C153+($D153+$C154)/12),0),0,0)))))))</f>
        <v/>
      </c>
      <c r="AX153" s="104"/>
      <c r="AY153" s="104"/>
      <c r="AZ153" s="101"/>
    </row>
    <row r="154" spans="3:52" ht="12.75" customHeight="1" x14ac:dyDescent="0.25">
      <c r="C154" s="142">
        <f>ROUNDUP((E153-ROUNDDOWN(E153,0))*12,0)+ROUNDDOWN(E153,0)*12</f>
        <v>0</v>
      </c>
      <c r="D154" s="142">
        <f>C154-E154-ROUNDDOWN(E153,0)*12</f>
        <v>-12</v>
      </c>
      <c r="E154" s="142">
        <f>13-MONTH(C152)</f>
        <v>12</v>
      </c>
      <c r="N154" s="99"/>
      <c r="O154" s="104"/>
      <c r="P154" s="104"/>
      <c r="Q154" s="129" t="str">
        <f>INDEX(g_lang_val,MATCH("tb_2_4_3",g_lang_key,0))</f>
        <v>FF4-gæld, ultimo året</v>
      </c>
      <c r="R154" s="130"/>
      <c r="S154" s="133"/>
      <c r="T154" s="128">
        <f t="shared" ref="T154" ca="1" si="41">IF(T151="","",S154+T152-T153)</f>
        <v>0</v>
      </c>
      <c r="U154" s="128">
        <f t="shared" ref="U154" ca="1" si="42">IF(U151="","",T154+U152-U153)</f>
        <v>0</v>
      </c>
      <c r="V154" s="128">
        <f t="shared" ref="V154" ca="1" si="43">IF(V151="","",U154+V152-V153)</f>
        <v>0</v>
      </c>
      <c r="W154" s="128">
        <f t="shared" ref="W154" ca="1" si="44">IF(W151="","",V154+W152-W153)</f>
        <v>0</v>
      </c>
      <c r="X154" s="128" t="str">
        <f t="shared" ref="X154" ca="1" si="45">IF(X151="","",W154+X152-X153)</f>
        <v/>
      </c>
      <c r="Y154" s="128" t="str">
        <f t="shared" ref="Y154" ca="1" si="46">IF(Y151="","",X154+Y152-Y153)</f>
        <v/>
      </c>
      <c r="Z154" s="128" t="str">
        <f t="shared" ref="Z154" ca="1" si="47">IF(Z151="","",Y154+Z152-Z153)</f>
        <v/>
      </c>
      <c r="AA154" s="128" t="str">
        <f ca="1">IF(AA151="","",Z154+AA152-AA153)</f>
        <v/>
      </c>
      <c r="AB154" s="128" t="str">
        <f t="shared" ref="AB154" ca="1" si="48">IF(AB151="","",AA154+AB152-AB153)</f>
        <v/>
      </c>
      <c r="AC154" s="128" t="str">
        <f t="shared" ref="AC154" ca="1" si="49">IF(AC151="","",AB154+AC152-AC153)</f>
        <v/>
      </c>
      <c r="AD154" s="128" t="str">
        <f t="shared" ref="AD154" ca="1" si="50">IF(AD151="","",AC154+AD152-AD153)</f>
        <v/>
      </c>
      <c r="AE154" s="128" t="str">
        <f t="shared" ref="AE154" ca="1" si="51">IF(AE151="","",AD154+AE152-AE153)</f>
        <v/>
      </c>
      <c r="AF154" s="128" t="str">
        <f t="shared" ref="AF154" ca="1" si="52">IF(AF151="","",AE154+AF152-AF153)</f>
        <v/>
      </c>
      <c r="AG154" s="128" t="str">
        <f t="shared" ref="AG154" ca="1" si="53">IF(AG151="","",AF154+AG152-AG153)</f>
        <v/>
      </c>
      <c r="AH154" s="128" t="str">
        <f t="shared" ref="AH154" ca="1" si="54">IF(AH151="","",AG154+AH152-AH153)</f>
        <v/>
      </c>
      <c r="AI154" s="128" t="str">
        <f t="shared" ref="AI154" ca="1" si="55">IF(AI151="","",AH154+AI152-AI153)</f>
        <v/>
      </c>
      <c r="AJ154" s="128" t="str">
        <f t="shared" ref="AJ154" ca="1" si="56">IF(AJ151="","",AI154+AJ152-AJ153)</f>
        <v/>
      </c>
      <c r="AK154" s="128" t="str">
        <f t="shared" ref="AK154" ca="1" si="57">IF(AK151="","",AJ154+AK152-AK153)</f>
        <v/>
      </c>
      <c r="AL154" s="128" t="str">
        <f t="shared" ref="AL154" ca="1" si="58">IF(AL151="","",AK154+AL152-AL153)</f>
        <v/>
      </c>
      <c r="AM154" s="128" t="str">
        <f t="shared" ref="AM154" ca="1" si="59">IF(AM151="","",AL154+AM152-AM153)</f>
        <v/>
      </c>
      <c r="AN154" s="128" t="str">
        <f t="shared" ref="AN154" ca="1" si="60">IF(AN151="","",AM154+AN152-AN153)</f>
        <v/>
      </c>
      <c r="AO154" s="128" t="str">
        <f t="shared" ref="AO154" ca="1" si="61">IF(AO151="","",AN154+AO152-AO153)</f>
        <v/>
      </c>
      <c r="AP154" s="128" t="str">
        <f t="shared" ref="AP154" ca="1" si="62">IF(AP151="","",AO154+AP152-AP153)</f>
        <v/>
      </c>
      <c r="AQ154" s="128" t="str">
        <f t="shared" ref="AQ154" ca="1" si="63">IF(AQ151="","",AP154+AQ152-AQ153)</f>
        <v/>
      </c>
      <c r="AR154" s="128" t="str">
        <f t="shared" ref="AR154" ca="1" si="64">IF(AR151="","",AQ154+AR152-AR153)</f>
        <v/>
      </c>
      <c r="AS154" s="128" t="str">
        <f t="shared" ref="AS154" ca="1" si="65">IF(AS151="","",AR154+AS152-AS153)</f>
        <v/>
      </c>
      <c r="AT154" s="128" t="str">
        <f t="shared" ref="AT154" ca="1" si="66">IF(AT151="","",AS154+AT152-AT153)</f>
        <v/>
      </c>
      <c r="AU154" s="128" t="str">
        <f t="shared" ref="AU154" ca="1" si="67">IF(AU151="","",AT154+AU152-AU153)</f>
        <v/>
      </c>
      <c r="AV154" s="128" t="str">
        <f t="shared" ref="AV154" ca="1" si="68">IF(AV151="","",AU154+AV152-AV153)</f>
        <v/>
      </c>
      <c r="AW154" s="128" t="str">
        <f t="shared" ref="AW154" ca="1" si="69">IF(AW151="","",AV154+AW152-AW153)</f>
        <v/>
      </c>
      <c r="AX154" s="104"/>
      <c r="AY154" s="104"/>
      <c r="AZ154" s="101"/>
    </row>
    <row r="155" spans="3:52" ht="12.75" customHeight="1" x14ac:dyDescent="0.25">
      <c r="N155" s="99"/>
      <c r="O155" s="104"/>
      <c r="P155" s="104"/>
      <c r="Q155" s="129" t="str">
        <f>INDEX(g_lang_val,MATCH("tb_2_4_4",g_lang_key,0))</f>
        <v>Renter (FF4)</v>
      </c>
      <c r="R155" s="130"/>
      <c r="S155" s="133">
        <f ca="1">SUM(T155:BG155)</f>
        <v>0</v>
      </c>
      <c r="T155" s="128">
        <f t="shared" ref="T155" ca="1" si="70">IF(T151="","",g_interest_FF4*(S154+(T152/2)-(T153/2)))</f>
        <v>0</v>
      </c>
      <c r="U155" s="128">
        <f t="shared" ref="U155" ca="1" si="71">IF(U151="","",g_interest_FF4*(T154+(U152/2)-(U153/2)))</f>
        <v>0</v>
      </c>
      <c r="V155" s="128">
        <f t="shared" ref="V155" ca="1" si="72">IF(V151="","",g_interest_FF4*(U154+(V152/2)-(V153/2)))</f>
        <v>0</v>
      </c>
      <c r="W155" s="128">
        <f t="shared" ref="W155" ca="1" si="73">IF(W151="","",g_interest_FF4*(V154+(W152/2)-(W153/2)))</f>
        <v>0</v>
      </c>
      <c r="X155" s="128" t="str">
        <f t="shared" ref="X155" ca="1" si="74">IF(X151="","",g_interest_FF4*(W154+(X152/2)-(X153/2)))</f>
        <v/>
      </c>
      <c r="Y155" s="128" t="str">
        <f t="shared" ref="Y155" ca="1" si="75">IF(Y151="","",g_interest_FF4*(X154+(Y152/2)-(Y153/2)))</f>
        <v/>
      </c>
      <c r="Z155" s="128" t="str">
        <f t="shared" ref="Z155" ca="1" si="76">IF(Z151="","",g_interest_FF4*(Y154+(Z152/2)-(Z153/2)))</f>
        <v/>
      </c>
      <c r="AA155" s="128" t="str">
        <f t="shared" ref="AA155" ca="1" si="77">IF(AA151="","",g_interest_FF4*(Z154+(AA152/2)-(AA153/2)))</f>
        <v/>
      </c>
      <c r="AB155" s="128" t="str">
        <f t="shared" ref="AB155" ca="1" si="78">IF(AB151="","",g_interest_FF4*(AA154+(AB152/2)-(AB153/2)))</f>
        <v/>
      </c>
      <c r="AC155" s="128" t="str">
        <f t="shared" ref="AC155" ca="1" si="79">IF(AC151="","",g_interest_FF4*(AB154+(AC152/2)-(AC153/2)))</f>
        <v/>
      </c>
      <c r="AD155" s="128" t="str">
        <f t="shared" ref="AD155" ca="1" si="80">IF(AD151="","",g_interest_FF4*(AC154+(AD152/2)-(AD153/2)))</f>
        <v/>
      </c>
      <c r="AE155" s="128" t="str">
        <f t="shared" ref="AE155" ca="1" si="81">IF(AE151="","",g_interest_FF4*(AD154+(AE152/2)-(AE153/2)))</f>
        <v/>
      </c>
      <c r="AF155" s="128" t="str">
        <f t="shared" ref="AF155" ca="1" si="82">IF(AF151="","",g_interest_FF4*(AE154+(AF152/2)-(AF153/2)))</f>
        <v/>
      </c>
      <c r="AG155" s="128" t="str">
        <f t="shared" ref="AG155" ca="1" si="83">IF(AG151="","",g_interest_FF4*(AF154+(AG152/2)-(AG153/2)))</f>
        <v/>
      </c>
      <c r="AH155" s="128" t="str">
        <f t="shared" ref="AH155" ca="1" si="84">IF(AH151="","",g_interest_FF4*(AG154+(AH152/2)-(AH153/2)))</f>
        <v/>
      </c>
      <c r="AI155" s="128" t="str">
        <f t="shared" ref="AI155" ca="1" si="85">IF(AI151="","",g_interest_FF4*(AH154+(AI152/2)-(AI153/2)))</f>
        <v/>
      </c>
      <c r="AJ155" s="128" t="str">
        <f t="shared" ref="AJ155" ca="1" si="86">IF(AJ151="","",g_interest_FF4*(AI154+(AJ152/2)-(AJ153/2)))</f>
        <v/>
      </c>
      <c r="AK155" s="128" t="str">
        <f t="shared" ref="AK155" ca="1" si="87">IF(AK151="","",g_interest_FF4*(AJ154+(AK152/2)-(AK153/2)))</f>
        <v/>
      </c>
      <c r="AL155" s="128" t="str">
        <f t="shared" ref="AL155" ca="1" si="88">IF(AL151="","",g_interest_FF4*(AK154+(AL152/2)-(AL153/2)))</f>
        <v/>
      </c>
      <c r="AM155" s="128" t="str">
        <f t="shared" ref="AM155" ca="1" si="89">IF(AM151="","",g_interest_FF4*(AL154+(AM152/2)-(AM153/2)))</f>
        <v/>
      </c>
      <c r="AN155" s="128" t="str">
        <f t="shared" ref="AN155" ca="1" si="90">IF(AN151="","",g_interest_FF4*(AM154+(AN152/2)-(AN153/2)))</f>
        <v/>
      </c>
      <c r="AO155" s="128" t="str">
        <f t="shared" ref="AO155" ca="1" si="91">IF(AO151="","",g_interest_FF4*(AN154+(AO152/2)-(AO153/2)))</f>
        <v/>
      </c>
      <c r="AP155" s="128" t="str">
        <f t="shared" ref="AP155" ca="1" si="92">IF(AP151="","",g_interest_FF4*(AO154+(AP152/2)-(AP153/2)))</f>
        <v/>
      </c>
      <c r="AQ155" s="128" t="str">
        <f t="shared" ref="AQ155" ca="1" si="93">IF(AQ151="","",g_interest_FF4*(AP154+(AQ152/2)-(AQ153/2)))</f>
        <v/>
      </c>
      <c r="AR155" s="128" t="str">
        <f t="shared" ref="AR155" ca="1" si="94">IF(AR151="","",g_interest_FF4*(AQ154+(AR152/2)-(AR153/2)))</f>
        <v/>
      </c>
      <c r="AS155" s="128" t="str">
        <f t="shared" ref="AS155" ca="1" si="95">IF(AS151="","",g_interest_FF4*(AR154+(AS152/2)-(AS153/2)))</f>
        <v/>
      </c>
      <c r="AT155" s="128" t="str">
        <f t="shared" ref="AT155" ca="1" si="96">IF(AT151="","",g_interest_FF4*(AS154+(AT152/2)-(AT153/2)))</f>
        <v/>
      </c>
      <c r="AU155" s="128" t="str">
        <f t="shared" ref="AU155" ca="1" si="97">IF(AU151="","",g_interest_FF4*(AT154+(AU152/2)-(AU153/2)))</f>
        <v/>
      </c>
      <c r="AV155" s="128" t="str">
        <f t="shared" ref="AV155" ca="1" si="98">IF(AV151="","",g_interest_FF4*(AU154+(AV152/2)-(AV153/2)))</f>
        <v/>
      </c>
      <c r="AW155" s="128" t="str">
        <f t="shared" ref="AW155" ca="1" si="99">IF(AW151="","",g_interest_FF4*(AV154+(AW152/2)-(AW153/2)))</f>
        <v/>
      </c>
      <c r="AX155" s="104"/>
      <c r="AY155" s="104"/>
      <c r="AZ155" s="101"/>
    </row>
    <row r="156" spans="3:52" ht="12.75" customHeight="1" x14ac:dyDescent="0.25">
      <c r="N156" s="99"/>
      <c r="O156" s="104"/>
      <c r="P156" s="104"/>
      <c r="Q156" s="132" t="str">
        <f>INDEX(g_assets_sc_1,4)</f>
        <v/>
      </c>
      <c r="R156" s="132"/>
      <c r="S156" s="127"/>
      <c r="T156" s="139">
        <f ca="1">T$150</f>
        <v>2025</v>
      </c>
      <c r="U156" s="139">
        <f t="shared" ref="U156:AW156" ca="1" si="100">U$150</f>
        <v>2026</v>
      </c>
      <c r="V156" s="139">
        <f t="shared" ca="1" si="100"/>
        <v>2027</v>
      </c>
      <c r="W156" s="139">
        <f t="shared" ca="1" si="100"/>
        <v>2028</v>
      </c>
      <c r="X156" s="139" t="str">
        <f t="shared" ca="1" si="100"/>
        <v/>
      </c>
      <c r="Y156" s="139" t="str">
        <f t="shared" ca="1" si="100"/>
        <v/>
      </c>
      <c r="Z156" s="139" t="str">
        <f t="shared" ca="1" si="100"/>
        <v/>
      </c>
      <c r="AA156" s="139" t="str">
        <f t="shared" ca="1" si="100"/>
        <v/>
      </c>
      <c r="AB156" s="139" t="str">
        <f t="shared" ca="1" si="100"/>
        <v/>
      </c>
      <c r="AC156" s="139" t="str">
        <f t="shared" ca="1" si="100"/>
        <v/>
      </c>
      <c r="AD156" s="139" t="str">
        <f t="shared" ca="1" si="100"/>
        <v/>
      </c>
      <c r="AE156" s="139" t="str">
        <f t="shared" ca="1" si="100"/>
        <v/>
      </c>
      <c r="AF156" s="139" t="str">
        <f t="shared" ca="1" si="100"/>
        <v/>
      </c>
      <c r="AG156" s="139" t="str">
        <f t="shared" ca="1" si="100"/>
        <v/>
      </c>
      <c r="AH156" s="139" t="str">
        <f t="shared" ca="1" si="100"/>
        <v/>
      </c>
      <c r="AI156" s="139" t="str">
        <f t="shared" ca="1" si="100"/>
        <v/>
      </c>
      <c r="AJ156" s="139" t="str">
        <f t="shared" ca="1" si="100"/>
        <v/>
      </c>
      <c r="AK156" s="139" t="str">
        <f t="shared" ca="1" si="100"/>
        <v/>
      </c>
      <c r="AL156" s="139" t="str">
        <f t="shared" ca="1" si="100"/>
        <v/>
      </c>
      <c r="AM156" s="139" t="str">
        <f t="shared" ca="1" si="100"/>
        <v/>
      </c>
      <c r="AN156" s="139" t="str">
        <f t="shared" ca="1" si="100"/>
        <v/>
      </c>
      <c r="AO156" s="139" t="str">
        <f t="shared" ca="1" si="100"/>
        <v/>
      </c>
      <c r="AP156" s="139" t="str">
        <f t="shared" ca="1" si="100"/>
        <v/>
      </c>
      <c r="AQ156" s="139" t="str">
        <f t="shared" ca="1" si="100"/>
        <v/>
      </c>
      <c r="AR156" s="139" t="str">
        <f t="shared" ca="1" si="100"/>
        <v/>
      </c>
      <c r="AS156" s="139" t="str">
        <f t="shared" ca="1" si="100"/>
        <v/>
      </c>
      <c r="AT156" s="139" t="str">
        <f t="shared" ca="1" si="100"/>
        <v/>
      </c>
      <c r="AU156" s="139" t="str">
        <f t="shared" ca="1" si="100"/>
        <v/>
      </c>
      <c r="AV156" s="139" t="str">
        <f t="shared" ca="1" si="100"/>
        <v/>
      </c>
      <c r="AW156" s="139" t="str">
        <f t="shared" ca="1" si="100"/>
        <v/>
      </c>
      <c r="AX156" s="104"/>
      <c r="AY156" s="104"/>
      <c r="AZ156" s="101"/>
    </row>
    <row r="157" spans="3:52" ht="12.75" customHeight="1" x14ac:dyDescent="0.25">
      <c r="C157" s="140">
        <f>INDEX(g_sc_1_assets_dates,G157)</f>
        <v>0</v>
      </c>
      <c r="G157" s="141">
        <v>2</v>
      </c>
      <c r="N157" s="99"/>
      <c r="O157" s="104"/>
      <c r="P157" s="104"/>
      <c r="Q157" s="129" t="str">
        <f>INDEX(g_lang_val,MATCH("tb_2_4_1",g_lang_key,0))</f>
        <v>Køb af anlægsaktiver</v>
      </c>
      <c r="R157" s="130"/>
      <c r="S157" s="133">
        <f ca="1">SUM(T157:BG157)</f>
        <v>0</v>
      </c>
      <c r="T157" s="128">
        <f ca="1">IF(T156="","",SUMPRODUCT(--(Leverancer!$C$28:$C$88=($G157+2)),Leverancer!D$28:D$88)/1000)</f>
        <v>0</v>
      </c>
      <c r="U157" s="128">
        <f ca="1">IF(U156="","",SUMPRODUCT(--(Leverancer!$C$28:$C$88=($G157+2)),Leverancer!E$28:E$88)/1000)</f>
        <v>0</v>
      </c>
      <c r="V157" s="128">
        <f ca="1">IF(V156="","",SUMPRODUCT(--(Leverancer!$C$28:$C$88=($G157+2)),Leverancer!F$28:F$88)/1000)</f>
        <v>0</v>
      </c>
      <c r="W157" s="128">
        <f ca="1">IF(W156="","",SUMPRODUCT(--(Leverancer!$C$28:$C$88=($G157+2)),Leverancer!G$28:G$88)/1000)</f>
        <v>0</v>
      </c>
      <c r="X157" s="128" t="str">
        <f ca="1">IF(X156="","",SUMPRODUCT(--(Leverancer!$C$28:$C$88=($G157+2)),Leverancer!H$28:H$88)/1000)</f>
        <v/>
      </c>
      <c r="Y157" s="128" t="str">
        <f ca="1">IF(Y156="","",SUMPRODUCT(--(Leverancer!$C$28:$C$88=($G157+2)),Leverancer!I$28:I$88)/1000)</f>
        <v/>
      </c>
      <c r="Z157" s="128" t="str">
        <f ca="1">IF(Z156="","",SUMPRODUCT(--(Leverancer!$C$28:$C$88=($G157+2)),Leverancer!J$28:J$88)/1000)</f>
        <v/>
      </c>
      <c r="AA157" s="128" t="str">
        <f ca="1">IF(AA156="","",SUMPRODUCT(--(Leverancer!$C$28:$C$88=($G157+2)),Leverancer!K$28:K$88)/1000)</f>
        <v/>
      </c>
      <c r="AB157" s="128" t="str">
        <f ca="1">IF(AB156="","",SUMPRODUCT(--(Leverancer!$C$28:$C$88=($G157+2)),Leverancer!L$28:L$88)/1000)</f>
        <v/>
      </c>
      <c r="AC157" s="128" t="str">
        <f ca="1">IF(AC156="","",SUMPRODUCT(--(Leverancer!$C$28:$C$88=($G157+2)),Leverancer!M$28:M$88)/1000)</f>
        <v/>
      </c>
      <c r="AD157" s="128" t="str">
        <f ca="1">IF(AD156="","",SUMPRODUCT(--(Leverancer!$C$28:$C$88=($G157+2)),Leverancer!N$28:N$88)/1000)</f>
        <v/>
      </c>
      <c r="AE157" s="128" t="str">
        <f ca="1">IF(AE156="","",SUMPRODUCT(--(Leverancer!$C$28:$C$88=($G157+2)),Leverancer!O$28:O$88)/1000)</f>
        <v/>
      </c>
      <c r="AF157" s="128" t="str">
        <f ca="1">IF(AF156="","",SUMPRODUCT(--(Leverancer!$C$28:$C$88=($G157+2)),Leverancer!P$28:P$88)/1000)</f>
        <v/>
      </c>
      <c r="AG157" s="128" t="str">
        <f ca="1">IF(AG156="","",SUMPRODUCT(--(Leverancer!$C$28:$C$88=($G157+2)),Leverancer!Q$28:Q$88)/1000)</f>
        <v/>
      </c>
      <c r="AH157" s="128" t="str">
        <f ca="1">IF(AH156="","",SUMPRODUCT(--(Leverancer!$C$28:$C$88=($G157+2)),Leverancer!R$28:R$88)/1000)</f>
        <v/>
      </c>
      <c r="AI157" s="128" t="str">
        <f ca="1">IF(AI156="","",SUMPRODUCT(--(Leverancer!$C$28:$C$88=($G157+2)),Leverancer!S$28:S$88)/1000)</f>
        <v/>
      </c>
      <c r="AJ157" s="128" t="str">
        <f ca="1">IF(AJ156="","",SUMPRODUCT(--(Leverancer!$C$28:$C$88=($G157+2)),Leverancer!T$28:T$88)/1000)</f>
        <v/>
      </c>
      <c r="AK157" s="128" t="str">
        <f ca="1">IF(AK156="","",SUMPRODUCT(--(Leverancer!$C$28:$C$88=($G157+2)),Leverancer!U$28:U$88)/1000)</f>
        <v/>
      </c>
      <c r="AL157" s="128" t="str">
        <f ca="1">IF(AL156="","",SUMPRODUCT(--(Leverancer!$C$28:$C$88=($G157+2)),Leverancer!V$28:V$88)/1000)</f>
        <v/>
      </c>
      <c r="AM157" s="128" t="str">
        <f ca="1">IF(AM156="","",SUMPRODUCT(--(Leverancer!$C$28:$C$88=($G157+2)),Leverancer!W$28:W$88)/1000)</f>
        <v/>
      </c>
      <c r="AN157" s="128" t="str">
        <f ca="1">IF(AN156="","",SUMPRODUCT(--(Leverancer!$C$28:$C$88=($G157+2)),Leverancer!X$28:X$88)/1000)</f>
        <v/>
      </c>
      <c r="AO157" s="128" t="str">
        <f ca="1">IF(AO156="","",SUMPRODUCT(--(Leverancer!$C$28:$C$88=($G157+2)),Leverancer!Y$28:Y$88)/1000)</f>
        <v/>
      </c>
      <c r="AP157" s="128" t="str">
        <f ca="1">IF(AP156="","",SUMPRODUCT(--(Leverancer!$C$28:$C$88=($G157+2)),Leverancer!Z$28:Z$88)/1000)</f>
        <v/>
      </c>
      <c r="AQ157" s="128" t="str">
        <f ca="1">IF(AQ156="","",SUMPRODUCT(--(Leverancer!$C$28:$C$88=($G157+2)),Leverancer!AA$28:AA$88)/1000)</f>
        <v/>
      </c>
      <c r="AR157" s="128" t="str">
        <f ca="1">IF(AR156="","",SUMPRODUCT(--(Leverancer!$C$28:$C$88=($G157+2)),Leverancer!AB$28:AB$88)/1000)</f>
        <v/>
      </c>
      <c r="AS157" s="128" t="str">
        <f ca="1">IF(AS156="","",SUMPRODUCT(--(Leverancer!$C$28:$C$88=($G157+2)),Leverancer!AC$28:AC$88)/1000)</f>
        <v/>
      </c>
      <c r="AT157" s="128" t="str">
        <f ca="1">IF(AT156="","",SUMPRODUCT(--(Leverancer!$C$28:$C$88=($G157+2)),Leverancer!AD$28:AD$88)/1000)</f>
        <v/>
      </c>
      <c r="AU157" s="128" t="str">
        <f ca="1">IF(AU156="","",SUMPRODUCT(--(Leverancer!$C$28:$C$88=($G157+2)),Leverancer!AE$28:AE$88)/1000)</f>
        <v/>
      </c>
      <c r="AV157" s="128" t="str">
        <f ca="1">IF(AV156="","",SUMPRODUCT(--(Leverancer!$C$28:$C$88=($G157+2)),Leverancer!AF$28:AF$88)/1000)</f>
        <v/>
      </c>
      <c r="AW157" s="128" t="str">
        <f ca="1">IF(AW156="","",SUMPRODUCT(--(Leverancer!$C$28:$C$88=($G157+2)),Leverancer!AG$28:AG$88)/1000)</f>
        <v/>
      </c>
      <c r="AX157" s="104"/>
      <c r="AY157" s="104"/>
      <c r="AZ157" s="101"/>
    </row>
    <row r="158" spans="3:52" ht="12.75" customHeight="1" x14ac:dyDescent="0.25">
      <c r="C158" s="142">
        <f>IFERROR(YEAR(C157),"")</f>
        <v>1900</v>
      </c>
      <c r="D158" s="142">
        <f>IFERROR(MONTH(C157),"")</f>
        <v>1</v>
      </c>
      <c r="E158" s="142">
        <f>INDEX(g_sc_1_assets_years,G157)</f>
        <v>0</v>
      </c>
      <c r="N158" s="99"/>
      <c r="O158" s="104"/>
      <c r="P158" s="104"/>
      <c r="Q158" s="129" t="str">
        <f>INDEX(g_lang_val,MATCH("tb_2_4_2",g_lang_key,0))</f>
        <v>Afskrivninger</v>
      </c>
      <c r="R158" s="130"/>
      <c r="S158" s="133">
        <f ca="1">SUM(T158:BG158)</f>
        <v>0</v>
      </c>
      <c r="T158" s="128">
        <f t="shared" ref="T158" ca="1" si="101">IF(T156="","",IF(T156&lt;$C158,0,IF(T156=$C158,T157/$C159*$E159+S159/$C159*$E159,IF(AND(T156&gt;$C158,T156&lt;ROUNDDOWN(($C158+($D158+$C159-1)/12),0)),(T157/2+S159)/($C159-$E159-12*(T156-$C158-1))*12,IF(AND($D159&lt;0,T156=ROUNDDOWN(($C158+($D158+$C159-1)/12),0)),S159+T157,IF(T156=ROUNDDOWN(($C158+($D158+$C159-1)/12),0),(T157+S159)/$C159*($D159+(T156-$C158-1)*12+$E159),IF(T156&gt;ROUNDDOWN(($C158+($D158+$C159)/12),0),0,0)))))))</f>
        <v>0</v>
      </c>
      <c r="U158" s="128">
        <f t="shared" ref="U158" ca="1" si="102">IF(U156="","",IF(U156&lt;$C158,0,IF(U156=$C158,U157/$C159*$E159+T159/$C159*$E159,IF(AND(U156&gt;$C158,U156&lt;ROUNDDOWN(($C158+($D158+$C159-1)/12),0)),(U157/2+T159)/($C159-$E159-12*(U156-$C158-1))*12,IF(AND($D159&lt;0,U156=ROUNDDOWN(($C158+($D158+$C159-1)/12),0)),T159+U157,IF(U156=ROUNDDOWN(($C158+($D158+$C159-1)/12),0),(U157+T159)/$C159*($D159+(U156-$C158-1)*12+$E159),IF(U156&gt;ROUNDDOWN(($C158+($D158+$C159)/12),0),0,0)))))))</f>
        <v>0</v>
      </c>
      <c r="V158" s="128">
        <f t="shared" ref="V158" ca="1" si="103">IF(V156="","",IF(V156&lt;$C158,0,IF(V156=$C158,V157/$C159*$E159+U159/$C159*$E159,IF(AND(V156&gt;$C158,V156&lt;ROUNDDOWN(($C158+($D158+$C159-1)/12),0)),(V157/2+U159)/($C159-$E159-12*(V156-$C158-1))*12,IF(AND($D159&lt;0,V156=ROUNDDOWN(($C158+($D158+$C159-1)/12),0)),U159+V157,IF(V156=ROUNDDOWN(($C158+($D158+$C159-1)/12),0),(V157+U159)/$C159*($D159+(V156-$C158-1)*12+$E159),IF(V156&gt;ROUNDDOWN(($C158+($D158+$C159)/12),0),0,0)))))))</f>
        <v>0</v>
      </c>
      <c r="W158" s="128">
        <f t="shared" ref="W158" ca="1" si="104">IF(W156="","",IF(W156&lt;$C158,0,IF(W156=$C158,W157/$C159*$E159+V159/$C159*$E159,IF(AND(W156&gt;$C158,W156&lt;ROUNDDOWN(($C158+($D158+$C159-1)/12),0)),(W157/2+V159)/($C159-$E159-12*(W156-$C158-1))*12,IF(AND($D159&lt;0,W156=ROUNDDOWN(($C158+($D158+$C159-1)/12),0)),V159+W157,IF(W156=ROUNDDOWN(($C158+($D158+$C159-1)/12),0),(W157+V159)/$C159*($D159+(W156-$C158-1)*12+$E159),IF(W156&gt;ROUNDDOWN(($C158+($D158+$C159)/12),0),0,0)))))))</f>
        <v>0</v>
      </c>
      <c r="X158" s="128" t="str">
        <f t="shared" ref="X158" ca="1" si="105">IF(X156="","",IF(X156&lt;$C158,0,IF(X156=$C158,X157/$C159*$E159+W159/$C159*$E159,IF(AND(X156&gt;$C158,X156&lt;ROUNDDOWN(($C158+($D158+$C159-1)/12),0)),(X157/2+W159)/($C159-$E159-12*(X156-$C158-1))*12,IF(AND($D159&lt;0,X156=ROUNDDOWN(($C158+($D158+$C159-1)/12),0)),W159+X157,IF(X156=ROUNDDOWN(($C158+($D158+$C159-1)/12),0),(X157+W159)/$C159*($D159+(X156-$C158-1)*12+$E159),IF(X156&gt;ROUNDDOWN(($C158+($D158+$C159)/12),0),0,0)))))))</f>
        <v/>
      </c>
      <c r="Y158" s="128" t="str">
        <f t="shared" ref="Y158" ca="1" si="106">IF(Y156="","",IF(Y156&lt;$C158,0,IF(Y156=$C158,Y157/$C159*$E159+X159/$C159*$E159,IF(AND(Y156&gt;$C158,Y156&lt;ROUNDDOWN(($C158+($D158+$C159-1)/12),0)),(Y157/2+X159)/($C159-$E159-12*(Y156-$C158-1))*12,IF(AND($D159&lt;0,Y156=ROUNDDOWN(($C158+($D158+$C159-1)/12),0)),X159+Y157,IF(Y156=ROUNDDOWN(($C158+($D158+$C159-1)/12),0),(Y157+X159)/$C159*($D159+(Y156-$C158-1)*12+$E159),IF(Y156&gt;ROUNDDOWN(($C158+($D158+$C159)/12),0),0,0)))))))</f>
        <v/>
      </c>
      <c r="Z158" s="128" t="str">
        <f ca="1">IF(Z156="","",IF(Z156&lt;$C158,0,IF(Z156=$C158,Z157/$C159*$E159+Y159/$C159*$E159,IF(AND(Z156&gt;$C158,Z156&lt;ROUNDDOWN(($C158+($D158+$C159-1)/12),0)),(Z157/2+Y159)/($C159-$E159-12*(Z156-$C158-1))*12,IF(AND($D159&lt;0,Z156=ROUNDDOWN(($C158+($D158+$C159-1)/12),0)),Y159+Z157,IF(Z156=ROUNDDOWN(($C158+($D158+$C159-1)/12),0),(Z157+Y159)/$C159*($D159+(Z156-$C158-1)*12+$E159),IF(Z156&gt;ROUNDDOWN(($C158+($D158+$C159)/12),0),0,0)))))))</f>
        <v/>
      </c>
      <c r="AA158" s="128" t="str">
        <f t="shared" ref="AA158" ca="1" si="107">IF(AA156="","",IF(AA156&lt;$C158,0,IF(AA156=$C158,AA157/$C159*$E159+Z159/$C159*$E159,IF(AND(AA156&gt;$C158,AA156&lt;ROUNDDOWN(($C158+($D158+$C159-1)/12),0)),(AA157/2+Z159)/($C159-$E159-12*(AA156-$C158-1))*12,IF(AND($D159&lt;0,AA156=ROUNDDOWN(($C158+($D158+$C159-1)/12),0)),Z159+AA157,IF(AA156=ROUNDDOWN(($C158+($D158+$C159-1)/12),0),(AA157+Z159)/$C159*($D159+(AA156-$C158-1)*12+$E159),IF(AA156&gt;ROUNDDOWN(($C158+($D158+$C159)/12),0),0,0)))))))</f>
        <v/>
      </c>
      <c r="AB158" s="128" t="str">
        <f t="shared" ref="AB158" ca="1" si="108">IF(AB156="","",IF(AB156&lt;$C158,0,IF(AB156=$C158,AB157/$C159*$E159+AA159/$C159*$E159,IF(AND(AB156&gt;$C158,AB156&lt;ROUNDDOWN(($C158+($D158+$C159-1)/12),0)),(AB157/2+AA159)/($C159-$E159-12*(AB156-$C158-1))*12,IF(AND($D159&lt;0,AB156=ROUNDDOWN(($C158+($D158+$C159-1)/12),0)),AA159+AB157,IF(AB156=ROUNDDOWN(($C158+($D158+$C159-1)/12),0),(AB157+AA159)/$C159*($D159+(AB156-$C158-1)*12+$E159),IF(AB156&gt;ROUNDDOWN(($C158+($D158+$C159)/12),0),0,0)))))))</f>
        <v/>
      </c>
      <c r="AC158" s="128" t="str">
        <f t="shared" ref="AC158" ca="1" si="109">IF(AC156="","",IF(AC156&lt;$C158,0,IF(AC156=$C158,AC157/$C159*$E159+AB159/$C159*$E159,IF(AND(AC156&gt;$C158,AC156&lt;ROUNDDOWN(($C158+($D158+$C159-1)/12),0)),(AC157/2+AB159)/($C159-$E159-12*(AC156-$C158-1))*12,IF(AND($D159&lt;0,AC156=ROUNDDOWN(($C158+($D158+$C159-1)/12),0)),AB159+AC157,IF(AC156=ROUNDDOWN(($C158+($D158+$C159-1)/12),0),(AC157+AB159)/$C159*($D159+(AC156-$C158-1)*12+$E159),IF(AC156&gt;ROUNDDOWN(($C158+($D158+$C159)/12),0),0,0)))))))</f>
        <v/>
      </c>
      <c r="AD158" s="128" t="str">
        <f t="shared" ref="AD158" ca="1" si="110">IF(AD156="","",IF(AD156&lt;$C158,0,IF(AD156=$C158,AD157/$C159*$E159+AC159/$C159*$E159,IF(AND(AD156&gt;$C158,AD156&lt;ROUNDDOWN(($C158+($D158+$C159-1)/12),0)),(AD157/2+AC159)/($C159-$E159-12*(AD156-$C158-1))*12,IF(AND($D159&lt;0,AD156=ROUNDDOWN(($C158+($D158+$C159-1)/12),0)),AC159+AD157,IF(AD156=ROUNDDOWN(($C158+($D158+$C159-1)/12),0),(AD157+AC159)/$C159*($D159+(AD156-$C158-1)*12+$E159),IF(AD156&gt;ROUNDDOWN(($C158+($D158+$C159)/12),0),0,0)))))))</f>
        <v/>
      </c>
      <c r="AE158" s="128" t="str">
        <f t="shared" ref="AE158" ca="1" si="111">IF(AE156="","",IF(AE156&lt;$C158,0,IF(AE156=$C158,AE157/$C159*$E159+AD159/$C159*$E159,IF(AND(AE156&gt;$C158,AE156&lt;ROUNDDOWN(($C158+($D158+$C159-1)/12),0)),(AE157/2+AD159)/($C159-$E159-12*(AE156-$C158-1))*12,IF(AND($D159&lt;0,AE156=ROUNDDOWN(($C158+($D158+$C159-1)/12),0)),AD159+AE157,IF(AE156=ROUNDDOWN(($C158+($D158+$C159-1)/12),0),(AE157+AD159)/$C159*($D159+(AE156-$C158-1)*12+$E159),IF(AE156&gt;ROUNDDOWN(($C158+($D158+$C159)/12),0),0,0)))))))</f>
        <v/>
      </c>
      <c r="AF158" s="128" t="str">
        <f t="shared" ref="AF158" ca="1" si="112">IF(AF156="","",IF(AF156&lt;$C158,0,IF(AF156=$C158,AF157/$C159*$E159+AE159/$C159*$E159,IF(AND(AF156&gt;$C158,AF156&lt;ROUNDDOWN(($C158+($D158+$C159-1)/12),0)),(AF157/2+AE159)/($C159-$E159-12*(AF156-$C158-1))*12,IF(AND($D159&lt;0,AF156=ROUNDDOWN(($C158+($D158+$C159-1)/12),0)),AE159+AF157,IF(AF156=ROUNDDOWN(($C158+($D158+$C159-1)/12),0),(AF157+AE159)/$C159*($D159+(AF156-$C158-1)*12+$E159),IF(AF156&gt;ROUNDDOWN(($C158+($D158+$C159)/12),0),0,0)))))))</f>
        <v/>
      </c>
      <c r="AG158" s="128" t="str">
        <f t="shared" ref="AG158" ca="1" si="113">IF(AG156="","",IF(AG156&lt;$C158,0,IF(AG156=$C158,AG157/$C159*$E159+AF159/$C159*$E159,IF(AND(AG156&gt;$C158,AG156&lt;ROUNDDOWN(($C158+($D158+$C159-1)/12),0)),(AG157/2+AF159)/($C159-$E159-12*(AG156-$C158-1))*12,IF(AND($D159&lt;0,AG156=ROUNDDOWN(($C158+($D158+$C159-1)/12),0)),AF159+AG157,IF(AG156=ROUNDDOWN(($C158+($D158+$C159-1)/12),0),(AG157+AF159)/$C159*($D159+(AG156-$C158-1)*12+$E159),IF(AG156&gt;ROUNDDOWN(($C158+($D158+$C159)/12),0),0,0)))))))</f>
        <v/>
      </c>
      <c r="AH158" s="128" t="str">
        <f t="shared" ref="AH158" ca="1" si="114">IF(AH156="","",IF(AH156&lt;$C158,0,IF(AH156=$C158,AH157/$C159*$E159+AG159/$C159*$E159,IF(AND(AH156&gt;$C158,AH156&lt;ROUNDDOWN(($C158+($D158+$C159-1)/12),0)),(AH157/2+AG159)/($C159-$E159-12*(AH156-$C158-1))*12,IF(AND($D159&lt;0,AH156=ROUNDDOWN(($C158+($D158+$C159-1)/12),0)),AG159+AH157,IF(AH156=ROUNDDOWN(($C158+($D158+$C159-1)/12),0),(AH157+AG159)/$C159*($D159+(AH156-$C158-1)*12+$E159),IF(AH156&gt;ROUNDDOWN(($C158+($D158+$C159)/12),0),0,0)))))))</f>
        <v/>
      </c>
      <c r="AI158" s="128" t="str">
        <f t="shared" ref="AI158" ca="1" si="115">IF(AI156="","",IF(AI156&lt;$C158,0,IF(AI156=$C158,AI157/$C159*$E159+AH159/$C159*$E159,IF(AND(AI156&gt;$C158,AI156&lt;ROUNDDOWN(($C158+($D158+$C159-1)/12),0)),(AI157/2+AH159)/($C159-$E159-12*(AI156-$C158-1))*12,IF(AND($D159&lt;0,AI156=ROUNDDOWN(($C158+($D158+$C159-1)/12),0)),AH159+AI157,IF(AI156=ROUNDDOWN(($C158+($D158+$C159-1)/12),0),(AI157+AH159)/$C159*($D159+(AI156-$C158-1)*12+$E159),IF(AI156&gt;ROUNDDOWN(($C158+($D158+$C159)/12),0),0,0)))))))</f>
        <v/>
      </c>
      <c r="AJ158" s="128" t="str">
        <f t="shared" ref="AJ158" ca="1" si="116">IF(AJ156="","",IF(AJ156&lt;$C158,0,IF(AJ156=$C158,AJ157/$C159*$E159+AI159/$C159*$E159,IF(AND(AJ156&gt;$C158,AJ156&lt;ROUNDDOWN(($C158+($D158+$C159-1)/12),0)),(AJ157/2+AI159)/($C159-$E159-12*(AJ156-$C158-1))*12,IF(AND($D159&lt;0,AJ156=ROUNDDOWN(($C158+($D158+$C159-1)/12),0)),AI159+AJ157,IF(AJ156=ROUNDDOWN(($C158+($D158+$C159-1)/12),0),(AJ157+AI159)/$C159*($D159+(AJ156-$C158-1)*12+$E159),IF(AJ156&gt;ROUNDDOWN(($C158+($D158+$C159)/12),0),0,0)))))))</f>
        <v/>
      </c>
      <c r="AK158" s="128" t="str">
        <f t="shared" ref="AK158" ca="1" si="117">IF(AK156="","",IF(AK156&lt;$C158,0,IF(AK156=$C158,AK157/$C159*$E159+AJ159/$C159*$E159,IF(AND(AK156&gt;$C158,AK156&lt;ROUNDDOWN(($C158+($D158+$C159-1)/12),0)),(AK157/2+AJ159)/($C159-$E159-12*(AK156-$C158-1))*12,IF(AND($D159&lt;0,AK156=ROUNDDOWN(($C158+($D158+$C159-1)/12),0)),AJ159+AK157,IF(AK156=ROUNDDOWN(($C158+($D158+$C159-1)/12),0),(AK157+AJ159)/$C159*($D159+(AK156-$C158-1)*12+$E159),IF(AK156&gt;ROUNDDOWN(($C158+($D158+$C159)/12),0),0,0)))))))</f>
        <v/>
      </c>
      <c r="AL158" s="128" t="str">
        <f t="shared" ref="AL158" ca="1" si="118">IF(AL156="","",IF(AL156&lt;$C158,0,IF(AL156=$C158,AL157/$C159*$E159+AK159/$C159*$E159,IF(AND(AL156&gt;$C158,AL156&lt;ROUNDDOWN(($C158+($D158+$C159-1)/12),0)),(AL157/2+AK159)/($C159-$E159-12*(AL156-$C158-1))*12,IF(AND($D159&lt;0,AL156=ROUNDDOWN(($C158+($D158+$C159-1)/12),0)),AK159+AL157,IF(AL156=ROUNDDOWN(($C158+($D158+$C159-1)/12),0),(AL157+AK159)/$C159*($D159+(AL156-$C158-1)*12+$E159),IF(AL156&gt;ROUNDDOWN(($C158+($D158+$C159)/12),0),0,0)))))))</f>
        <v/>
      </c>
      <c r="AM158" s="128" t="str">
        <f t="shared" ref="AM158" ca="1" si="119">IF(AM156="","",IF(AM156&lt;$C158,0,IF(AM156=$C158,AM157/$C159*$E159+AL159/$C159*$E159,IF(AND(AM156&gt;$C158,AM156&lt;ROUNDDOWN(($C158+($D158+$C159-1)/12),0)),(AM157/2+AL159)/($C159-$E159-12*(AM156-$C158-1))*12,IF(AND($D159&lt;0,AM156=ROUNDDOWN(($C158+($D158+$C159-1)/12),0)),AL159+AM157,IF(AM156=ROUNDDOWN(($C158+($D158+$C159-1)/12),0),(AM157+AL159)/$C159*($D159+(AM156-$C158-1)*12+$E159),IF(AM156&gt;ROUNDDOWN(($C158+($D158+$C159)/12),0),0,0)))))))</f>
        <v/>
      </c>
      <c r="AN158" s="128" t="str">
        <f t="shared" ref="AN158" ca="1" si="120">IF(AN156="","",IF(AN156&lt;$C158,0,IF(AN156=$C158,AN157/$C159*$E159+AM159/$C159*$E159,IF(AND(AN156&gt;$C158,AN156&lt;ROUNDDOWN(($C158+($D158+$C159-1)/12),0)),(AN157/2+AM159)/($C159-$E159-12*(AN156-$C158-1))*12,IF(AND($D159&lt;0,AN156=ROUNDDOWN(($C158+($D158+$C159-1)/12),0)),AM159+AN157,IF(AN156=ROUNDDOWN(($C158+($D158+$C159-1)/12),0),(AN157+AM159)/$C159*($D159+(AN156-$C158-1)*12+$E159),IF(AN156&gt;ROUNDDOWN(($C158+($D158+$C159)/12),0),0,0)))))))</f>
        <v/>
      </c>
      <c r="AO158" s="128" t="str">
        <f t="shared" ref="AO158" ca="1" si="121">IF(AO156="","",IF(AO156&lt;$C158,0,IF(AO156=$C158,AO157/$C159*$E159+AN159/$C159*$E159,IF(AND(AO156&gt;$C158,AO156&lt;ROUNDDOWN(($C158+($D158+$C159-1)/12),0)),(AO157/2+AN159)/($C159-$E159-12*(AO156-$C158-1))*12,IF(AND($D159&lt;0,AO156=ROUNDDOWN(($C158+($D158+$C159-1)/12),0)),AN159+AO157,IF(AO156=ROUNDDOWN(($C158+($D158+$C159-1)/12),0),(AO157+AN159)/$C159*($D159+(AO156-$C158-1)*12+$E159),IF(AO156&gt;ROUNDDOWN(($C158+($D158+$C159)/12),0),0,0)))))))</f>
        <v/>
      </c>
      <c r="AP158" s="128" t="str">
        <f t="shared" ref="AP158" ca="1" si="122">IF(AP156="","",IF(AP156&lt;$C158,0,IF(AP156=$C158,AP157/$C159*$E159+AO159/$C159*$E159,IF(AND(AP156&gt;$C158,AP156&lt;ROUNDDOWN(($C158+($D158+$C159-1)/12),0)),(AP157/2+AO159)/($C159-$E159-12*(AP156-$C158-1))*12,IF(AND($D159&lt;0,AP156=ROUNDDOWN(($C158+($D158+$C159-1)/12),0)),AO159+AP157,IF(AP156=ROUNDDOWN(($C158+($D158+$C159-1)/12),0),(AP157+AO159)/$C159*($D159+(AP156-$C158-1)*12+$E159),IF(AP156&gt;ROUNDDOWN(($C158+($D158+$C159)/12),0),0,0)))))))</f>
        <v/>
      </c>
      <c r="AQ158" s="128" t="str">
        <f t="shared" ref="AQ158" ca="1" si="123">IF(AQ156="","",IF(AQ156&lt;$C158,0,IF(AQ156=$C158,AQ157/$C159*$E159+AP159/$C159*$E159,IF(AND(AQ156&gt;$C158,AQ156&lt;ROUNDDOWN(($C158+($D158+$C159-1)/12),0)),(AQ157/2+AP159)/($C159-$E159-12*(AQ156-$C158-1))*12,IF(AND($D159&lt;0,AQ156=ROUNDDOWN(($C158+($D158+$C159-1)/12),0)),AP159+AQ157,IF(AQ156=ROUNDDOWN(($C158+($D158+$C159-1)/12),0),(AQ157+AP159)/$C159*($D159+(AQ156-$C158-1)*12+$E159),IF(AQ156&gt;ROUNDDOWN(($C158+($D158+$C159)/12),0),0,0)))))))</f>
        <v/>
      </c>
      <c r="AR158" s="128" t="str">
        <f t="shared" ref="AR158" ca="1" si="124">IF(AR156="","",IF(AR156&lt;$C158,0,IF(AR156=$C158,AR157/$C159*$E159+AQ159/$C159*$E159,IF(AND(AR156&gt;$C158,AR156&lt;ROUNDDOWN(($C158+($D158+$C159-1)/12),0)),(AR157/2+AQ159)/($C159-$E159-12*(AR156-$C158-1))*12,IF(AND($D159&lt;0,AR156=ROUNDDOWN(($C158+($D158+$C159-1)/12),0)),AQ159+AR157,IF(AR156=ROUNDDOWN(($C158+($D158+$C159-1)/12),0),(AR157+AQ159)/$C159*($D159+(AR156-$C158-1)*12+$E159),IF(AR156&gt;ROUNDDOWN(($C158+($D158+$C159)/12),0),0,0)))))))</f>
        <v/>
      </c>
      <c r="AS158" s="128" t="str">
        <f t="shared" ref="AS158" ca="1" si="125">IF(AS156="","",IF(AS156&lt;$C158,0,IF(AS156=$C158,AS157/$C159*$E159+AR159/$C159*$E159,IF(AND(AS156&gt;$C158,AS156&lt;ROUNDDOWN(($C158+($D158+$C159-1)/12),0)),(AS157/2+AR159)/($C159-$E159-12*(AS156-$C158-1))*12,IF(AND($D159&lt;0,AS156=ROUNDDOWN(($C158+($D158+$C159-1)/12),0)),AR159+AS157,IF(AS156=ROUNDDOWN(($C158+($D158+$C159-1)/12),0),(AS157+AR159)/$C159*($D159+(AS156-$C158-1)*12+$E159),IF(AS156&gt;ROUNDDOWN(($C158+($D158+$C159)/12),0),0,0)))))))</f>
        <v/>
      </c>
      <c r="AT158" s="128" t="str">
        <f t="shared" ref="AT158" ca="1" si="126">IF(AT156="","",IF(AT156&lt;$C158,0,IF(AT156=$C158,AT157/$C159*$E159+AS159/$C159*$E159,IF(AND(AT156&gt;$C158,AT156&lt;ROUNDDOWN(($C158+($D158+$C159-1)/12),0)),(AT157/2+AS159)/($C159-$E159-12*(AT156-$C158-1))*12,IF(AND($D159&lt;0,AT156=ROUNDDOWN(($C158+($D158+$C159-1)/12),0)),AS159+AT157,IF(AT156=ROUNDDOWN(($C158+($D158+$C159-1)/12),0),(AT157+AS159)/$C159*($D159+(AT156-$C158-1)*12+$E159),IF(AT156&gt;ROUNDDOWN(($C158+($D158+$C159)/12),0),0,0)))))))</f>
        <v/>
      </c>
      <c r="AU158" s="128" t="str">
        <f t="shared" ref="AU158" ca="1" si="127">IF(AU156="","",IF(AU156&lt;$C158,0,IF(AU156=$C158,AU157/$C159*$E159+AT159/$C159*$E159,IF(AND(AU156&gt;$C158,AU156&lt;ROUNDDOWN(($C158+($D158+$C159-1)/12),0)),(AU157/2+AT159)/($C159-$E159-12*(AU156-$C158-1))*12,IF(AND($D159&lt;0,AU156=ROUNDDOWN(($C158+($D158+$C159-1)/12),0)),AT159+AU157,IF(AU156=ROUNDDOWN(($C158+($D158+$C159-1)/12),0),(AU157+AT159)/$C159*($D159+(AU156-$C158-1)*12+$E159),IF(AU156&gt;ROUNDDOWN(($C158+($D158+$C159)/12),0),0,0)))))))</f>
        <v/>
      </c>
      <c r="AV158" s="128" t="str">
        <f t="shared" ref="AV158" ca="1" si="128">IF(AV156="","",IF(AV156&lt;$C158,0,IF(AV156=$C158,AV157/$C159*$E159+AU159/$C159*$E159,IF(AND(AV156&gt;$C158,AV156&lt;ROUNDDOWN(($C158+($D158+$C159-1)/12),0)),(AV157/2+AU159)/($C159-$E159-12*(AV156-$C158-1))*12,IF(AND($D159&lt;0,AV156=ROUNDDOWN(($C158+($D158+$C159-1)/12),0)),AU159+AV157,IF(AV156=ROUNDDOWN(($C158+($D158+$C159-1)/12),0),(AV157+AU159)/$C159*($D159+(AV156-$C158-1)*12+$E159),IF(AV156&gt;ROUNDDOWN(($C158+($D158+$C159)/12),0),0,0)))))))</f>
        <v/>
      </c>
      <c r="AW158" s="128" t="str">
        <f t="shared" ref="AW158" ca="1" si="129">IF(AW156="","",IF(AW156&lt;$C158,0,IF(AW156=$C158,AW157/$C159*$E159+AV159/$C159*$E159,IF(AND(AW156&gt;$C158,AW156&lt;ROUNDDOWN(($C158+($D158+$C159-1)/12),0)),(AW157/2+AV159)/($C159-$E159-12*(AW156-$C158-1))*12,IF(AND($D159&lt;0,AW156=ROUNDDOWN(($C158+($D158+$C159-1)/12),0)),AV159+AW157,IF(AW156=ROUNDDOWN(($C158+($D158+$C159-1)/12),0),(AW157+AV159)/$C159*($D159+(AW156-$C158-1)*12+$E159),IF(AW156&gt;ROUNDDOWN(($C158+($D158+$C159)/12),0),0,0)))))))</f>
        <v/>
      </c>
      <c r="AX158" s="104"/>
      <c r="AY158" s="104"/>
      <c r="AZ158" s="101"/>
    </row>
    <row r="159" spans="3:52" ht="12.75" customHeight="1" x14ac:dyDescent="0.25">
      <c r="C159" s="142">
        <f>ROUNDUP((E158-ROUNDDOWN(E158,0))*12,0)+ROUNDDOWN(E158,0)*12</f>
        <v>0</v>
      </c>
      <c r="D159" s="142">
        <f>C159-E159-ROUNDDOWN(E158,0)*12</f>
        <v>-12</v>
      </c>
      <c r="E159" s="142">
        <f>13-MONTH(C157)</f>
        <v>12</v>
      </c>
      <c r="N159" s="99"/>
      <c r="O159" s="104"/>
      <c r="P159" s="104"/>
      <c r="Q159" s="129" t="str">
        <f>INDEX(g_lang_val,MATCH("tb_2_4_3",g_lang_key,0))</f>
        <v>FF4-gæld, ultimo året</v>
      </c>
      <c r="R159" s="130"/>
      <c r="S159" s="133"/>
      <c r="T159" s="128">
        <f t="shared" ref="T159" ca="1" si="130">IF(T156="","",S159+T157-T158)</f>
        <v>0</v>
      </c>
      <c r="U159" s="128">
        <f t="shared" ref="U159" ca="1" si="131">IF(U156="","",T159+U157-U158)</f>
        <v>0</v>
      </c>
      <c r="V159" s="128">
        <f t="shared" ref="V159" ca="1" si="132">IF(V156="","",U159+V157-V158)</f>
        <v>0</v>
      </c>
      <c r="W159" s="128">
        <f t="shared" ref="W159" ca="1" si="133">IF(W156="","",V159+W157-W158)</f>
        <v>0</v>
      </c>
      <c r="X159" s="128" t="str">
        <f t="shared" ref="X159" ca="1" si="134">IF(X156="","",W159+X157-X158)</f>
        <v/>
      </c>
      <c r="Y159" s="128" t="str">
        <f t="shared" ref="Y159" ca="1" si="135">IF(Y156="","",X159+Y157-Y158)</f>
        <v/>
      </c>
      <c r="Z159" s="128" t="str">
        <f t="shared" ref="Z159" ca="1" si="136">IF(Z156="","",Y159+Z157-Z158)</f>
        <v/>
      </c>
      <c r="AA159" s="128" t="str">
        <f t="shared" ref="AA159" ca="1" si="137">IF(AA156="","",Z159+AA157-AA158)</f>
        <v/>
      </c>
      <c r="AB159" s="128" t="str">
        <f t="shared" ref="AB159" ca="1" si="138">IF(AB156="","",AA159+AB157-AB158)</f>
        <v/>
      </c>
      <c r="AC159" s="128" t="str">
        <f t="shared" ref="AC159" ca="1" si="139">IF(AC156="","",AB159+AC157-AC158)</f>
        <v/>
      </c>
      <c r="AD159" s="128" t="str">
        <f t="shared" ref="AD159" ca="1" si="140">IF(AD156="","",AC159+AD157-AD158)</f>
        <v/>
      </c>
      <c r="AE159" s="128" t="str">
        <f t="shared" ref="AE159" ca="1" si="141">IF(AE156="","",AD159+AE157-AE158)</f>
        <v/>
      </c>
      <c r="AF159" s="128" t="str">
        <f t="shared" ref="AF159" ca="1" si="142">IF(AF156="","",AE159+AF157-AF158)</f>
        <v/>
      </c>
      <c r="AG159" s="128" t="str">
        <f t="shared" ref="AG159" ca="1" si="143">IF(AG156="","",AF159+AG157-AG158)</f>
        <v/>
      </c>
      <c r="AH159" s="128" t="str">
        <f t="shared" ref="AH159" ca="1" si="144">IF(AH156="","",AG159+AH157-AH158)</f>
        <v/>
      </c>
      <c r="AI159" s="128" t="str">
        <f t="shared" ref="AI159" ca="1" si="145">IF(AI156="","",AH159+AI157-AI158)</f>
        <v/>
      </c>
      <c r="AJ159" s="128" t="str">
        <f t="shared" ref="AJ159" ca="1" si="146">IF(AJ156="","",AI159+AJ157-AJ158)</f>
        <v/>
      </c>
      <c r="AK159" s="128" t="str">
        <f t="shared" ref="AK159" ca="1" si="147">IF(AK156="","",AJ159+AK157-AK158)</f>
        <v/>
      </c>
      <c r="AL159" s="128" t="str">
        <f t="shared" ref="AL159" ca="1" si="148">IF(AL156="","",AK159+AL157-AL158)</f>
        <v/>
      </c>
      <c r="AM159" s="128" t="str">
        <f t="shared" ref="AM159" ca="1" si="149">IF(AM156="","",AL159+AM157-AM158)</f>
        <v/>
      </c>
      <c r="AN159" s="128" t="str">
        <f t="shared" ref="AN159" ca="1" si="150">IF(AN156="","",AM159+AN157-AN158)</f>
        <v/>
      </c>
      <c r="AO159" s="128" t="str">
        <f t="shared" ref="AO159" ca="1" si="151">IF(AO156="","",AN159+AO157-AO158)</f>
        <v/>
      </c>
      <c r="AP159" s="128" t="str">
        <f t="shared" ref="AP159" ca="1" si="152">IF(AP156="","",AO159+AP157-AP158)</f>
        <v/>
      </c>
      <c r="AQ159" s="128" t="str">
        <f t="shared" ref="AQ159" ca="1" si="153">IF(AQ156="","",AP159+AQ157-AQ158)</f>
        <v/>
      </c>
      <c r="AR159" s="128" t="str">
        <f t="shared" ref="AR159" ca="1" si="154">IF(AR156="","",AQ159+AR157-AR158)</f>
        <v/>
      </c>
      <c r="AS159" s="128" t="str">
        <f t="shared" ref="AS159" ca="1" si="155">IF(AS156="","",AR159+AS157-AS158)</f>
        <v/>
      </c>
      <c r="AT159" s="128" t="str">
        <f t="shared" ref="AT159" ca="1" si="156">IF(AT156="","",AS159+AT157-AT158)</f>
        <v/>
      </c>
      <c r="AU159" s="128" t="str">
        <f t="shared" ref="AU159" ca="1" si="157">IF(AU156="","",AT159+AU157-AU158)</f>
        <v/>
      </c>
      <c r="AV159" s="128" t="str">
        <f t="shared" ref="AV159" ca="1" si="158">IF(AV156="","",AU159+AV157-AV158)</f>
        <v/>
      </c>
      <c r="AW159" s="128" t="str">
        <f t="shared" ref="AW159" ca="1" si="159">IF(AW156="","",AV159+AW157-AW158)</f>
        <v/>
      </c>
      <c r="AX159" s="104"/>
      <c r="AY159" s="104"/>
      <c r="AZ159" s="101"/>
    </row>
    <row r="160" spans="3:52" ht="12.75" customHeight="1" x14ac:dyDescent="0.25">
      <c r="N160" s="99"/>
      <c r="O160" s="104"/>
      <c r="P160" s="104"/>
      <c r="Q160" s="129" t="str">
        <f>INDEX(g_lang_val,MATCH("tb_2_4_4",g_lang_key,0))</f>
        <v>Renter (FF4)</v>
      </c>
      <c r="R160" s="130"/>
      <c r="S160" s="133">
        <f ca="1">SUM(T160:BG160)</f>
        <v>0</v>
      </c>
      <c r="T160" s="128">
        <f t="shared" ref="T160" ca="1" si="160">IF(T156="","",g_interest_FF4*(S159+(T157/2)-(T158/2)))</f>
        <v>0</v>
      </c>
      <c r="U160" s="128">
        <f t="shared" ref="U160" ca="1" si="161">IF(U156="","",g_interest_FF4*(T159+(U157/2)-(U158/2)))</f>
        <v>0</v>
      </c>
      <c r="V160" s="128">
        <f t="shared" ref="V160" ca="1" si="162">IF(V156="","",g_interest_FF4*(U159+(V157/2)-(V158/2)))</f>
        <v>0</v>
      </c>
      <c r="W160" s="128">
        <f t="shared" ref="W160" ca="1" si="163">IF(W156="","",g_interest_FF4*(V159+(W157/2)-(W158/2)))</f>
        <v>0</v>
      </c>
      <c r="X160" s="128" t="str">
        <f t="shared" ref="X160" ca="1" si="164">IF(X156="","",g_interest_FF4*(W159+(X157/2)-(X158/2)))</f>
        <v/>
      </c>
      <c r="Y160" s="128" t="str">
        <f t="shared" ref="Y160" ca="1" si="165">IF(Y156="","",g_interest_FF4*(X159+(Y157/2)-(Y158/2)))</f>
        <v/>
      </c>
      <c r="Z160" s="128" t="str">
        <f t="shared" ref="Z160" ca="1" si="166">IF(Z156="","",g_interest_FF4*(Y159+(Z157/2)-(Z158/2)))</f>
        <v/>
      </c>
      <c r="AA160" s="128" t="str">
        <f t="shared" ref="AA160" ca="1" si="167">IF(AA156="","",g_interest_FF4*(Z159+(AA157/2)-(AA158/2)))</f>
        <v/>
      </c>
      <c r="AB160" s="128" t="str">
        <f t="shared" ref="AB160" ca="1" si="168">IF(AB156="","",g_interest_FF4*(AA159+(AB157/2)-(AB158/2)))</f>
        <v/>
      </c>
      <c r="AC160" s="128" t="str">
        <f t="shared" ref="AC160" ca="1" si="169">IF(AC156="","",g_interest_FF4*(AB159+(AC157/2)-(AC158/2)))</f>
        <v/>
      </c>
      <c r="AD160" s="128" t="str">
        <f t="shared" ref="AD160" ca="1" si="170">IF(AD156="","",g_interest_FF4*(AC159+(AD157/2)-(AD158/2)))</f>
        <v/>
      </c>
      <c r="AE160" s="128" t="str">
        <f t="shared" ref="AE160" ca="1" si="171">IF(AE156="","",g_interest_FF4*(AD159+(AE157/2)-(AE158/2)))</f>
        <v/>
      </c>
      <c r="AF160" s="128" t="str">
        <f t="shared" ref="AF160" ca="1" si="172">IF(AF156="","",g_interest_FF4*(AE159+(AF157/2)-(AF158/2)))</f>
        <v/>
      </c>
      <c r="AG160" s="128" t="str">
        <f t="shared" ref="AG160" ca="1" si="173">IF(AG156="","",g_interest_FF4*(AF159+(AG157/2)-(AG158/2)))</f>
        <v/>
      </c>
      <c r="AH160" s="128" t="str">
        <f t="shared" ref="AH160" ca="1" si="174">IF(AH156="","",g_interest_FF4*(AG159+(AH157/2)-(AH158/2)))</f>
        <v/>
      </c>
      <c r="AI160" s="128" t="str">
        <f t="shared" ref="AI160" ca="1" si="175">IF(AI156="","",g_interest_FF4*(AH159+(AI157/2)-(AI158/2)))</f>
        <v/>
      </c>
      <c r="AJ160" s="128" t="str">
        <f t="shared" ref="AJ160" ca="1" si="176">IF(AJ156="","",g_interest_FF4*(AI159+(AJ157/2)-(AJ158/2)))</f>
        <v/>
      </c>
      <c r="AK160" s="128" t="str">
        <f t="shared" ref="AK160" ca="1" si="177">IF(AK156="","",g_interest_FF4*(AJ159+(AK157/2)-(AK158/2)))</f>
        <v/>
      </c>
      <c r="AL160" s="128" t="str">
        <f t="shared" ref="AL160" ca="1" si="178">IF(AL156="","",g_interest_FF4*(AK159+(AL157/2)-(AL158/2)))</f>
        <v/>
      </c>
      <c r="AM160" s="128" t="str">
        <f t="shared" ref="AM160" ca="1" si="179">IF(AM156="","",g_interest_FF4*(AL159+(AM157/2)-(AM158/2)))</f>
        <v/>
      </c>
      <c r="AN160" s="128" t="str">
        <f t="shared" ref="AN160" ca="1" si="180">IF(AN156="","",g_interest_FF4*(AM159+(AN157/2)-(AN158/2)))</f>
        <v/>
      </c>
      <c r="AO160" s="128" t="str">
        <f t="shared" ref="AO160" ca="1" si="181">IF(AO156="","",g_interest_FF4*(AN159+(AO157/2)-(AO158/2)))</f>
        <v/>
      </c>
      <c r="AP160" s="128" t="str">
        <f t="shared" ref="AP160" ca="1" si="182">IF(AP156="","",g_interest_FF4*(AO159+(AP157/2)-(AP158/2)))</f>
        <v/>
      </c>
      <c r="AQ160" s="128" t="str">
        <f t="shared" ref="AQ160" ca="1" si="183">IF(AQ156="","",g_interest_FF4*(AP159+(AQ157/2)-(AQ158/2)))</f>
        <v/>
      </c>
      <c r="AR160" s="128" t="str">
        <f t="shared" ref="AR160" ca="1" si="184">IF(AR156="","",g_interest_FF4*(AQ159+(AR157/2)-(AR158/2)))</f>
        <v/>
      </c>
      <c r="AS160" s="128" t="str">
        <f t="shared" ref="AS160" ca="1" si="185">IF(AS156="","",g_interest_FF4*(AR159+(AS157/2)-(AS158/2)))</f>
        <v/>
      </c>
      <c r="AT160" s="128" t="str">
        <f t="shared" ref="AT160" ca="1" si="186">IF(AT156="","",g_interest_FF4*(AS159+(AT157/2)-(AT158/2)))</f>
        <v/>
      </c>
      <c r="AU160" s="128" t="str">
        <f t="shared" ref="AU160" ca="1" si="187">IF(AU156="","",g_interest_FF4*(AT159+(AU157/2)-(AU158/2)))</f>
        <v/>
      </c>
      <c r="AV160" s="128" t="str">
        <f t="shared" ref="AV160" ca="1" si="188">IF(AV156="","",g_interest_FF4*(AU159+(AV157/2)-(AV158/2)))</f>
        <v/>
      </c>
      <c r="AW160" s="128" t="str">
        <f t="shared" ref="AW160" ca="1" si="189">IF(AW156="","",g_interest_FF4*(AV159+(AW157/2)-(AW158/2)))</f>
        <v/>
      </c>
      <c r="AX160" s="104"/>
      <c r="AY160" s="104"/>
      <c r="AZ160" s="101"/>
    </row>
    <row r="161" spans="3:52" ht="12.75" customHeight="1" x14ac:dyDescent="0.25">
      <c r="N161" s="99"/>
      <c r="O161" s="104"/>
      <c r="P161" s="104"/>
      <c r="Q161" s="132" t="str">
        <f>INDEX(g_assets_sc_1,5)</f>
        <v/>
      </c>
      <c r="R161" s="132"/>
      <c r="S161" s="127"/>
      <c r="T161" s="139">
        <f ca="1">T$150</f>
        <v>2025</v>
      </c>
      <c r="U161" s="139">
        <f t="shared" ref="U161:AW161" ca="1" si="190">U$150</f>
        <v>2026</v>
      </c>
      <c r="V161" s="139">
        <f t="shared" ca="1" si="190"/>
        <v>2027</v>
      </c>
      <c r="W161" s="139">
        <f t="shared" ca="1" si="190"/>
        <v>2028</v>
      </c>
      <c r="X161" s="139" t="str">
        <f t="shared" ca="1" si="190"/>
        <v/>
      </c>
      <c r="Y161" s="139" t="str">
        <f t="shared" ca="1" si="190"/>
        <v/>
      </c>
      <c r="Z161" s="139" t="str">
        <f t="shared" ca="1" si="190"/>
        <v/>
      </c>
      <c r="AA161" s="139" t="str">
        <f t="shared" ca="1" si="190"/>
        <v/>
      </c>
      <c r="AB161" s="139" t="str">
        <f t="shared" ca="1" si="190"/>
        <v/>
      </c>
      <c r="AC161" s="139" t="str">
        <f t="shared" ca="1" si="190"/>
        <v/>
      </c>
      <c r="AD161" s="139" t="str">
        <f t="shared" ca="1" si="190"/>
        <v/>
      </c>
      <c r="AE161" s="139" t="str">
        <f t="shared" ca="1" si="190"/>
        <v/>
      </c>
      <c r="AF161" s="139" t="str">
        <f t="shared" ca="1" si="190"/>
        <v/>
      </c>
      <c r="AG161" s="139" t="str">
        <f t="shared" ca="1" si="190"/>
        <v/>
      </c>
      <c r="AH161" s="139" t="str">
        <f t="shared" ca="1" si="190"/>
        <v/>
      </c>
      <c r="AI161" s="139" t="str">
        <f t="shared" ca="1" si="190"/>
        <v/>
      </c>
      <c r="AJ161" s="139" t="str">
        <f t="shared" ca="1" si="190"/>
        <v/>
      </c>
      <c r="AK161" s="139" t="str">
        <f t="shared" ca="1" si="190"/>
        <v/>
      </c>
      <c r="AL161" s="139" t="str">
        <f t="shared" ca="1" si="190"/>
        <v/>
      </c>
      <c r="AM161" s="139" t="str">
        <f t="shared" ca="1" si="190"/>
        <v/>
      </c>
      <c r="AN161" s="139" t="str">
        <f t="shared" ca="1" si="190"/>
        <v/>
      </c>
      <c r="AO161" s="139" t="str">
        <f t="shared" ca="1" si="190"/>
        <v/>
      </c>
      <c r="AP161" s="139" t="str">
        <f t="shared" ca="1" si="190"/>
        <v/>
      </c>
      <c r="AQ161" s="139" t="str">
        <f t="shared" ca="1" si="190"/>
        <v/>
      </c>
      <c r="AR161" s="139" t="str">
        <f t="shared" ca="1" si="190"/>
        <v/>
      </c>
      <c r="AS161" s="139" t="str">
        <f t="shared" ca="1" si="190"/>
        <v/>
      </c>
      <c r="AT161" s="139" t="str">
        <f t="shared" ca="1" si="190"/>
        <v/>
      </c>
      <c r="AU161" s="139" t="str">
        <f t="shared" ca="1" si="190"/>
        <v/>
      </c>
      <c r="AV161" s="139" t="str">
        <f t="shared" ca="1" si="190"/>
        <v/>
      </c>
      <c r="AW161" s="139" t="str">
        <f t="shared" ca="1" si="190"/>
        <v/>
      </c>
      <c r="AX161" s="104"/>
      <c r="AY161" s="104"/>
      <c r="AZ161" s="101"/>
    </row>
    <row r="162" spans="3:52" ht="12.75" customHeight="1" x14ac:dyDescent="0.25">
      <c r="C162" s="140">
        <f>INDEX(g_sc_1_assets_dates,G162)</f>
        <v>0</v>
      </c>
      <c r="G162" s="141">
        <v>3</v>
      </c>
      <c r="N162" s="99"/>
      <c r="O162" s="104"/>
      <c r="P162" s="104"/>
      <c r="Q162" s="129" t="str">
        <f>INDEX(g_lang_val,MATCH("tb_2_4_1",g_lang_key,0))</f>
        <v>Køb af anlægsaktiver</v>
      </c>
      <c r="R162" s="130"/>
      <c r="S162" s="133">
        <f ca="1">SUM(T162:BG162)</f>
        <v>0</v>
      </c>
      <c r="T162" s="128">
        <f ca="1">IF(T161="","",SUMPRODUCT(--(Leverancer!$C$28:$C$88=($G162+2)),Leverancer!D$28:D$88)/1000)</f>
        <v>0</v>
      </c>
      <c r="U162" s="128">
        <f ca="1">IF(U161="","",SUMPRODUCT(--(Leverancer!$C$28:$C$88=($G162+2)),Leverancer!E$28:E$88)/1000)</f>
        <v>0</v>
      </c>
      <c r="V162" s="128">
        <f ca="1">IF(V161="","",SUMPRODUCT(--(Leverancer!$C$28:$C$88=($G162+2)),Leverancer!F$28:F$88)/1000)</f>
        <v>0</v>
      </c>
      <c r="W162" s="128">
        <f ca="1">IF(W161="","",SUMPRODUCT(--(Leverancer!$C$28:$C$88=($G162+2)),Leverancer!G$28:G$88)/1000)</f>
        <v>0</v>
      </c>
      <c r="X162" s="128" t="str">
        <f ca="1">IF(X161="","",SUMPRODUCT(--(Leverancer!$C$28:$C$88=($G162+2)),Leverancer!H$28:H$88)/1000)</f>
        <v/>
      </c>
      <c r="Y162" s="128" t="str">
        <f ca="1">IF(Y161="","",SUMPRODUCT(--(Leverancer!$C$28:$C$88=($G162+2)),Leverancer!I$28:I$88)/1000)</f>
        <v/>
      </c>
      <c r="Z162" s="128" t="str">
        <f ca="1">IF(Z161="","",SUMPRODUCT(--(Leverancer!$C$28:$C$88=($G162+2)),Leverancer!J$28:J$88)/1000)</f>
        <v/>
      </c>
      <c r="AA162" s="128" t="str">
        <f ca="1">IF(AA161="","",SUMPRODUCT(--(Leverancer!$C$28:$C$88=($G162+2)),Leverancer!K$28:K$88)/1000)</f>
        <v/>
      </c>
      <c r="AB162" s="128" t="str">
        <f ca="1">IF(AB161="","",SUMPRODUCT(--(Leverancer!$C$28:$C$88=($G162+2)),Leverancer!L$28:L$88)/1000)</f>
        <v/>
      </c>
      <c r="AC162" s="128" t="str">
        <f ca="1">IF(AC161="","",SUMPRODUCT(--(Leverancer!$C$28:$C$88=($G162+2)),Leverancer!M$28:M$88)/1000)</f>
        <v/>
      </c>
      <c r="AD162" s="128" t="str">
        <f ca="1">IF(AD161="","",SUMPRODUCT(--(Leverancer!$C$28:$C$88=($G162+2)),Leverancer!N$28:N$88)/1000)</f>
        <v/>
      </c>
      <c r="AE162" s="128" t="str">
        <f ca="1">IF(AE161="","",SUMPRODUCT(--(Leverancer!$C$28:$C$88=($G162+2)),Leverancer!O$28:O$88)/1000)</f>
        <v/>
      </c>
      <c r="AF162" s="128" t="str">
        <f ca="1">IF(AF161="","",SUMPRODUCT(--(Leverancer!$C$28:$C$88=($G162+2)),Leverancer!P$28:P$88)/1000)</f>
        <v/>
      </c>
      <c r="AG162" s="128" t="str">
        <f ca="1">IF(AG161="","",SUMPRODUCT(--(Leverancer!$C$28:$C$88=($G162+2)),Leverancer!Q$28:Q$88)/1000)</f>
        <v/>
      </c>
      <c r="AH162" s="128" t="str">
        <f ca="1">IF(AH161="","",SUMPRODUCT(--(Leverancer!$C$28:$C$88=($G162+2)),Leverancer!R$28:R$88)/1000)</f>
        <v/>
      </c>
      <c r="AI162" s="128" t="str">
        <f ca="1">IF(AI161="","",SUMPRODUCT(--(Leverancer!$C$28:$C$88=($G162+2)),Leverancer!S$28:S$88)/1000)</f>
        <v/>
      </c>
      <c r="AJ162" s="128" t="str">
        <f ca="1">IF(AJ161="","",SUMPRODUCT(--(Leverancer!$C$28:$C$88=($G162+2)),Leverancer!T$28:T$88)/1000)</f>
        <v/>
      </c>
      <c r="AK162" s="128" t="str">
        <f ca="1">IF(AK161="","",SUMPRODUCT(--(Leverancer!$C$28:$C$88=($G162+2)),Leverancer!U$28:U$88)/1000)</f>
        <v/>
      </c>
      <c r="AL162" s="128" t="str">
        <f ca="1">IF(AL161="","",SUMPRODUCT(--(Leverancer!$C$28:$C$88=($G162+2)),Leverancer!V$28:V$88)/1000)</f>
        <v/>
      </c>
      <c r="AM162" s="128" t="str">
        <f ca="1">IF(AM161="","",SUMPRODUCT(--(Leverancer!$C$28:$C$88=($G162+2)),Leverancer!W$28:W$88)/1000)</f>
        <v/>
      </c>
      <c r="AN162" s="128" t="str">
        <f ca="1">IF(AN161="","",SUMPRODUCT(--(Leverancer!$C$28:$C$88=($G162+2)),Leverancer!X$28:X$88)/1000)</f>
        <v/>
      </c>
      <c r="AO162" s="128" t="str">
        <f ca="1">IF(AO161="","",SUMPRODUCT(--(Leverancer!$C$28:$C$88=($G162+2)),Leverancer!Y$28:Y$88)/1000)</f>
        <v/>
      </c>
      <c r="AP162" s="128" t="str">
        <f ca="1">IF(AP161="","",SUMPRODUCT(--(Leverancer!$C$28:$C$88=($G162+2)),Leverancer!Z$28:Z$88)/1000)</f>
        <v/>
      </c>
      <c r="AQ162" s="128" t="str">
        <f ca="1">IF(AQ161="","",SUMPRODUCT(--(Leverancer!$C$28:$C$88=($G162+2)),Leverancer!AA$28:AA$88)/1000)</f>
        <v/>
      </c>
      <c r="AR162" s="128" t="str">
        <f ca="1">IF(AR161="","",SUMPRODUCT(--(Leverancer!$C$28:$C$88=($G162+2)),Leverancer!AB$28:AB$88)/1000)</f>
        <v/>
      </c>
      <c r="AS162" s="128" t="str">
        <f ca="1">IF(AS161="","",SUMPRODUCT(--(Leverancer!$C$28:$C$88=($G162+2)),Leverancer!AC$28:AC$88)/1000)</f>
        <v/>
      </c>
      <c r="AT162" s="128" t="str">
        <f ca="1">IF(AT161="","",SUMPRODUCT(--(Leverancer!$C$28:$C$88=($G162+2)),Leverancer!AD$28:AD$88)/1000)</f>
        <v/>
      </c>
      <c r="AU162" s="128" t="str">
        <f ca="1">IF(AU161="","",SUMPRODUCT(--(Leverancer!$C$28:$C$88=($G162+2)),Leverancer!AE$28:AE$88)/1000)</f>
        <v/>
      </c>
      <c r="AV162" s="128" t="str">
        <f ca="1">IF(AV161="","",SUMPRODUCT(--(Leverancer!$C$28:$C$88=($G162+2)),Leverancer!AF$28:AF$88)/1000)</f>
        <v/>
      </c>
      <c r="AW162" s="128" t="str">
        <f ca="1">IF(AW161="","",SUMPRODUCT(--(Leverancer!$C$28:$C$88=($G162+2)),Leverancer!AG$28:AG$88)/1000)</f>
        <v/>
      </c>
      <c r="AX162" s="128"/>
      <c r="AY162" s="104"/>
      <c r="AZ162" s="101"/>
    </row>
    <row r="163" spans="3:52" ht="12.75" customHeight="1" x14ac:dyDescent="0.25">
      <c r="C163" s="142">
        <f>IFERROR(YEAR(C162),"")</f>
        <v>1900</v>
      </c>
      <c r="D163" s="142">
        <f>IFERROR(MONTH(C162),"")</f>
        <v>1</v>
      </c>
      <c r="E163" s="142">
        <f>INDEX(g_sc_1_assets_years,G162)</f>
        <v>0</v>
      </c>
      <c r="N163" s="99"/>
      <c r="O163" s="104"/>
      <c r="P163" s="104"/>
      <c r="Q163" s="129" t="str">
        <f>INDEX(g_lang_val,MATCH("tb_2_4_2",g_lang_key,0))</f>
        <v>Afskrivninger</v>
      </c>
      <c r="R163" s="130"/>
      <c r="S163" s="133">
        <f ca="1">SUM(T163:BG163)</f>
        <v>0</v>
      </c>
      <c r="T163" s="128">
        <f t="shared" ref="T163" ca="1" si="191">IF(T161="","",IF(T161&lt;$C163,0,IF(T161=$C163,T162/$C164*$E164+S164/$C164*$E164,IF(AND(T161&gt;$C163,T161&lt;ROUNDDOWN(($C163+($D163+$C164-1)/12),0)),(T162/2+S164)/($C164-$E164-12*(T161-$C163-1))*12,IF(AND($D164&lt;0,T161=ROUNDDOWN(($C163+($D163+$C164-1)/12),0)),S164+T162,IF(T161=ROUNDDOWN(($C163+($D163+$C164-1)/12),0),(T162+S164)/$C164*($D164+(T161-$C163-1)*12+$E164),IF(T161&gt;ROUNDDOWN(($C163+($D163+$C164)/12),0),0,0)))))))</f>
        <v>0</v>
      </c>
      <c r="U163" s="128">
        <f t="shared" ref="U163" ca="1" si="192">IF(U161="","",IF(U161&lt;$C163,0,IF(U161=$C163,U162/$C164*$E164+T164/$C164*$E164,IF(AND(U161&gt;$C163,U161&lt;ROUNDDOWN(($C163+($D163+$C164-1)/12),0)),(U162/2+T164)/($C164-$E164-12*(U161-$C163-1))*12,IF(AND($D164&lt;0,U161=ROUNDDOWN(($C163+($D163+$C164-1)/12),0)),T164+U162,IF(U161=ROUNDDOWN(($C163+($D163+$C164-1)/12),0),(U162+T164)/$C164*($D164+(U161-$C163-1)*12+$E164),IF(U161&gt;ROUNDDOWN(($C163+($D163+$C164)/12),0),0,0)))))))</f>
        <v>0</v>
      </c>
      <c r="V163" s="128">
        <f t="shared" ref="V163" ca="1" si="193">IF(V161="","",IF(V161&lt;$C163,0,IF(V161=$C163,V162/$C164*$E164+U164/$C164*$E164,IF(AND(V161&gt;$C163,V161&lt;ROUNDDOWN(($C163+($D163+$C164-1)/12),0)),(V162/2+U164)/($C164-$E164-12*(V161-$C163-1))*12,IF(AND($D164&lt;0,V161=ROUNDDOWN(($C163+($D163+$C164-1)/12),0)),U164+V162,IF(V161=ROUNDDOWN(($C163+($D163+$C164-1)/12),0),(V162+U164)/$C164*($D164+(V161-$C163-1)*12+$E164),IF(V161&gt;ROUNDDOWN(($C163+($D163+$C164)/12),0),0,0)))))))</f>
        <v>0</v>
      </c>
      <c r="W163" s="128">
        <f t="shared" ref="W163" ca="1" si="194">IF(W161="","",IF(W161&lt;$C163,0,IF(W161=$C163,W162/$C164*$E164+V164/$C164*$E164,IF(AND(W161&gt;$C163,W161&lt;ROUNDDOWN(($C163+($D163+$C164-1)/12),0)),(W162/2+V164)/($C164-$E164-12*(W161-$C163-1))*12,IF(AND($D164&lt;0,W161=ROUNDDOWN(($C163+($D163+$C164-1)/12),0)),V164+W162,IF(W161=ROUNDDOWN(($C163+($D163+$C164-1)/12),0),(W162+V164)/$C164*($D164+(W161-$C163-1)*12+$E164),IF(W161&gt;ROUNDDOWN(($C163+($D163+$C164)/12),0),0,0)))))))</f>
        <v>0</v>
      </c>
      <c r="X163" s="128" t="str">
        <f t="shared" ref="X163" ca="1" si="195">IF(X161="","",IF(X161&lt;$C163,0,IF(X161=$C163,X162/$C164*$E164+W164/$C164*$E164,IF(AND(X161&gt;$C163,X161&lt;ROUNDDOWN(($C163+($D163+$C164-1)/12),0)),(X162/2+W164)/($C164-$E164-12*(X161-$C163-1))*12,IF(AND($D164&lt;0,X161=ROUNDDOWN(($C163+($D163+$C164-1)/12),0)),W164+X162,IF(X161=ROUNDDOWN(($C163+($D163+$C164-1)/12),0),(X162+W164)/$C164*($D164+(X161-$C163-1)*12+$E164),IF(X161&gt;ROUNDDOWN(($C163+($D163+$C164)/12),0),0,0)))))))</f>
        <v/>
      </c>
      <c r="Y163" s="128" t="str">
        <f t="shared" ref="Y163" ca="1" si="196">IF(Y161="","",IF(Y161&lt;$C163,0,IF(Y161=$C163,Y162/$C164*$E164+X164/$C164*$E164,IF(AND(Y161&gt;$C163,Y161&lt;ROUNDDOWN(($C163+($D163+$C164-1)/12),0)),(Y162/2+X164)/($C164-$E164-12*(Y161-$C163-1))*12,IF(AND($D164&lt;0,Y161=ROUNDDOWN(($C163+($D163+$C164-1)/12),0)),X164+Y162,IF(Y161=ROUNDDOWN(($C163+($D163+$C164-1)/12),0),(Y162+X164)/$C164*($D164+(Y161-$C163-1)*12+$E164),IF(Y161&gt;ROUNDDOWN(($C163+($D163+$C164)/12),0),0,0)))))))</f>
        <v/>
      </c>
      <c r="Z163" s="128" t="str">
        <f ca="1">IF(Z161="","",IF(Z161&lt;$C163,0,IF(Z161=$C163,Z162/$C164*$E164+Y164/$C164*$E164,IF(AND(Z161&gt;$C163,Z161&lt;ROUNDDOWN(($C163+($D163+$C164-1)/12),0)),(Z162/2+Y164)/($C164-$E164-12*(Z161-$C163-1))*12,IF(AND($D164&lt;0,Z161=ROUNDDOWN(($C163+($D163+$C164-1)/12),0)),Y164+Z162,IF(Z161=ROUNDDOWN(($C163+($D163+$C164-1)/12),0),(Z162+Y164)/$C164*($D164+(Z161-$C163-1)*12+$E164),IF(Z161&gt;ROUNDDOWN(($C163+($D163+$C164)/12),0),0,0)))))))</f>
        <v/>
      </c>
      <c r="AA163" s="128" t="str">
        <f t="shared" ref="AA163" ca="1" si="197">IF(AA161="","",IF(AA161&lt;$C163,0,IF(AA161=$C163,AA162/$C164*$E164+Z164/$C164*$E164,IF(AND(AA161&gt;$C163,AA161&lt;ROUNDDOWN(($C163+($D163+$C164-1)/12),0)),(AA162/2+Z164)/($C164-$E164-12*(AA161-$C163-1))*12,IF(AND($D164&lt;0,AA161=ROUNDDOWN(($C163+($D163+$C164-1)/12),0)),Z164+AA162,IF(AA161=ROUNDDOWN(($C163+($D163+$C164-1)/12),0),(AA162+Z164)/$C164*($D164+(AA161-$C163-1)*12+$E164),IF(AA161&gt;ROUNDDOWN(($C163+($D163+$C164)/12),0),0,0)))))))</f>
        <v/>
      </c>
      <c r="AB163" s="128" t="str">
        <f t="shared" ref="AB163" ca="1" si="198">IF(AB161="","",IF(AB161&lt;$C163,0,IF(AB161=$C163,AB162/$C164*$E164+AA164/$C164*$E164,IF(AND(AB161&gt;$C163,AB161&lt;ROUNDDOWN(($C163+($D163+$C164-1)/12),0)),(AB162/2+AA164)/($C164-$E164-12*(AB161-$C163-1))*12,IF(AND($D164&lt;0,AB161=ROUNDDOWN(($C163+($D163+$C164-1)/12),0)),AA164+AB162,IF(AB161=ROUNDDOWN(($C163+($D163+$C164-1)/12),0),(AB162+AA164)/$C164*($D164+(AB161-$C163-1)*12+$E164),IF(AB161&gt;ROUNDDOWN(($C163+($D163+$C164)/12),0),0,0)))))))</f>
        <v/>
      </c>
      <c r="AC163" s="128" t="str">
        <f t="shared" ref="AC163" ca="1" si="199">IF(AC161="","",IF(AC161&lt;$C163,0,IF(AC161=$C163,AC162/$C164*$E164+AB164/$C164*$E164,IF(AND(AC161&gt;$C163,AC161&lt;ROUNDDOWN(($C163+($D163+$C164-1)/12),0)),(AC162/2+AB164)/($C164-$E164-12*(AC161-$C163-1))*12,IF(AND($D164&lt;0,AC161=ROUNDDOWN(($C163+($D163+$C164-1)/12),0)),AB164+AC162,IF(AC161=ROUNDDOWN(($C163+($D163+$C164-1)/12),0),(AC162+AB164)/$C164*($D164+(AC161-$C163-1)*12+$E164),IF(AC161&gt;ROUNDDOWN(($C163+($D163+$C164)/12),0),0,0)))))))</f>
        <v/>
      </c>
      <c r="AD163" s="128" t="str">
        <f t="shared" ref="AD163" ca="1" si="200">IF(AD161="","",IF(AD161&lt;$C163,0,IF(AD161=$C163,AD162/$C164*$E164+AC164/$C164*$E164,IF(AND(AD161&gt;$C163,AD161&lt;ROUNDDOWN(($C163+($D163+$C164-1)/12),0)),(AD162/2+AC164)/($C164-$E164-12*(AD161-$C163-1))*12,IF(AND($D164&lt;0,AD161=ROUNDDOWN(($C163+($D163+$C164-1)/12),0)),AC164+AD162,IF(AD161=ROUNDDOWN(($C163+($D163+$C164-1)/12),0),(AD162+AC164)/$C164*($D164+(AD161-$C163-1)*12+$E164),IF(AD161&gt;ROUNDDOWN(($C163+($D163+$C164)/12),0),0,0)))))))</f>
        <v/>
      </c>
      <c r="AE163" s="128" t="str">
        <f t="shared" ref="AE163" ca="1" si="201">IF(AE161="","",IF(AE161&lt;$C163,0,IF(AE161=$C163,AE162/$C164*$E164+AD164/$C164*$E164,IF(AND(AE161&gt;$C163,AE161&lt;ROUNDDOWN(($C163+($D163+$C164-1)/12),0)),(AE162/2+AD164)/($C164-$E164-12*(AE161-$C163-1))*12,IF(AND($D164&lt;0,AE161=ROUNDDOWN(($C163+($D163+$C164-1)/12),0)),AD164+AE162,IF(AE161=ROUNDDOWN(($C163+($D163+$C164-1)/12),0),(AE162+AD164)/$C164*($D164+(AE161-$C163-1)*12+$E164),IF(AE161&gt;ROUNDDOWN(($C163+($D163+$C164)/12),0),0,0)))))))</f>
        <v/>
      </c>
      <c r="AF163" s="128" t="str">
        <f t="shared" ref="AF163" ca="1" si="202">IF(AF161="","",IF(AF161&lt;$C163,0,IF(AF161=$C163,AF162/$C164*$E164+AE164/$C164*$E164,IF(AND(AF161&gt;$C163,AF161&lt;ROUNDDOWN(($C163+($D163+$C164-1)/12),0)),(AF162/2+AE164)/($C164-$E164-12*(AF161-$C163-1))*12,IF(AND($D164&lt;0,AF161=ROUNDDOWN(($C163+($D163+$C164-1)/12),0)),AE164+AF162,IF(AF161=ROUNDDOWN(($C163+($D163+$C164-1)/12),0),(AF162+AE164)/$C164*($D164+(AF161-$C163-1)*12+$E164),IF(AF161&gt;ROUNDDOWN(($C163+($D163+$C164)/12),0),0,0)))))))</f>
        <v/>
      </c>
      <c r="AG163" s="128" t="str">
        <f t="shared" ref="AG163" ca="1" si="203">IF(AG161="","",IF(AG161&lt;$C163,0,IF(AG161=$C163,AG162/$C164*$E164+AF164/$C164*$E164,IF(AND(AG161&gt;$C163,AG161&lt;ROUNDDOWN(($C163+($D163+$C164-1)/12),0)),(AG162/2+AF164)/($C164-$E164-12*(AG161-$C163-1))*12,IF(AND($D164&lt;0,AG161=ROUNDDOWN(($C163+($D163+$C164-1)/12),0)),AF164+AG162,IF(AG161=ROUNDDOWN(($C163+($D163+$C164-1)/12),0),(AG162+AF164)/$C164*($D164+(AG161-$C163-1)*12+$E164),IF(AG161&gt;ROUNDDOWN(($C163+($D163+$C164)/12),0),0,0)))))))</f>
        <v/>
      </c>
      <c r="AH163" s="128" t="str">
        <f t="shared" ref="AH163" ca="1" si="204">IF(AH161="","",IF(AH161&lt;$C163,0,IF(AH161=$C163,AH162/$C164*$E164+AG164/$C164*$E164,IF(AND(AH161&gt;$C163,AH161&lt;ROUNDDOWN(($C163+($D163+$C164-1)/12),0)),(AH162/2+AG164)/($C164-$E164-12*(AH161-$C163-1))*12,IF(AND($D164&lt;0,AH161=ROUNDDOWN(($C163+($D163+$C164-1)/12),0)),AG164+AH162,IF(AH161=ROUNDDOWN(($C163+($D163+$C164-1)/12),0),(AH162+AG164)/$C164*($D164+(AH161-$C163-1)*12+$E164),IF(AH161&gt;ROUNDDOWN(($C163+($D163+$C164)/12),0),0,0)))))))</f>
        <v/>
      </c>
      <c r="AI163" s="128" t="str">
        <f t="shared" ref="AI163" ca="1" si="205">IF(AI161="","",IF(AI161&lt;$C163,0,IF(AI161=$C163,AI162/$C164*$E164+AH164/$C164*$E164,IF(AND(AI161&gt;$C163,AI161&lt;ROUNDDOWN(($C163+($D163+$C164-1)/12),0)),(AI162/2+AH164)/($C164-$E164-12*(AI161-$C163-1))*12,IF(AND($D164&lt;0,AI161=ROUNDDOWN(($C163+($D163+$C164-1)/12),0)),AH164+AI162,IF(AI161=ROUNDDOWN(($C163+($D163+$C164-1)/12),0),(AI162+AH164)/$C164*($D164+(AI161-$C163-1)*12+$E164),IF(AI161&gt;ROUNDDOWN(($C163+($D163+$C164)/12),0),0,0)))))))</f>
        <v/>
      </c>
      <c r="AJ163" s="128" t="str">
        <f t="shared" ref="AJ163" ca="1" si="206">IF(AJ161="","",IF(AJ161&lt;$C163,0,IF(AJ161=$C163,AJ162/$C164*$E164+AI164/$C164*$E164,IF(AND(AJ161&gt;$C163,AJ161&lt;ROUNDDOWN(($C163+($D163+$C164-1)/12),0)),(AJ162/2+AI164)/($C164-$E164-12*(AJ161-$C163-1))*12,IF(AND($D164&lt;0,AJ161=ROUNDDOWN(($C163+($D163+$C164-1)/12),0)),AI164+AJ162,IF(AJ161=ROUNDDOWN(($C163+($D163+$C164-1)/12),0),(AJ162+AI164)/$C164*($D164+(AJ161-$C163-1)*12+$E164),IF(AJ161&gt;ROUNDDOWN(($C163+($D163+$C164)/12),0),0,0)))))))</f>
        <v/>
      </c>
      <c r="AK163" s="128" t="str">
        <f t="shared" ref="AK163" ca="1" si="207">IF(AK161="","",IF(AK161&lt;$C163,0,IF(AK161=$C163,AK162/$C164*$E164+AJ164/$C164*$E164,IF(AND(AK161&gt;$C163,AK161&lt;ROUNDDOWN(($C163+($D163+$C164-1)/12),0)),(AK162/2+AJ164)/($C164-$E164-12*(AK161-$C163-1))*12,IF(AND($D164&lt;0,AK161=ROUNDDOWN(($C163+($D163+$C164-1)/12),0)),AJ164+AK162,IF(AK161=ROUNDDOWN(($C163+($D163+$C164-1)/12),0),(AK162+AJ164)/$C164*($D164+(AK161-$C163-1)*12+$E164),IF(AK161&gt;ROUNDDOWN(($C163+($D163+$C164)/12),0),0,0)))))))</f>
        <v/>
      </c>
      <c r="AL163" s="128" t="str">
        <f t="shared" ref="AL163" ca="1" si="208">IF(AL161="","",IF(AL161&lt;$C163,0,IF(AL161=$C163,AL162/$C164*$E164+AK164/$C164*$E164,IF(AND(AL161&gt;$C163,AL161&lt;ROUNDDOWN(($C163+($D163+$C164-1)/12),0)),(AL162/2+AK164)/($C164-$E164-12*(AL161-$C163-1))*12,IF(AND($D164&lt;0,AL161=ROUNDDOWN(($C163+($D163+$C164-1)/12),0)),AK164+AL162,IF(AL161=ROUNDDOWN(($C163+($D163+$C164-1)/12),0),(AL162+AK164)/$C164*($D164+(AL161-$C163-1)*12+$E164),IF(AL161&gt;ROUNDDOWN(($C163+($D163+$C164)/12),0),0,0)))))))</f>
        <v/>
      </c>
      <c r="AM163" s="128" t="str">
        <f t="shared" ref="AM163" ca="1" si="209">IF(AM161="","",IF(AM161&lt;$C163,0,IF(AM161=$C163,AM162/$C164*$E164+AL164/$C164*$E164,IF(AND(AM161&gt;$C163,AM161&lt;ROUNDDOWN(($C163+($D163+$C164-1)/12),0)),(AM162/2+AL164)/($C164-$E164-12*(AM161-$C163-1))*12,IF(AND($D164&lt;0,AM161=ROUNDDOWN(($C163+($D163+$C164-1)/12),0)),AL164+AM162,IF(AM161=ROUNDDOWN(($C163+($D163+$C164-1)/12),0),(AM162+AL164)/$C164*($D164+(AM161-$C163-1)*12+$E164),IF(AM161&gt;ROUNDDOWN(($C163+($D163+$C164)/12),0),0,0)))))))</f>
        <v/>
      </c>
      <c r="AN163" s="128" t="str">
        <f t="shared" ref="AN163" ca="1" si="210">IF(AN161="","",IF(AN161&lt;$C163,0,IF(AN161=$C163,AN162/$C164*$E164+AM164/$C164*$E164,IF(AND(AN161&gt;$C163,AN161&lt;ROUNDDOWN(($C163+($D163+$C164-1)/12),0)),(AN162/2+AM164)/($C164-$E164-12*(AN161-$C163-1))*12,IF(AND($D164&lt;0,AN161=ROUNDDOWN(($C163+($D163+$C164-1)/12),0)),AM164+AN162,IF(AN161=ROUNDDOWN(($C163+($D163+$C164-1)/12),0),(AN162+AM164)/$C164*($D164+(AN161-$C163-1)*12+$E164),IF(AN161&gt;ROUNDDOWN(($C163+($D163+$C164)/12),0),0,0)))))))</f>
        <v/>
      </c>
      <c r="AO163" s="128" t="str">
        <f t="shared" ref="AO163" ca="1" si="211">IF(AO161="","",IF(AO161&lt;$C163,0,IF(AO161=$C163,AO162/$C164*$E164+AN164/$C164*$E164,IF(AND(AO161&gt;$C163,AO161&lt;ROUNDDOWN(($C163+($D163+$C164-1)/12),0)),(AO162/2+AN164)/($C164-$E164-12*(AO161-$C163-1))*12,IF(AND($D164&lt;0,AO161=ROUNDDOWN(($C163+($D163+$C164-1)/12),0)),AN164+AO162,IF(AO161=ROUNDDOWN(($C163+($D163+$C164-1)/12),0),(AO162+AN164)/$C164*($D164+(AO161-$C163-1)*12+$E164),IF(AO161&gt;ROUNDDOWN(($C163+($D163+$C164)/12),0),0,0)))))))</f>
        <v/>
      </c>
      <c r="AP163" s="128" t="str">
        <f t="shared" ref="AP163" ca="1" si="212">IF(AP161="","",IF(AP161&lt;$C163,0,IF(AP161=$C163,AP162/$C164*$E164+AO164/$C164*$E164,IF(AND(AP161&gt;$C163,AP161&lt;ROUNDDOWN(($C163+($D163+$C164-1)/12),0)),(AP162/2+AO164)/($C164-$E164-12*(AP161-$C163-1))*12,IF(AND($D164&lt;0,AP161=ROUNDDOWN(($C163+($D163+$C164-1)/12),0)),AO164+AP162,IF(AP161=ROUNDDOWN(($C163+($D163+$C164-1)/12),0),(AP162+AO164)/$C164*($D164+(AP161-$C163-1)*12+$E164),IF(AP161&gt;ROUNDDOWN(($C163+($D163+$C164)/12),0),0,0)))))))</f>
        <v/>
      </c>
      <c r="AQ163" s="128" t="str">
        <f t="shared" ref="AQ163" ca="1" si="213">IF(AQ161="","",IF(AQ161&lt;$C163,0,IF(AQ161=$C163,AQ162/$C164*$E164+AP164/$C164*$E164,IF(AND(AQ161&gt;$C163,AQ161&lt;ROUNDDOWN(($C163+($D163+$C164-1)/12),0)),(AQ162/2+AP164)/($C164-$E164-12*(AQ161-$C163-1))*12,IF(AND($D164&lt;0,AQ161=ROUNDDOWN(($C163+($D163+$C164-1)/12),0)),AP164+AQ162,IF(AQ161=ROUNDDOWN(($C163+($D163+$C164-1)/12),0),(AQ162+AP164)/$C164*($D164+(AQ161-$C163-1)*12+$E164),IF(AQ161&gt;ROUNDDOWN(($C163+($D163+$C164)/12),0),0,0)))))))</f>
        <v/>
      </c>
      <c r="AR163" s="128" t="str">
        <f t="shared" ref="AR163" ca="1" si="214">IF(AR161="","",IF(AR161&lt;$C163,0,IF(AR161=$C163,AR162/$C164*$E164+AQ164/$C164*$E164,IF(AND(AR161&gt;$C163,AR161&lt;ROUNDDOWN(($C163+($D163+$C164-1)/12),0)),(AR162/2+AQ164)/($C164-$E164-12*(AR161-$C163-1))*12,IF(AND($D164&lt;0,AR161=ROUNDDOWN(($C163+($D163+$C164-1)/12),0)),AQ164+AR162,IF(AR161=ROUNDDOWN(($C163+($D163+$C164-1)/12),0),(AR162+AQ164)/$C164*($D164+(AR161-$C163-1)*12+$E164),IF(AR161&gt;ROUNDDOWN(($C163+($D163+$C164)/12),0),0,0)))))))</f>
        <v/>
      </c>
      <c r="AS163" s="128" t="str">
        <f t="shared" ref="AS163" ca="1" si="215">IF(AS161="","",IF(AS161&lt;$C163,0,IF(AS161=$C163,AS162/$C164*$E164+AR164/$C164*$E164,IF(AND(AS161&gt;$C163,AS161&lt;ROUNDDOWN(($C163+($D163+$C164-1)/12),0)),(AS162/2+AR164)/($C164-$E164-12*(AS161-$C163-1))*12,IF(AND($D164&lt;0,AS161=ROUNDDOWN(($C163+($D163+$C164-1)/12),0)),AR164+AS162,IF(AS161=ROUNDDOWN(($C163+($D163+$C164-1)/12),0),(AS162+AR164)/$C164*($D164+(AS161-$C163-1)*12+$E164),IF(AS161&gt;ROUNDDOWN(($C163+($D163+$C164)/12),0),0,0)))))))</f>
        <v/>
      </c>
      <c r="AT163" s="128" t="str">
        <f t="shared" ref="AT163" ca="1" si="216">IF(AT161="","",IF(AT161&lt;$C163,0,IF(AT161=$C163,AT162/$C164*$E164+AS164/$C164*$E164,IF(AND(AT161&gt;$C163,AT161&lt;ROUNDDOWN(($C163+($D163+$C164-1)/12),0)),(AT162/2+AS164)/($C164-$E164-12*(AT161-$C163-1))*12,IF(AND($D164&lt;0,AT161=ROUNDDOWN(($C163+($D163+$C164-1)/12),0)),AS164+AT162,IF(AT161=ROUNDDOWN(($C163+($D163+$C164-1)/12),0),(AT162+AS164)/$C164*($D164+(AT161-$C163-1)*12+$E164),IF(AT161&gt;ROUNDDOWN(($C163+($D163+$C164)/12),0),0,0)))))))</f>
        <v/>
      </c>
      <c r="AU163" s="128" t="str">
        <f t="shared" ref="AU163" ca="1" si="217">IF(AU161="","",IF(AU161&lt;$C163,0,IF(AU161=$C163,AU162/$C164*$E164+AT164/$C164*$E164,IF(AND(AU161&gt;$C163,AU161&lt;ROUNDDOWN(($C163+($D163+$C164-1)/12),0)),(AU162/2+AT164)/($C164-$E164-12*(AU161-$C163-1))*12,IF(AND($D164&lt;0,AU161=ROUNDDOWN(($C163+($D163+$C164-1)/12),0)),AT164+AU162,IF(AU161=ROUNDDOWN(($C163+($D163+$C164-1)/12),0),(AU162+AT164)/$C164*($D164+(AU161-$C163-1)*12+$E164),IF(AU161&gt;ROUNDDOWN(($C163+($D163+$C164)/12),0),0,0)))))))</f>
        <v/>
      </c>
      <c r="AV163" s="128" t="str">
        <f t="shared" ref="AV163" ca="1" si="218">IF(AV161="","",IF(AV161&lt;$C163,0,IF(AV161=$C163,AV162/$C164*$E164+AU164/$C164*$E164,IF(AND(AV161&gt;$C163,AV161&lt;ROUNDDOWN(($C163+($D163+$C164-1)/12),0)),(AV162/2+AU164)/($C164-$E164-12*(AV161-$C163-1))*12,IF(AND($D164&lt;0,AV161=ROUNDDOWN(($C163+($D163+$C164-1)/12),0)),AU164+AV162,IF(AV161=ROUNDDOWN(($C163+($D163+$C164-1)/12),0),(AV162+AU164)/$C164*($D164+(AV161-$C163-1)*12+$E164),IF(AV161&gt;ROUNDDOWN(($C163+($D163+$C164)/12),0),0,0)))))))</f>
        <v/>
      </c>
      <c r="AW163" s="128" t="str">
        <f t="shared" ref="AW163" ca="1" si="219">IF(AW161="","",IF(AW161&lt;$C163,0,IF(AW161=$C163,AW162/$C164*$E164+AV164/$C164*$E164,IF(AND(AW161&gt;$C163,AW161&lt;ROUNDDOWN(($C163+($D163+$C164-1)/12),0)),(AW162/2+AV164)/($C164-$E164-12*(AW161-$C163-1))*12,IF(AND($D164&lt;0,AW161=ROUNDDOWN(($C163+($D163+$C164-1)/12),0)),AV164+AW162,IF(AW161=ROUNDDOWN(($C163+($D163+$C164-1)/12),0),(AW162+AV164)/$C164*($D164+(AW161-$C163-1)*12+$E164),IF(AW161&gt;ROUNDDOWN(($C163+($D163+$C164)/12),0),0,0)))))))</f>
        <v/>
      </c>
      <c r="AX163" s="104"/>
      <c r="AY163" s="104"/>
      <c r="AZ163" s="101"/>
    </row>
    <row r="164" spans="3:52" ht="12.75" customHeight="1" x14ac:dyDescent="0.25">
      <c r="C164" s="142">
        <f>ROUNDUP((E163-ROUNDDOWN(E163,0))*12,0)+ROUNDDOWN(E163,0)*12</f>
        <v>0</v>
      </c>
      <c r="D164" s="142">
        <f>C164-E164-ROUNDDOWN(E163,0)*12</f>
        <v>-12</v>
      </c>
      <c r="E164" s="142">
        <f>13-MONTH(C162)</f>
        <v>12</v>
      </c>
      <c r="N164" s="99"/>
      <c r="O164" s="104"/>
      <c r="P164" s="104"/>
      <c r="Q164" s="129" t="str">
        <f>INDEX(g_lang_val,MATCH("tb_2_4_3",g_lang_key,0))</f>
        <v>FF4-gæld, ultimo året</v>
      </c>
      <c r="R164" s="130"/>
      <c r="S164" s="133"/>
      <c r="T164" s="128">
        <f t="shared" ref="T164" ca="1" si="220">IF(T161="","",S164+T162-T163)</f>
        <v>0</v>
      </c>
      <c r="U164" s="128">
        <f t="shared" ref="U164" ca="1" si="221">IF(U161="","",T164+U162-U163)</f>
        <v>0</v>
      </c>
      <c r="V164" s="128">
        <f t="shared" ref="V164" ca="1" si="222">IF(V161="","",U164+V162-V163)</f>
        <v>0</v>
      </c>
      <c r="W164" s="128">
        <f t="shared" ref="W164" ca="1" si="223">IF(W161="","",V164+W162-W163)</f>
        <v>0</v>
      </c>
      <c r="X164" s="128" t="str">
        <f t="shared" ref="X164" ca="1" si="224">IF(X161="","",W164+X162-X163)</f>
        <v/>
      </c>
      <c r="Y164" s="128" t="str">
        <f t="shared" ref="Y164" ca="1" si="225">IF(Y161="","",X164+Y162-Y163)</f>
        <v/>
      </c>
      <c r="Z164" s="128" t="str">
        <f t="shared" ref="Z164" ca="1" si="226">IF(Z161="","",Y164+Z162-Z163)</f>
        <v/>
      </c>
      <c r="AA164" s="128" t="str">
        <f t="shared" ref="AA164" ca="1" si="227">IF(AA161="","",Z164+AA162-AA163)</f>
        <v/>
      </c>
      <c r="AB164" s="128" t="str">
        <f t="shared" ref="AB164" ca="1" si="228">IF(AB161="","",AA164+AB162-AB163)</f>
        <v/>
      </c>
      <c r="AC164" s="128" t="str">
        <f t="shared" ref="AC164" ca="1" si="229">IF(AC161="","",AB164+AC162-AC163)</f>
        <v/>
      </c>
      <c r="AD164" s="128" t="str">
        <f t="shared" ref="AD164" ca="1" si="230">IF(AD161="","",AC164+AD162-AD163)</f>
        <v/>
      </c>
      <c r="AE164" s="128" t="str">
        <f t="shared" ref="AE164" ca="1" si="231">IF(AE161="","",AD164+AE162-AE163)</f>
        <v/>
      </c>
      <c r="AF164" s="128" t="str">
        <f t="shared" ref="AF164" ca="1" si="232">IF(AF161="","",AE164+AF162-AF163)</f>
        <v/>
      </c>
      <c r="AG164" s="128" t="str">
        <f t="shared" ref="AG164" ca="1" si="233">IF(AG161="","",AF164+AG162-AG163)</f>
        <v/>
      </c>
      <c r="AH164" s="128" t="str">
        <f t="shared" ref="AH164" ca="1" si="234">IF(AH161="","",AG164+AH162-AH163)</f>
        <v/>
      </c>
      <c r="AI164" s="128" t="str">
        <f t="shared" ref="AI164" ca="1" si="235">IF(AI161="","",AH164+AI162-AI163)</f>
        <v/>
      </c>
      <c r="AJ164" s="128" t="str">
        <f t="shared" ref="AJ164" ca="1" si="236">IF(AJ161="","",AI164+AJ162-AJ163)</f>
        <v/>
      </c>
      <c r="AK164" s="128" t="str">
        <f t="shared" ref="AK164" ca="1" si="237">IF(AK161="","",AJ164+AK162-AK163)</f>
        <v/>
      </c>
      <c r="AL164" s="128" t="str">
        <f t="shared" ref="AL164" ca="1" si="238">IF(AL161="","",AK164+AL162-AL163)</f>
        <v/>
      </c>
      <c r="AM164" s="128" t="str">
        <f t="shared" ref="AM164" ca="1" si="239">IF(AM161="","",AL164+AM162-AM163)</f>
        <v/>
      </c>
      <c r="AN164" s="128" t="str">
        <f t="shared" ref="AN164" ca="1" si="240">IF(AN161="","",AM164+AN162-AN163)</f>
        <v/>
      </c>
      <c r="AO164" s="128" t="str">
        <f t="shared" ref="AO164" ca="1" si="241">IF(AO161="","",AN164+AO162-AO163)</f>
        <v/>
      </c>
      <c r="AP164" s="128" t="str">
        <f t="shared" ref="AP164" ca="1" si="242">IF(AP161="","",AO164+AP162-AP163)</f>
        <v/>
      </c>
      <c r="AQ164" s="128" t="str">
        <f t="shared" ref="AQ164" ca="1" si="243">IF(AQ161="","",AP164+AQ162-AQ163)</f>
        <v/>
      </c>
      <c r="AR164" s="128" t="str">
        <f t="shared" ref="AR164" ca="1" si="244">IF(AR161="","",AQ164+AR162-AR163)</f>
        <v/>
      </c>
      <c r="AS164" s="128" t="str">
        <f t="shared" ref="AS164" ca="1" si="245">IF(AS161="","",AR164+AS162-AS163)</f>
        <v/>
      </c>
      <c r="AT164" s="128" t="str">
        <f t="shared" ref="AT164" ca="1" si="246">IF(AT161="","",AS164+AT162-AT163)</f>
        <v/>
      </c>
      <c r="AU164" s="128" t="str">
        <f t="shared" ref="AU164" ca="1" si="247">IF(AU161="","",AT164+AU162-AU163)</f>
        <v/>
      </c>
      <c r="AV164" s="128" t="str">
        <f t="shared" ref="AV164" ca="1" si="248">IF(AV161="","",AU164+AV162-AV163)</f>
        <v/>
      </c>
      <c r="AW164" s="128" t="str">
        <f t="shared" ref="AW164" ca="1" si="249">IF(AW161="","",AV164+AW162-AW163)</f>
        <v/>
      </c>
      <c r="AX164" s="104"/>
      <c r="AY164" s="104"/>
      <c r="AZ164" s="101"/>
    </row>
    <row r="165" spans="3:52" ht="12.75" customHeight="1" x14ac:dyDescent="0.25">
      <c r="N165" s="99"/>
      <c r="O165" s="104"/>
      <c r="P165" s="104"/>
      <c r="Q165" s="129" t="str">
        <f>INDEX(g_lang_val,MATCH("tb_2_4_4",g_lang_key,0))</f>
        <v>Renter (FF4)</v>
      </c>
      <c r="R165" s="130"/>
      <c r="S165" s="133">
        <f ca="1">SUM(T165:BG165)</f>
        <v>0</v>
      </c>
      <c r="T165" s="128">
        <f t="shared" ref="T165" ca="1" si="250">IF(T161="","",g_interest_FF4*(S164+(T162/2)-(T163/2)))</f>
        <v>0</v>
      </c>
      <c r="U165" s="128">
        <f t="shared" ref="U165" ca="1" si="251">IF(U161="","",g_interest_FF4*(T164+(U162/2)-(U163/2)))</f>
        <v>0</v>
      </c>
      <c r="V165" s="128">
        <f t="shared" ref="V165" ca="1" si="252">IF(V161="","",g_interest_FF4*(U164+(V162/2)-(V163/2)))</f>
        <v>0</v>
      </c>
      <c r="W165" s="128">
        <f t="shared" ref="W165" ca="1" si="253">IF(W161="","",g_interest_FF4*(V164+(W162/2)-(W163/2)))</f>
        <v>0</v>
      </c>
      <c r="X165" s="128" t="str">
        <f t="shared" ref="X165" ca="1" si="254">IF(X161="","",g_interest_FF4*(W164+(X162/2)-(X163/2)))</f>
        <v/>
      </c>
      <c r="Y165" s="128" t="str">
        <f t="shared" ref="Y165" ca="1" si="255">IF(Y161="","",g_interest_FF4*(X164+(Y162/2)-(Y163/2)))</f>
        <v/>
      </c>
      <c r="Z165" s="128" t="str">
        <f t="shared" ref="Z165" ca="1" si="256">IF(Z161="","",g_interest_FF4*(Y164+(Z162/2)-(Z163/2)))</f>
        <v/>
      </c>
      <c r="AA165" s="128" t="str">
        <f t="shared" ref="AA165" ca="1" si="257">IF(AA161="","",g_interest_FF4*(Z164+(AA162/2)-(AA163/2)))</f>
        <v/>
      </c>
      <c r="AB165" s="128" t="str">
        <f t="shared" ref="AB165" ca="1" si="258">IF(AB161="","",g_interest_FF4*(AA164+(AB162/2)-(AB163/2)))</f>
        <v/>
      </c>
      <c r="AC165" s="128" t="str">
        <f t="shared" ref="AC165" ca="1" si="259">IF(AC161="","",g_interest_FF4*(AB164+(AC162/2)-(AC163/2)))</f>
        <v/>
      </c>
      <c r="AD165" s="128" t="str">
        <f t="shared" ref="AD165" ca="1" si="260">IF(AD161="","",g_interest_FF4*(AC164+(AD162/2)-(AD163/2)))</f>
        <v/>
      </c>
      <c r="AE165" s="128" t="str">
        <f t="shared" ref="AE165" ca="1" si="261">IF(AE161="","",g_interest_FF4*(AD164+(AE162/2)-(AE163/2)))</f>
        <v/>
      </c>
      <c r="AF165" s="128" t="str">
        <f t="shared" ref="AF165" ca="1" si="262">IF(AF161="","",g_interest_FF4*(AE164+(AF162/2)-(AF163/2)))</f>
        <v/>
      </c>
      <c r="AG165" s="128" t="str">
        <f t="shared" ref="AG165" ca="1" si="263">IF(AG161="","",g_interest_FF4*(AF164+(AG162/2)-(AG163/2)))</f>
        <v/>
      </c>
      <c r="AH165" s="128" t="str">
        <f t="shared" ref="AH165" ca="1" si="264">IF(AH161="","",g_interest_FF4*(AG164+(AH162/2)-(AH163/2)))</f>
        <v/>
      </c>
      <c r="AI165" s="128" t="str">
        <f t="shared" ref="AI165" ca="1" si="265">IF(AI161="","",g_interest_FF4*(AH164+(AI162/2)-(AI163/2)))</f>
        <v/>
      </c>
      <c r="AJ165" s="128" t="str">
        <f t="shared" ref="AJ165" ca="1" si="266">IF(AJ161="","",g_interest_FF4*(AI164+(AJ162/2)-(AJ163/2)))</f>
        <v/>
      </c>
      <c r="AK165" s="128" t="str">
        <f t="shared" ref="AK165" ca="1" si="267">IF(AK161="","",g_interest_FF4*(AJ164+(AK162/2)-(AK163/2)))</f>
        <v/>
      </c>
      <c r="AL165" s="128" t="str">
        <f t="shared" ref="AL165" ca="1" si="268">IF(AL161="","",g_interest_FF4*(AK164+(AL162/2)-(AL163/2)))</f>
        <v/>
      </c>
      <c r="AM165" s="128" t="str">
        <f t="shared" ref="AM165" ca="1" si="269">IF(AM161="","",g_interest_FF4*(AL164+(AM162/2)-(AM163/2)))</f>
        <v/>
      </c>
      <c r="AN165" s="128" t="str">
        <f t="shared" ref="AN165" ca="1" si="270">IF(AN161="","",g_interest_FF4*(AM164+(AN162/2)-(AN163/2)))</f>
        <v/>
      </c>
      <c r="AO165" s="128" t="str">
        <f t="shared" ref="AO165" ca="1" si="271">IF(AO161="","",g_interest_FF4*(AN164+(AO162/2)-(AO163/2)))</f>
        <v/>
      </c>
      <c r="AP165" s="128" t="str">
        <f t="shared" ref="AP165" ca="1" si="272">IF(AP161="","",g_interest_FF4*(AO164+(AP162/2)-(AP163/2)))</f>
        <v/>
      </c>
      <c r="AQ165" s="128" t="str">
        <f t="shared" ref="AQ165" ca="1" si="273">IF(AQ161="","",g_interest_FF4*(AP164+(AQ162/2)-(AQ163/2)))</f>
        <v/>
      </c>
      <c r="AR165" s="128" t="str">
        <f t="shared" ref="AR165" ca="1" si="274">IF(AR161="","",g_interest_FF4*(AQ164+(AR162/2)-(AR163/2)))</f>
        <v/>
      </c>
      <c r="AS165" s="128" t="str">
        <f t="shared" ref="AS165" ca="1" si="275">IF(AS161="","",g_interest_FF4*(AR164+(AS162/2)-(AS163/2)))</f>
        <v/>
      </c>
      <c r="AT165" s="128" t="str">
        <f t="shared" ref="AT165" ca="1" si="276">IF(AT161="","",g_interest_FF4*(AS164+(AT162/2)-(AT163/2)))</f>
        <v/>
      </c>
      <c r="AU165" s="128" t="str">
        <f t="shared" ref="AU165" ca="1" si="277">IF(AU161="","",g_interest_FF4*(AT164+(AU162/2)-(AU163/2)))</f>
        <v/>
      </c>
      <c r="AV165" s="128" t="str">
        <f t="shared" ref="AV165" ca="1" si="278">IF(AV161="","",g_interest_FF4*(AU164+(AV162/2)-(AV163/2)))</f>
        <v/>
      </c>
      <c r="AW165" s="128" t="str">
        <f t="shared" ref="AW165" ca="1" si="279">IF(AW161="","",g_interest_FF4*(AV164+(AW162/2)-(AW163/2)))</f>
        <v/>
      </c>
      <c r="AX165" s="104"/>
      <c r="AY165" s="104"/>
      <c r="AZ165" s="101"/>
    </row>
    <row r="166" spans="3:52" ht="12.75" customHeight="1" x14ac:dyDescent="0.25">
      <c r="N166" s="99"/>
      <c r="O166" s="104"/>
      <c r="P166" s="104"/>
      <c r="Q166" s="132" t="str">
        <f>INDEX(g_assets_sc_1,6)</f>
        <v/>
      </c>
      <c r="R166" s="132"/>
      <c r="S166" s="127"/>
      <c r="T166" s="139">
        <f ca="1">T$150</f>
        <v>2025</v>
      </c>
      <c r="U166" s="139">
        <f t="shared" ref="U166:AW166" ca="1" si="280">U$150</f>
        <v>2026</v>
      </c>
      <c r="V166" s="139">
        <f t="shared" ca="1" si="280"/>
        <v>2027</v>
      </c>
      <c r="W166" s="139">
        <f t="shared" ca="1" si="280"/>
        <v>2028</v>
      </c>
      <c r="X166" s="139" t="str">
        <f t="shared" ca="1" si="280"/>
        <v/>
      </c>
      <c r="Y166" s="139" t="str">
        <f t="shared" ca="1" si="280"/>
        <v/>
      </c>
      <c r="Z166" s="139" t="str">
        <f t="shared" ca="1" si="280"/>
        <v/>
      </c>
      <c r="AA166" s="139" t="str">
        <f t="shared" ca="1" si="280"/>
        <v/>
      </c>
      <c r="AB166" s="139" t="str">
        <f t="shared" ca="1" si="280"/>
        <v/>
      </c>
      <c r="AC166" s="139" t="str">
        <f t="shared" ca="1" si="280"/>
        <v/>
      </c>
      <c r="AD166" s="139" t="str">
        <f t="shared" ca="1" si="280"/>
        <v/>
      </c>
      <c r="AE166" s="139" t="str">
        <f t="shared" ca="1" si="280"/>
        <v/>
      </c>
      <c r="AF166" s="139" t="str">
        <f t="shared" ca="1" si="280"/>
        <v/>
      </c>
      <c r="AG166" s="139" t="str">
        <f t="shared" ca="1" si="280"/>
        <v/>
      </c>
      <c r="AH166" s="139" t="str">
        <f t="shared" ca="1" si="280"/>
        <v/>
      </c>
      <c r="AI166" s="139" t="str">
        <f t="shared" ca="1" si="280"/>
        <v/>
      </c>
      <c r="AJ166" s="139" t="str">
        <f t="shared" ca="1" si="280"/>
        <v/>
      </c>
      <c r="AK166" s="139" t="str">
        <f t="shared" ca="1" si="280"/>
        <v/>
      </c>
      <c r="AL166" s="139" t="str">
        <f t="shared" ca="1" si="280"/>
        <v/>
      </c>
      <c r="AM166" s="139" t="str">
        <f t="shared" ca="1" si="280"/>
        <v/>
      </c>
      <c r="AN166" s="139" t="str">
        <f t="shared" ca="1" si="280"/>
        <v/>
      </c>
      <c r="AO166" s="139" t="str">
        <f t="shared" ca="1" si="280"/>
        <v/>
      </c>
      <c r="AP166" s="139" t="str">
        <f t="shared" ca="1" si="280"/>
        <v/>
      </c>
      <c r="AQ166" s="139" t="str">
        <f t="shared" ca="1" si="280"/>
        <v/>
      </c>
      <c r="AR166" s="139" t="str">
        <f t="shared" ca="1" si="280"/>
        <v/>
      </c>
      <c r="AS166" s="139" t="str">
        <f t="shared" ca="1" si="280"/>
        <v/>
      </c>
      <c r="AT166" s="139" t="str">
        <f t="shared" ca="1" si="280"/>
        <v/>
      </c>
      <c r="AU166" s="139" t="str">
        <f t="shared" ca="1" si="280"/>
        <v/>
      </c>
      <c r="AV166" s="139" t="str">
        <f t="shared" ca="1" si="280"/>
        <v/>
      </c>
      <c r="AW166" s="139" t="str">
        <f t="shared" ca="1" si="280"/>
        <v/>
      </c>
      <c r="AX166" s="104"/>
      <c r="AY166" s="104"/>
      <c r="AZ166" s="101"/>
    </row>
    <row r="167" spans="3:52" ht="12.75" customHeight="1" x14ac:dyDescent="0.25">
      <c r="C167" s="140">
        <f>INDEX(g_sc_1_assets_dates,G167)</f>
        <v>0</v>
      </c>
      <c r="G167" s="141">
        <v>4</v>
      </c>
      <c r="N167" s="99"/>
      <c r="O167" s="104"/>
      <c r="P167" s="104"/>
      <c r="Q167" s="129" t="str">
        <f>INDEX(g_lang_val,MATCH("tb_2_4_1",g_lang_key,0))</f>
        <v>Køb af anlægsaktiver</v>
      </c>
      <c r="R167" s="130"/>
      <c r="S167" s="133">
        <f ca="1">SUM(T167:BG167)</f>
        <v>0</v>
      </c>
      <c r="T167" s="128">
        <f ca="1">IF(T166="","",SUMPRODUCT(--(Leverancer!$C$28:$C$88=($G167+2)),Leverancer!D$28:D$88)/1000)</f>
        <v>0</v>
      </c>
      <c r="U167" s="128">
        <f ca="1">IF(U166="","",SUMPRODUCT(--(Leverancer!$C$28:$C$88=($G167+2)),Leverancer!E$28:E$88)/1000)</f>
        <v>0</v>
      </c>
      <c r="V167" s="128">
        <f ca="1">IF(V166="","",SUMPRODUCT(--(Leverancer!$C$28:$C$88=($G167+2)),Leverancer!F$28:F$88)/1000)</f>
        <v>0</v>
      </c>
      <c r="W167" s="128">
        <f ca="1">IF(W166="","",SUMPRODUCT(--(Leverancer!$C$28:$C$88=($G167+2)),Leverancer!G$28:G$88)/1000)</f>
        <v>0</v>
      </c>
      <c r="X167" s="128" t="str">
        <f ca="1">IF(X166="","",SUMPRODUCT(--(Leverancer!$C$28:$C$88=($G167+2)),Leverancer!H$28:H$88)/1000)</f>
        <v/>
      </c>
      <c r="Y167" s="128" t="str">
        <f ca="1">IF(Y166="","",SUMPRODUCT(--(Leverancer!$C$28:$C$88=($G167+2)),Leverancer!I$28:I$88)/1000)</f>
        <v/>
      </c>
      <c r="Z167" s="128" t="str">
        <f ca="1">IF(Z166="","",SUMPRODUCT(--(Leverancer!$C$28:$C$88=($G167+2)),Leverancer!J$28:J$88)/1000)</f>
        <v/>
      </c>
      <c r="AA167" s="128" t="str">
        <f ca="1">IF(AA166="","",SUMPRODUCT(--(Leverancer!$C$28:$C$88=($G167+2)),Leverancer!K$28:K$88)/1000)</f>
        <v/>
      </c>
      <c r="AB167" s="128" t="str">
        <f ca="1">IF(AB166="","",SUMPRODUCT(--(Leverancer!$C$28:$C$88=($G167+2)),Leverancer!L$28:L$88)/1000)</f>
        <v/>
      </c>
      <c r="AC167" s="128" t="str">
        <f ca="1">IF(AC166="","",SUMPRODUCT(--(Leverancer!$C$28:$C$88=($G167+2)),Leverancer!M$28:M$88)/1000)</f>
        <v/>
      </c>
      <c r="AD167" s="128" t="str">
        <f ca="1">IF(AD166="","",SUMPRODUCT(--(Leverancer!$C$28:$C$88=($G167+2)),Leverancer!N$28:N$88)/1000)</f>
        <v/>
      </c>
      <c r="AE167" s="128" t="str">
        <f ca="1">IF(AE166="","",SUMPRODUCT(--(Leverancer!$C$28:$C$88=($G167+2)),Leverancer!O$28:O$88)/1000)</f>
        <v/>
      </c>
      <c r="AF167" s="128" t="str">
        <f ca="1">IF(AF166="","",SUMPRODUCT(--(Leverancer!$C$28:$C$88=($G167+2)),Leverancer!P$28:P$88)/1000)</f>
        <v/>
      </c>
      <c r="AG167" s="128" t="str">
        <f ca="1">IF(AG166="","",SUMPRODUCT(--(Leverancer!$C$28:$C$88=($G167+2)),Leverancer!Q$28:Q$88)/1000)</f>
        <v/>
      </c>
      <c r="AH167" s="128" t="str">
        <f ca="1">IF(AH166="","",SUMPRODUCT(--(Leverancer!$C$28:$C$88=($G167+2)),Leverancer!R$28:R$88)/1000)</f>
        <v/>
      </c>
      <c r="AI167" s="128" t="str">
        <f ca="1">IF(AI166="","",SUMPRODUCT(--(Leverancer!$C$28:$C$88=($G167+2)),Leverancer!S$28:S$88)/1000)</f>
        <v/>
      </c>
      <c r="AJ167" s="128" t="str">
        <f ca="1">IF(AJ166="","",SUMPRODUCT(--(Leverancer!$C$28:$C$88=($G167+2)),Leverancer!T$28:T$88)/1000)</f>
        <v/>
      </c>
      <c r="AK167" s="128" t="str">
        <f ca="1">IF(AK166="","",SUMPRODUCT(--(Leverancer!$C$28:$C$88=($G167+2)),Leverancer!U$28:U$88)/1000)</f>
        <v/>
      </c>
      <c r="AL167" s="128" t="str">
        <f ca="1">IF(AL166="","",SUMPRODUCT(--(Leverancer!$C$28:$C$88=($G167+2)),Leverancer!V$28:V$88)/1000)</f>
        <v/>
      </c>
      <c r="AM167" s="128" t="str">
        <f ca="1">IF(AM166="","",SUMPRODUCT(--(Leverancer!$C$28:$C$88=($G167+2)),Leverancer!W$28:W$88)/1000)</f>
        <v/>
      </c>
      <c r="AN167" s="128" t="str">
        <f ca="1">IF(AN166="","",SUMPRODUCT(--(Leverancer!$C$28:$C$88=($G167+2)),Leverancer!X$28:X$88)/1000)</f>
        <v/>
      </c>
      <c r="AO167" s="128" t="str">
        <f ca="1">IF(AO166="","",SUMPRODUCT(--(Leverancer!$C$28:$C$88=($G167+2)),Leverancer!Y$28:Y$88)/1000)</f>
        <v/>
      </c>
      <c r="AP167" s="128" t="str">
        <f ca="1">IF(AP166="","",SUMPRODUCT(--(Leverancer!$C$28:$C$88=($G167+2)),Leverancer!Z$28:Z$88)/1000)</f>
        <v/>
      </c>
      <c r="AQ167" s="128" t="str">
        <f ca="1">IF(AQ166="","",SUMPRODUCT(--(Leverancer!$C$28:$C$88=($G167+2)),Leverancer!AA$28:AA$88)/1000)</f>
        <v/>
      </c>
      <c r="AR167" s="128" t="str">
        <f ca="1">IF(AR166="","",SUMPRODUCT(--(Leverancer!$C$28:$C$88=($G167+2)),Leverancer!AB$28:AB$88)/1000)</f>
        <v/>
      </c>
      <c r="AS167" s="128" t="str">
        <f ca="1">IF(AS166="","",SUMPRODUCT(--(Leverancer!$C$28:$C$88=($G167+2)),Leverancer!AC$28:AC$88)/1000)</f>
        <v/>
      </c>
      <c r="AT167" s="128" t="str">
        <f ca="1">IF(AT166="","",SUMPRODUCT(--(Leverancer!$C$28:$C$88=($G167+2)),Leverancer!AD$28:AD$88)/1000)</f>
        <v/>
      </c>
      <c r="AU167" s="128" t="str">
        <f ca="1">IF(AU166="","",SUMPRODUCT(--(Leverancer!$C$28:$C$88=($G167+2)),Leverancer!AE$28:AE$88)/1000)</f>
        <v/>
      </c>
      <c r="AV167" s="128" t="str">
        <f ca="1">IF(AV166="","",SUMPRODUCT(--(Leverancer!$C$28:$C$88=($G167+2)),Leverancer!AF$28:AF$88)/1000)</f>
        <v/>
      </c>
      <c r="AW167" s="128" t="str">
        <f ca="1">IF(AW166="","",SUMPRODUCT(--(Leverancer!$C$28:$C$88=($G167+2)),Leverancer!AG$28:AG$88)/1000)</f>
        <v/>
      </c>
      <c r="AX167" s="104"/>
      <c r="AY167" s="104"/>
      <c r="AZ167" s="101"/>
    </row>
    <row r="168" spans="3:52" ht="12.75" customHeight="1" x14ac:dyDescent="0.25">
      <c r="C168" s="142">
        <f>IFERROR(YEAR(C167),"")</f>
        <v>1900</v>
      </c>
      <c r="D168" s="142">
        <f>IFERROR(MONTH(C167),"")</f>
        <v>1</v>
      </c>
      <c r="E168" s="142">
        <f>INDEX(g_sc_1_assets_years,G167)</f>
        <v>0</v>
      </c>
      <c r="N168" s="99"/>
      <c r="O168" s="104"/>
      <c r="P168" s="104"/>
      <c r="Q168" s="129" t="str">
        <f>INDEX(g_lang_val,MATCH("tb_2_4_2",g_lang_key,0))</f>
        <v>Afskrivninger</v>
      </c>
      <c r="R168" s="130"/>
      <c r="S168" s="133">
        <f ca="1">SUM(T168:BG168)</f>
        <v>0</v>
      </c>
      <c r="T168" s="128">
        <f t="shared" ref="T168" ca="1" si="281">IF(T166="","",IF(T166&lt;$C168,0,IF(T166=$C168,T167/$C169*$E169+S169/$C169*$E169,IF(AND(T166&gt;$C168,T166&lt;ROUNDDOWN(($C168+($D168+$C169-1)/12),0)),(T167/2+S169)/($C169-$E169-12*(T166-$C168-1))*12,IF(AND($D169&lt;0,T166=ROUNDDOWN(($C168+($D168+$C169-1)/12),0)),S169+T167,IF(T166=ROUNDDOWN(($C168+($D168+$C169-1)/12),0),(T167+S169)/$C169*($D169+(T166-$C168-1)*12+$E169),IF(T166&gt;ROUNDDOWN(($C168+($D168+$C169)/12),0),0,0)))))))</f>
        <v>0</v>
      </c>
      <c r="U168" s="128">
        <f t="shared" ref="U168" ca="1" si="282">IF(U166="","",IF(U166&lt;$C168,0,IF(U166=$C168,U167/$C169*$E169+T169/$C169*$E169,IF(AND(U166&gt;$C168,U166&lt;ROUNDDOWN(($C168+($D168+$C169-1)/12),0)),(U167/2+T169)/($C169-$E169-12*(U166-$C168-1))*12,IF(AND($D169&lt;0,U166=ROUNDDOWN(($C168+($D168+$C169-1)/12),0)),T169+U167,IF(U166=ROUNDDOWN(($C168+($D168+$C169-1)/12),0),(U167+T169)/$C169*($D169+(U166-$C168-1)*12+$E169),IF(U166&gt;ROUNDDOWN(($C168+($D168+$C169)/12),0),0,0)))))))</f>
        <v>0</v>
      </c>
      <c r="V168" s="128">
        <f t="shared" ref="V168" ca="1" si="283">IF(V166="","",IF(V166&lt;$C168,0,IF(V166=$C168,V167/$C169*$E169+U169/$C169*$E169,IF(AND(V166&gt;$C168,V166&lt;ROUNDDOWN(($C168+($D168+$C169-1)/12),0)),(V167/2+U169)/($C169-$E169-12*(V166-$C168-1))*12,IF(AND($D169&lt;0,V166=ROUNDDOWN(($C168+($D168+$C169-1)/12),0)),U169+V167,IF(V166=ROUNDDOWN(($C168+($D168+$C169-1)/12),0),(V167+U169)/$C169*($D169+(V166-$C168-1)*12+$E169),IF(V166&gt;ROUNDDOWN(($C168+($D168+$C169)/12),0),0,0)))))))</f>
        <v>0</v>
      </c>
      <c r="W168" s="128">
        <f t="shared" ref="W168" ca="1" si="284">IF(W166="","",IF(W166&lt;$C168,0,IF(W166=$C168,W167/$C169*$E169+V169/$C169*$E169,IF(AND(W166&gt;$C168,W166&lt;ROUNDDOWN(($C168+($D168+$C169-1)/12),0)),(W167/2+V169)/($C169-$E169-12*(W166-$C168-1))*12,IF(AND($D169&lt;0,W166=ROUNDDOWN(($C168+($D168+$C169-1)/12),0)),V169+W167,IF(W166=ROUNDDOWN(($C168+($D168+$C169-1)/12),0),(W167+V169)/$C169*($D169+(W166-$C168-1)*12+$E169),IF(W166&gt;ROUNDDOWN(($C168+($D168+$C169)/12),0),0,0)))))))</f>
        <v>0</v>
      </c>
      <c r="X168" s="128" t="str">
        <f t="shared" ref="X168" ca="1" si="285">IF(X166="","",IF(X166&lt;$C168,0,IF(X166=$C168,X167/$C169*$E169+W169/$C169*$E169,IF(AND(X166&gt;$C168,X166&lt;ROUNDDOWN(($C168+($D168+$C169-1)/12),0)),(X167/2+W169)/($C169-$E169-12*(X166-$C168-1))*12,IF(AND($D169&lt;0,X166=ROUNDDOWN(($C168+($D168+$C169-1)/12),0)),W169+X167,IF(X166=ROUNDDOWN(($C168+($D168+$C169-1)/12),0),(X167+W169)/$C169*($D169+(X166-$C168-1)*12+$E169),IF(X166&gt;ROUNDDOWN(($C168+($D168+$C169)/12),0),0,0)))))))</f>
        <v/>
      </c>
      <c r="Y168" s="128" t="str">
        <f t="shared" ref="Y168" ca="1" si="286">IF(Y166="","",IF(Y166&lt;$C168,0,IF(Y166=$C168,Y167/$C169*$E169+X169/$C169*$E169,IF(AND(Y166&gt;$C168,Y166&lt;ROUNDDOWN(($C168+($D168+$C169-1)/12),0)),(Y167/2+X169)/($C169-$E169-12*(Y166-$C168-1))*12,IF(AND($D169&lt;0,Y166=ROUNDDOWN(($C168+($D168+$C169-1)/12),0)),X169+Y167,IF(Y166=ROUNDDOWN(($C168+($D168+$C169-1)/12),0),(Y167+X169)/$C169*($D169+(Y166-$C168-1)*12+$E169),IF(Y166&gt;ROUNDDOWN(($C168+($D168+$C169)/12),0),0,0)))))))</f>
        <v/>
      </c>
      <c r="Z168" s="128" t="str">
        <f ca="1">IF(Z166="","",IF(Z166&lt;$C168,0,IF(Z166=$C168,Z167/$C169*$E169+Y169/$C169*$E169,IF(AND(Z166&gt;$C168,Z166&lt;ROUNDDOWN(($C168+($D168+$C169-1)/12),0)),(Z167/2+Y169)/($C169-$E169-12*(Z166-$C168-1))*12,IF(AND($D169&lt;0,Z166=ROUNDDOWN(($C168+($D168+$C169-1)/12),0)),Y169+Z167,IF(Z166=ROUNDDOWN(($C168+($D168+$C169-1)/12),0),(Z167+Y169)/$C169*($D169+(Z166-$C168-1)*12+$E169),IF(Z166&gt;ROUNDDOWN(($C168+($D168+$C169)/12),0),0,0)))))))</f>
        <v/>
      </c>
      <c r="AA168" s="128" t="str">
        <f t="shared" ref="AA168" ca="1" si="287">IF(AA166="","",IF(AA166&lt;$C168,0,IF(AA166=$C168,AA167/$C169*$E169+Z169/$C169*$E169,IF(AND(AA166&gt;$C168,AA166&lt;ROUNDDOWN(($C168+($D168+$C169-1)/12),0)),(AA167/2+Z169)/($C169-$E169-12*(AA166-$C168-1))*12,IF(AND($D169&lt;0,AA166=ROUNDDOWN(($C168+($D168+$C169-1)/12),0)),Z169+AA167,IF(AA166=ROUNDDOWN(($C168+($D168+$C169-1)/12),0),(AA167+Z169)/$C169*($D169+(AA166-$C168-1)*12+$E169),IF(AA166&gt;ROUNDDOWN(($C168+($D168+$C169)/12),0),0,0)))))))</f>
        <v/>
      </c>
      <c r="AB168" s="128" t="str">
        <f t="shared" ref="AB168" ca="1" si="288">IF(AB166="","",IF(AB166&lt;$C168,0,IF(AB166=$C168,AB167/$C169*$E169+AA169/$C169*$E169,IF(AND(AB166&gt;$C168,AB166&lt;ROUNDDOWN(($C168+($D168+$C169-1)/12),0)),(AB167/2+AA169)/($C169-$E169-12*(AB166-$C168-1))*12,IF(AND($D169&lt;0,AB166=ROUNDDOWN(($C168+($D168+$C169-1)/12),0)),AA169+AB167,IF(AB166=ROUNDDOWN(($C168+($D168+$C169-1)/12),0),(AB167+AA169)/$C169*($D169+(AB166-$C168-1)*12+$E169),IF(AB166&gt;ROUNDDOWN(($C168+($D168+$C169)/12),0),0,0)))))))</f>
        <v/>
      </c>
      <c r="AC168" s="128" t="str">
        <f t="shared" ref="AC168" ca="1" si="289">IF(AC166="","",IF(AC166&lt;$C168,0,IF(AC166=$C168,AC167/$C169*$E169+AB169/$C169*$E169,IF(AND(AC166&gt;$C168,AC166&lt;ROUNDDOWN(($C168+($D168+$C169-1)/12),0)),(AC167/2+AB169)/($C169-$E169-12*(AC166-$C168-1))*12,IF(AND($D169&lt;0,AC166=ROUNDDOWN(($C168+($D168+$C169-1)/12),0)),AB169+AC167,IF(AC166=ROUNDDOWN(($C168+($D168+$C169-1)/12),0),(AC167+AB169)/$C169*($D169+(AC166-$C168-1)*12+$E169),IF(AC166&gt;ROUNDDOWN(($C168+($D168+$C169)/12),0),0,0)))))))</f>
        <v/>
      </c>
      <c r="AD168" s="128" t="str">
        <f t="shared" ref="AD168" ca="1" si="290">IF(AD166="","",IF(AD166&lt;$C168,0,IF(AD166=$C168,AD167/$C169*$E169+AC169/$C169*$E169,IF(AND(AD166&gt;$C168,AD166&lt;ROUNDDOWN(($C168+($D168+$C169-1)/12),0)),(AD167/2+AC169)/($C169-$E169-12*(AD166-$C168-1))*12,IF(AND($D169&lt;0,AD166=ROUNDDOWN(($C168+($D168+$C169-1)/12),0)),AC169+AD167,IF(AD166=ROUNDDOWN(($C168+($D168+$C169-1)/12),0),(AD167+AC169)/$C169*($D169+(AD166-$C168-1)*12+$E169),IF(AD166&gt;ROUNDDOWN(($C168+($D168+$C169)/12),0),0,0)))))))</f>
        <v/>
      </c>
      <c r="AE168" s="128" t="str">
        <f t="shared" ref="AE168" ca="1" si="291">IF(AE166="","",IF(AE166&lt;$C168,0,IF(AE166=$C168,AE167/$C169*$E169+AD169/$C169*$E169,IF(AND(AE166&gt;$C168,AE166&lt;ROUNDDOWN(($C168+($D168+$C169-1)/12),0)),(AE167/2+AD169)/($C169-$E169-12*(AE166-$C168-1))*12,IF(AND($D169&lt;0,AE166=ROUNDDOWN(($C168+($D168+$C169-1)/12),0)),AD169+AE167,IF(AE166=ROUNDDOWN(($C168+($D168+$C169-1)/12),0),(AE167+AD169)/$C169*($D169+(AE166-$C168-1)*12+$E169),IF(AE166&gt;ROUNDDOWN(($C168+($D168+$C169)/12),0),0,0)))))))</f>
        <v/>
      </c>
      <c r="AF168" s="128" t="str">
        <f t="shared" ref="AF168" ca="1" si="292">IF(AF166="","",IF(AF166&lt;$C168,0,IF(AF166=$C168,AF167/$C169*$E169+AE169/$C169*$E169,IF(AND(AF166&gt;$C168,AF166&lt;ROUNDDOWN(($C168+($D168+$C169-1)/12),0)),(AF167/2+AE169)/($C169-$E169-12*(AF166-$C168-1))*12,IF(AND($D169&lt;0,AF166=ROUNDDOWN(($C168+($D168+$C169-1)/12),0)),AE169+AF167,IF(AF166=ROUNDDOWN(($C168+($D168+$C169-1)/12),0),(AF167+AE169)/$C169*($D169+(AF166-$C168-1)*12+$E169),IF(AF166&gt;ROUNDDOWN(($C168+($D168+$C169)/12),0),0,0)))))))</f>
        <v/>
      </c>
      <c r="AG168" s="128" t="str">
        <f t="shared" ref="AG168" ca="1" si="293">IF(AG166="","",IF(AG166&lt;$C168,0,IF(AG166=$C168,AG167/$C169*$E169+AF169/$C169*$E169,IF(AND(AG166&gt;$C168,AG166&lt;ROUNDDOWN(($C168+($D168+$C169-1)/12),0)),(AG167/2+AF169)/($C169-$E169-12*(AG166-$C168-1))*12,IF(AND($D169&lt;0,AG166=ROUNDDOWN(($C168+($D168+$C169-1)/12),0)),AF169+AG167,IF(AG166=ROUNDDOWN(($C168+($D168+$C169-1)/12),0),(AG167+AF169)/$C169*($D169+(AG166-$C168-1)*12+$E169),IF(AG166&gt;ROUNDDOWN(($C168+($D168+$C169)/12),0),0,0)))))))</f>
        <v/>
      </c>
      <c r="AH168" s="128" t="str">
        <f t="shared" ref="AH168" ca="1" si="294">IF(AH166="","",IF(AH166&lt;$C168,0,IF(AH166=$C168,AH167/$C169*$E169+AG169/$C169*$E169,IF(AND(AH166&gt;$C168,AH166&lt;ROUNDDOWN(($C168+($D168+$C169-1)/12),0)),(AH167/2+AG169)/($C169-$E169-12*(AH166-$C168-1))*12,IF(AND($D169&lt;0,AH166=ROUNDDOWN(($C168+($D168+$C169-1)/12),0)),AG169+AH167,IF(AH166=ROUNDDOWN(($C168+($D168+$C169-1)/12),0),(AH167+AG169)/$C169*($D169+(AH166-$C168-1)*12+$E169),IF(AH166&gt;ROUNDDOWN(($C168+($D168+$C169)/12),0),0,0)))))))</f>
        <v/>
      </c>
      <c r="AI168" s="128" t="str">
        <f t="shared" ref="AI168" ca="1" si="295">IF(AI166="","",IF(AI166&lt;$C168,0,IF(AI166=$C168,AI167/$C169*$E169+AH169/$C169*$E169,IF(AND(AI166&gt;$C168,AI166&lt;ROUNDDOWN(($C168+($D168+$C169-1)/12),0)),(AI167/2+AH169)/($C169-$E169-12*(AI166-$C168-1))*12,IF(AND($D169&lt;0,AI166=ROUNDDOWN(($C168+($D168+$C169-1)/12),0)),AH169+AI167,IF(AI166=ROUNDDOWN(($C168+($D168+$C169-1)/12),0),(AI167+AH169)/$C169*($D169+(AI166-$C168-1)*12+$E169),IF(AI166&gt;ROUNDDOWN(($C168+($D168+$C169)/12),0),0,0)))))))</f>
        <v/>
      </c>
      <c r="AJ168" s="128" t="str">
        <f t="shared" ref="AJ168" ca="1" si="296">IF(AJ166="","",IF(AJ166&lt;$C168,0,IF(AJ166=$C168,AJ167/$C169*$E169+AI169/$C169*$E169,IF(AND(AJ166&gt;$C168,AJ166&lt;ROUNDDOWN(($C168+($D168+$C169-1)/12),0)),(AJ167/2+AI169)/($C169-$E169-12*(AJ166-$C168-1))*12,IF(AND($D169&lt;0,AJ166=ROUNDDOWN(($C168+($D168+$C169-1)/12),0)),AI169+AJ167,IF(AJ166=ROUNDDOWN(($C168+($D168+$C169-1)/12),0),(AJ167+AI169)/$C169*($D169+(AJ166-$C168-1)*12+$E169),IF(AJ166&gt;ROUNDDOWN(($C168+($D168+$C169)/12),0),0,0)))))))</f>
        <v/>
      </c>
      <c r="AK168" s="128" t="str">
        <f t="shared" ref="AK168" ca="1" si="297">IF(AK166="","",IF(AK166&lt;$C168,0,IF(AK166=$C168,AK167/$C169*$E169+AJ169/$C169*$E169,IF(AND(AK166&gt;$C168,AK166&lt;ROUNDDOWN(($C168+($D168+$C169-1)/12),0)),(AK167/2+AJ169)/($C169-$E169-12*(AK166-$C168-1))*12,IF(AND($D169&lt;0,AK166=ROUNDDOWN(($C168+($D168+$C169-1)/12),0)),AJ169+AK167,IF(AK166=ROUNDDOWN(($C168+($D168+$C169-1)/12),0),(AK167+AJ169)/$C169*($D169+(AK166-$C168-1)*12+$E169),IF(AK166&gt;ROUNDDOWN(($C168+($D168+$C169)/12),0),0,0)))))))</f>
        <v/>
      </c>
      <c r="AL168" s="128" t="str">
        <f t="shared" ref="AL168" ca="1" si="298">IF(AL166="","",IF(AL166&lt;$C168,0,IF(AL166=$C168,AL167/$C169*$E169+AK169/$C169*$E169,IF(AND(AL166&gt;$C168,AL166&lt;ROUNDDOWN(($C168+($D168+$C169-1)/12),0)),(AL167/2+AK169)/($C169-$E169-12*(AL166-$C168-1))*12,IF(AND($D169&lt;0,AL166=ROUNDDOWN(($C168+($D168+$C169-1)/12),0)),AK169+AL167,IF(AL166=ROUNDDOWN(($C168+($D168+$C169-1)/12),0),(AL167+AK169)/$C169*($D169+(AL166-$C168-1)*12+$E169),IF(AL166&gt;ROUNDDOWN(($C168+($D168+$C169)/12),0),0,0)))))))</f>
        <v/>
      </c>
      <c r="AM168" s="128" t="str">
        <f t="shared" ref="AM168" ca="1" si="299">IF(AM166="","",IF(AM166&lt;$C168,0,IF(AM166=$C168,AM167/$C169*$E169+AL169/$C169*$E169,IF(AND(AM166&gt;$C168,AM166&lt;ROUNDDOWN(($C168+($D168+$C169-1)/12),0)),(AM167/2+AL169)/($C169-$E169-12*(AM166-$C168-1))*12,IF(AND($D169&lt;0,AM166=ROUNDDOWN(($C168+($D168+$C169-1)/12),0)),AL169+AM167,IF(AM166=ROUNDDOWN(($C168+($D168+$C169-1)/12),0),(AM167+AL169)/$C169*($D169+(AM166-$C168-1)*12+$E169),IF(AM166&gt;ROUNDDOWN(($C168+($D168+$C169)/12),0),0,0)))))))</f>
        <v/>
      </c>
      <c r="AN168" s="128" t="str">
        <f t="shared" ref="AN168" ca="1" si="300">IF(AN166="","",IF(AN166&lt;$C168,0,IF(AN166=$C168,AN167/$C169*$E169+AM169/$C169*$E169,IF(AND(AN166&gt;$C168,AN166&lt;ROUNDDOWN(($C168+($D168+$C169-1)/12),0)),(AN167/2+AM169)/($C169-$E169-12*(AN166-$C168-1))*12,IF(AND($D169&lt;0,AN166=ROUNDDOWN(($C168+($D168+$C169-1)/12),0)),AM169+AN167,IF(AN166=ROUNDDOWN(($C168+($D168+$C169-1)/12),0),(AN167+AM169)/$C169*($D169+(AN166-$C168-1)*12+$E169),IF(AN166&gt;ROUNDDOWN(($C168+($D168+$C169)/12),0),0,0)))))))</f>
        <v/>
      </c>
      <c r="AO168" s="128" t="str">
        <f t="shared" ref="AO168" ca="1" si="301">IF(AO166="","",IF(AO166&lt;$C168,0,IF(AO166=$C168,AO167/$C169*$E169+AN169/$C169*$E169,IF(AND(AO166&gt;$C168,AO166&lt;ROUNDDOWN(($C168+($D168+$C169-1)/12),0)),(AO167/2+AN169)/($C169-$E169-12*(AO166-$C168-1))*12,IF(AND($D169&lt;0,AO166=ROUNDDOWN(($C168+($D168+$C169-1)/12),0)),AN169+AO167,IF(AO166=ROUNDDOWN(($C168+($D168+$C169-1)/12),0),(AO167+AN169)/$C169*($D169+(AO166-$C168-1)*12+$E169),IF(AO166&gt;ROUNDDOWN(($C168+($D168+$C169)/12),0),0,0)))))))</f>
        <v/>
      </c>
      <c r="AP168" s="128" t="str">
        <f t="shared" ref="AP168" ca="1" si="302">IF(AP166="","",IF(AP166&lt;$C168,0,IF(AP166=$C168,AP167/$C169*$E169+AO169/$C169*$E169,IF(AND(AP166&gt;$C168,AP166&lt;ROUNDDOWN(($C168+($D168+$C169-1)/12),0)),(AP167/2+AO169)/($C169-$E169-12*(AP166-$C168-1))*12,IF(AND($D169&lt;0,AP166=ROUNDDOWN(($C168+($D168+$C169-1)/12),0)),AO169+AP167,IF(AP166=ROUNDDOWN(($C168+($D168+$C169-1)/12),0),(AP167+AO169)/$C169*($D169+(AP166-$C168-1)*12+$E169),IF(AP166&gt;ROUNDDOWN(($C168+($D168+$C169)/12),0),0,0)))))))</f>
        <v/>
      </c>
      <c r="AQ168" s="128" t="str">
        <f t="shared" ref="AQ168" ca="1" si="303">IF(AQ166="","",IF(AQ166&lt;$C168,0,IF(AQ166=$C168,AQ167/$C169*$E169+AP169/$C169*$E169,IF(AND(AQ166&gt;$C168,AQ166&lt;ROUNDDOWN(($C168+($D168+$C169-1)/12),0)),(AQ167/2+AP169)/($C169-$E169-12*(AQ166-$C168-1))*12,IF(AND($D169&lt;0,AQ166=ROUNDDOWN(($C168+($D168+$C169-1)/12),0)),AP169+AQ167,IF(AQ166=ROUNDDOWN(($C168+($D168+$C169-1)/12),0),(AQ167+AP169)/$C169*($D169+(AQ166-$C168-1)*12+$E169),IF(AQ166&gt;ROUNDDOWN(($C168+($D168+$C169)/12),0),0,0)))))))</f>
        <v/>
      </c>
      <c r="AR168" s="128" t="str">
        <f t="shared" ref="AR168" ca="1" si="304">IF(AR166="","",IF(AR166&lt;$C168,0,IF(AR166=$C168,AR167/$C169*$E169+AQ169/$C169*$E169,IF(AND(AR166&gt;$C168,AR166&lt;ROUNDDOWN(($C168+($D168+$C169-1)/12),0)),(AR167/2+AQ169)/($C169-$E169-12*(AR166-$C168-1))*12,IF(AND($D169&lt;0,AR166=ROUNDDOWN(($C168+($D168+$C169-1)/12),0)),AQ169+AR167,IF(AR166=ROUNDDOWN(($C168+($D168+$C169-1)/12),0),(AR167+AQ169)/$C169*($D169+(AR166-$C168-1)*12+$E169),IF(AR166&gt;ROUNDDOWN(($C168+($D168+$C169)/12),0),0,0)))))))</f>
        <v/>
      </c>
      <c r="AS168" s="128" t="str">
        <f t="shared" ref="AS168" ca="1" si="305">IF(AS166="","",IF(AS166&lt;$C168,0,IF(AS166=$C168,AS167/$C169*$E169+AR169/$C169*$E169,IF(AND(AS166&gt;$C168,AS166&lt;ROUNDDOWN(($C168+($D168+$C169-1)/12),0)),(AS167/2+AR169)/($C169-$E169-12*(AS166-$C168-1))*12,IF(AND($D169&lt;0,AS166=ROUNDDOWN(($C168+($D168+$C169-1)/12),0)),AR169+AS167,IF(AS166=ROUNDDOWN(($C168+($D168+$C169-1)/12),0),(AS167+AR169)/$C169*($D169+(AS166-$C168-1)*12+$E169),IF(AS166&gt;ROUNDDOWN(($C168+($D168+$C169)/12),0),0,0)))))))</f>
        <v/>
      </c>
      <c r="AT168" s="128" t="str">
        <f t="shared" ref="AT168" ca="1" si="306">IF(AT166="","",IF(AT166&lt;$C168,0,IF(AT166=$C168,AT167/$C169*$E169+AS169/$C169*$E169,IF(AND(AT166&gt;$C168,AT166&lt;ROUNDDOWN(($C168+($D168+$C169-1)/12),0)),(AT167/2+AS169)/($C169-$E169-12*(AT166-$C168-1))*12,IF(AND($D169&lt;0,AT166=ROUNDDOWN(($C168+($D168+$C169-1)/12),0)),AS169+AT167,IF(AT166=ROUNDDOWN(($C168+($D168+$C169-1)/12),0),(AT167+AS169)/$C169*($D169+(AT166-$C168-1)*12+$E169),IF(AT166&gt;ROUNDDOWN(($C168+($D168+$C169)/12),0),0,0)))))))</f>
        <v/>
      </c>
      <c r="AU168" s="128" t="str">
        <f t="shared" ref="AU168" ca="1" si="307">IF(AU166="","",IF(AU166&lt;$C168,0,IF(AU166=$C168,AU167/$C169*$E169+AT169/$C169*$E169,IF(AND(AU166&gt;$C168,AU166&lt;ROUNDDOWN(($C168+($D168+$C169-1)/12),0)),(AU167/2+AT169)/($C169-$E169-12*(AU166-$C168-1))*12,IF(AND($D169&lt;0,AU166=ROUNDDOWN(($C168+($D168+$C169-1)/12),0)),AT169+AU167,IF(AU166=ROUNDDOWN(($C168+($D168+$C169-1)/12),0),(AU167+AT169)/$C169*($D169+(AU166-$C168-1)*12+$E169),IF(AU166&gt;ROUNDDOWN(($C168+($D168+$C169)/12),0),0,0)))))))</f>
        <v/>
      </c>
      <c r="AV168" s="128" t="str">
        <f t="shared" ref="AV168" ca="1" si="308">IF(AV166="","",IF(AV166&lt;$C168,0,IF(AV166=$C168,AV167/$C169*$E169+AU169/$C169*$E169,IF(AND(AV166&gt;$C168,AV166&lt;ROUNDDOWN(($C168+($D168+$C169-1)/12),0)),(AV167/2+AU169)/($C169-$E169-12*(AV166-$C168-1))*12,IF(AND($D169&lt;0,AV166=ROUNDDOWN(($C168+($D168+$C169-1)/12),0)),AU169+AV167,IF(AV166=ROUNDDOWN(($C168+($D168+$C169-1)/12),0),(AV167+AU169)/$C169*($D169+(AV166-$C168-1)*12+$E169),IF(AV166&gt;ROUNDDOWN(($C168+($D168+$C169)/12),0),0,0)))))))</f>
        <v/>
      </c>
      <c r="AW168" s="128" t="str">
        <f t="shared" ref="AW168" ca="1" si="309">IF(AW166="","",IF(AW166&lt;$C168,0,IF(AW166=$C168,AW167/$C169*$E169+AV169/$C169*$E169,IF(AND(AW166&gt;$C168,AW166&lt;ROUNDDOWN(($C168+($D168+$C169-1)/12),0)),(AW167/2+AV169)/($C169-$E169-12*(AW166-$C168-1))*12,IF(AND($D169&lt;0,AW166=ROUNDDOWN(($C168+($D168+$C169-1)/12),0)),AV169+AW167,IF(AW166=ROUNDDOWN(($C168+($D168+$C169-1)/12),0),(AW167+AV169)/$C169*($D169+(AW166-$C168-1)*12+$E169),IF(AW166&gt;ROUNDDOWN(($C168+($D168+$C169)/12),0),0,0)))))))</f>
        <v/>
      </c>
      <c r="AX168" s="104"/>
      <c r="AY168" s="104"/>
      <c r="AZ168" s="101"/>
    </row>
    <row r="169" spans="3:52" ht="12.75" customHeight="1" x14ac:dyDescent="0.25">
      <c r="C169" s="142">
        <f>ROUNDUP((E168-ROUNDDOWN(E168,0))*12,0)+ROUNDDOWN(E168,0)*12</f>
        <v>0</v>
      </c>
      <c r="D169" s="142">
        <f>C169-E169-ROUNDDOWN(E168,0)*12</f>
        <v>-12</v>
      </c>
      <c r="E169" s="142">
        <f>13-MONTH(C167)</f>
        <v>12</v>
      </c>
      <c r="N169" s="99"/>
      <c r="O169" s="104"/>
      <c r="P169" s="104"/>
      <c r="Q169" s="129" t="str">
        <f>INDEX(g_lang_val,MATCH("tb_2_4_3",g_lang_key,0))</f>
        <v>FF4-gæld, ultimo året</v>
      </c>
      <c r="R169" s="130"/>
      <c r="S169" s="133"/>
      <c r="T169" s="128">
        <f t="shared" ref="T169" ca="1" si="310">IF(T166="","",S169+T167-T168)</f>
        <v>0</v>
      </c>
      <c r="U169" s="128">
        <f t="shared" ref="U169" ca="1" si="311">IF(U166="","",T169+U167-U168)</f>
        <v>0</v>
      </c>
      <c r="V169" s="128">
        <f t="shared" ref="V169" ca="1" si="312">IF(V166="","",U169+V167-V168)</f>
        <v>0</v>
      </c>
      <c r="W169" s="128">
        <f t="shared" ref="W169" ca="1" si="313">IF(W166="","",V169+W167-W168)</f>
        <v>0</v>
      </c>
      <c r="X169" s="128" t="str">
        <f t="shared" ref="X169" ca="1" si="314">IF(X166="","",W169+X167-X168)</f>
        <v/>
      </c>
      <c r="Y169" s="128" t="str">
        <f t="shared" ref="Y169" ca="1" si="315">IF(Y166="","",X169+Y167-Y168)</f>
        <v/>
      </c>
      <c r="Z169" s="128" t="str">
        <f t="shared" ref="Z169" ca="1" si="316">IF(Z166="","",Y169+Z167-Z168)</f>
        <v/>
      </c>
      <c r="AA169" s="128" t="str">
        <f t="shared" ref="AA169" ca="1" si="317">IF(AA166="","",Z169+AA167-AA168)</f>
        <v/>
      </c>
      <c r="AB169" s="128" t="str">
        <f t="shared" ref="AB169" ca="1" si="318">IF(AB166="","",AA169+AB167-AB168)</f>
        <v/>
      </c>
      <c r="AC169" s="128" t="str">
        <f t="shared" ref="AC169" ca="1" si="319">IF(AC166="","",AB169+AC167-AC168)</f>
        <v/>
      </c>
      <c r="AD169" s="128" t="str">
        <f t="shared" ref="AD169" ca="1" si="320">IF(AD166="","",AC169+AD167-AD168)</f>
        <v/>
      </c>
      <c r="AE169" s="128" t="str">
        <f t="shared" ref="AE169" ca="1" si="321">IF(AE166="","",AD169+AE167-AE168)</f>
        <v/>
      </c>
      <c r="AF169" s="128" t="str">
        <f t="shared" ref="AF169" ca="1" si="322">IF(AF166="","",AE169+AF167-AF168)</f>
        <v/>
      </c>
      <c r="AG169" s="128" t="str">
        <f t="shared" ref="AG169" ca="1" si="323">IF(AG166="","",AF169+AG167-AG168)</f>
        <v/>
      </c>
      <c r="AH169" s="128" t="str">
        <f t="shared" ref="AH169" ca="1" si="324">IF(AH166="","",AG169+AH167-AH168)</f>
        <v/>
      </c>
      <c r="AI169" s="128" t="str">
        <f t="shared" ref="AI169" ca="1" si="325">IF(AI166="","",AH169+AI167-AI168)</f>
        <v/>
      </c>
      <c r="AJ169" s="128" t="str">
        <f t="shared" ref="AJ169" ca="1" si="326">IF(AJ166="","",AI169+AJ167-AJ168)</f>
        <v/>
      </c>
      <c r="AK169" s="128" t="str">
        <f t="shared" ref="AK169" ca="1" si="327">IF(AK166="","",AJ169+AK167-AK168)</f>
        <v/>
      </c>
      <c r="AL169" s="128" t="str">
        <f t="shared" ref="AL169" ca="1" si="328">IF(AL166="","",AK169+AL167-AL168)</f>
        <v/>
      </c>
      <c r="AM169" s="128" t="str">
        <f t="shared" ref="AM169" ca="1" si="329">IF(AM166="","",AL169+AM167-AM168)</f>
        <v/>
      </c>
      <c r="AN169" s="128" t="str">
        <f t="shared" ref="AN169" ca="1" si="330">IF(AN166="","",AM169+AN167-AN168)</f>
        <v/>
      </c>
      <c r="AO169" s="128" t="str">
        <f t="shared" ref="AO169" ca="1" si="331">IF(AO166="","",AN169+AO167-AO168)</f>
        <v/>
      </c>
      <c r="AP169" s="128" t="str">
        <f t="shared" ref="AP169" ca="1" si="332">IF(AP166="","",AO169+AP167-AP168)</f>
        <v/>
      </c>
      <c r="AQ169" s="128" t="str">
        <f t="shared" ref="AQ169" ca="1" si="333">IF(AQ166="","",AP169+AQ167-AQ168)</f>
        <v/>
      </c>
      <c r="AR169" s="128" t="str">
        <f t="shared" ref="AR169" ca="1" si="334">IF(AR166="","",AQ169+AR167-AR168)</f>
        <v/>
      </c>
      <c r="AS169" s="128" t="str">
        <f t="shared" ref="AS169" ca="1" si="335">IF(AS166="","",AR169+AS167-AS168)</f>
        <v/>
      </c>
      <c r="AT169" s="128" t="str">
        <f t="shared" ref="AT169" ca="1" si="336">IF(AT166="","",AS169+AT167-AT168)</f>
        <v/>
      </c>
      <c r="AU169" s="128" t="str">
        <f t="shared" ref="AU169" ca="1" si="337">IF(AU166="","",AT169+AU167-AU168)</f>
        <v/>
      </c>
      <c r="AV169" s="128" t="str">
        <f t="shared" ref="AV169" ca="1" si="338">IF(AV166="","",AU169+AV167-AV168)</f>
        <v/>
      </c>
      <c r="AW169" s="128" t="str">
        <f t="shared" ref="AW169" ca="1" si="339">IF(AW166="","",AV169+AW167-AW168)</f>
        <v/>
      </c>
      <c r="AX169" s="104"/>
      <c r="AY169" s="104"/>
      <c r="AZ169" s="101"/>
    </row>
    <row r="170" spans="3:52" ht="12.75" customHeight="1" x14ac:dyDescent="0.25">
      <c r="N170" s="99"/>
      <c r="O170" s="104"/>
      <c r="P170" s="104"/>
      <c r="Q170" s="129" t="str">
        <f>INDEX(g_lang_val,MATCH("tb_2_4_4",g_lang_key,0))</f>
        <v>Renter (FF4)</v>
      </c>
      <c r="R170" s="130"/>
      <c r="S170" s="133">
        <f ca="1">SUM(T170:BG170)</f>
        <v>0</v>
      </c>
      <c r="T170" s="128">
        <f t="shared" ref="T170" ca="1" si="340">IF(T166="","",g_interest_FF4*(S169+(T167/2)-(T168/2)))</f>
        <v>0</v>
      </c>
      <c r="U170" s="128">
        <f t="shared" ref="U170" ca="1" si="341">IF(U166="","",g_interest_FF4*(T169+(U167/2)-(U168/2)))</f>
        <v>0</v>
      </c>
      <c r="V170" s="128">
        <f t="shared" ref="V170" ca="1" si="342">IF(V166="","",g_interest_FF4*(U169+(V167/2)-(V168/2)))</f>
        <v>0</v>
      </c>
      <c r="W170" s="128">
        <f t="shared" ref="W170" ca="1" si="343">IF(W166="","",g_interest_FF4*(V169+(W167/2)-(W168/2)))</f>
        <v>0</v>
      </c>
      <c r="X170" s="128" t="str">
        <f t="shared" ref="X170" ca="1" si="344">IF(X166="","",g_interest_FF4*(W169+(X167/2)-(X168/2)))</f>
        <v/>
      </c>
      <c r="Y170" s="128" t="str">
        <f t="shared" ref="Y170" ca="1" si="345">IF(Y166="","",g_interest_FF4*(X169+(Y167/2)-(Y168/2)))</f>
        <v/>
      </c>
      <c r="Z170" s="128" t="str">
        <f t="shared" ref="Z170" ca="1" si="346">IF(Z166="","",g_interest_FF4*(Y169+(Z167/2)-(Z168/2)))</f>
        <v/>
      </c>
      <c r="AA170" s="128" t="str">
        <f t="shared" ref="AA170" ca="1" si="347">IF(AA166="","",g_interest_FF4*(Z169+(AA167/2)-(AA168/2)))</f>
        <v/>
      </c>
      <c r="AB170" s="128" t="str">
        <f t="shared" ref="AB170" ca="1" si="348">IF(AB166="","",g_interest_FF4*(AA169+(AB167/2)-(AB168/2)))</f>
        <v/>
      </c>
      <c r="AC170" s="128" t="str">
        <f t="shared" ref="AC170" ca="1" si="349">IF(AC166="","",g_interest_FF4*(AB169+(AC167/2)-(AC168/2)))</f>
        <v/>
      </c>
      <c r="AD170" s="128" t="str">
        <f t="shared" ref="AD170" ca="1" si="350">IF(AD166="","",g_interest_FF4*(AC169+(AD167/2)-(AD168/2)))</f>
        <v/>
      </c>
      <c r="AE170" s="128" t="str">
        <f t="shared" ref="AE170" ca="1" si="351">IF(AE166="","",g_interest_FF4*(AD169+(AE167/2)-(AE168/2)))</f>
        <v/>
      </c>
      <c r="AF170" s="128" t="str">
        <f t="shared" ref="AF170" ca="1" si="352">IF(AF166="","",g_interest_FF4*(AE169+(AF167/2)-(AF168/2)))</f>
        <v/>
      </c>
      <c r="AG170" s="128" t="str">
        <f t="shared" ref="AG170" ca="1" si="353">IF(AG166="","",g_interest_FF4*(AF169+(AG167/2)-(AG168/2)))</f>
        <v/>
      </c>
      <c r="AH170" s="128" t="str">
        <f t="shared" ref="AH170" ca="1" si="354">IF(AH166="","",g_interest_FF4*(AG169+(AH167/2)-(AH168/2)))</f>
        <v/>
      </c>
      <c r="AI170" s="128" t="str">
        <f t="shared" ref="AI170" ca="1" si="355">IF(AI166="","",g_interest_FF4*(AH169+(AI167/2)-(AI168/2)))</f>
        <v/>
      </c>
      <c r="AJ170" s="128" t="str">
        <f t="shared" ref="AJ170" ca="1" si="356">IF(AJ166="","",g_interest_FF4*(AI169+(AJ167/2)-(AJ168/2)))</f>
        <v/>
      </c>
      <c r="AK170" s="128" t="str">
        <f t="shared" ref="AK170" ca="1" si="357">IF(AK166="","",g_interest_FF4*(AJ169+(AK167/2)-(AK168/2)))</f>
        <v/>
      </c>
      <c r="AL170" s="128" t="str">
        <f t="shared" ref="AL170" ca="1" si="358">IF(AL166="","",g_interest_FF4*(AK169+(AL167/2)-(AL168/2)))</f>
        <v/>
      </c>
      <c r="AM170" s="128" t="str">
        <f t="shared" ref="AM170" ca="1" si="359">IF(AM166="","",g_interest_FF4*(AL169+(AM167/2)-(AM168/2)))</f>
        <v/>
      </c>
      <c r="AN170" s="128" t="str">
        <f t="shared" ref="AN170" ca="1" si="360">IF(AN166="","",g_interest_FF4*(AM169+(AN167/2)-(AN168/2)))</f>
        <v/>
      </c>
      <c r="AO170" s="128" t="str">
        <f t="shared" ref="AO170" ca="1" si="361">IF(AO166="","",g_interest_FF4*(AN169+(AO167/2)-(AO168/2)))</f>
        <v/>
      </c>
      <c r="AP170" s="128" t="str">
        <f t="shared" ref="AP170" ca="1" si="362">IF(AP166="","",g_interest_FF4*(AO169+(AP167/2)-(AP168/2)))</f>
        <v/>
      </c>
      <c r="AQ170" s="128" t="str">
        <f t="shared" ref="AQ170" ca="1" si="363">IF(AQ166="","",g_interest_FF4*(AP169+(AQ167/2)-(AQ168/2)))</f>
        <v/>
      </c>
      <c r="AR170" s="128" t="str">
        <f t="shared" ref="AR170" ca="1" si="364">IF(AR166="","",g_interest_FF4*(AQ169+(AR167/2)-(AR168/2)))</f>
        <v/>
      </c>
      <c r="AS170" s="128" t="str">
        <f t="shared" ref="AS170" ca="1" si="365">IF(AS166="","",g_interest_FF4*(AR169+(AS167/2)-(AS168/2)))</f>
        <v/>
      </c>
      <c r="AT170" s="128" t="str">
        <f t="shared" ref="AT170" ca="1" si="366">IF(AT166="","",g_interest_FF4*(AS169+(AT167/2)-(AT168/2)))</f>
        <v/>
      </c>
      <c r="AU170" s="128" t="str">
        <f t="shared" ref="AU170" ca="1" si="367">IF(AU166="","",g_interest_FF4*(AT169+(AU167/2)-(AU168/2)))</f>
        <v/>
      </c>
      <c r="AV170" s="128" t="str">
        <f t="shared" ref="AV170" ca="1" si="368">IF(AV166="","",g_interest_FF4*(AU169+(AV167/2)-(AV168/2)))</f>
        <v/>
      </c>
      <c r="AW170" s="128" t="str">
        <f t="shared" ref="AW170" ca="1" si="369">IF(AW166="","",g_interest_FF4*(AV169+(AW167/2)-(AW168/2)))</f>
        <v/>
      </c>
      <c r="AX170" s="104"/>
      <c r="AY170" s="104"/>
      <c r="AZ170" s="101"/>
    </row>
    <row r="171" spans="3:52" ht="12.75" customHeight="1" x14ac:dyDescent="0.25">
      <c r="N171" s="99"/>
      <c r="O171" s="104"/>
      <c r="P171" s="104"/>
      <c r="Q171" s="132" t="str">
        <f>INDEX(g_assets_sc_1,7)</f>
        <v/>
      </c>
      <c r="R171" s="132"/>
      <c r="S171" s="127"/>
      <c r="T171" s="139">
        <f ca="1">T$150</f>
        <v>2025</v>
      </c>
      <c r="U171" s="139">
        <f t="shared" ref="U171:AW171" ca="1" si="370">U$150</f>
        <v>2026</v>
      </c>
      <c r="V171" s="139">
        <f t="shared" ca="1" si="370"/>
        <v>2027</v>
      </c>
      <c r="W171" s="139">
        <f t="shared" ca="1" si="370"/>
        <v>2028</v>
      </c>
      <c r="X171" s="139" t="str">
        <f t="shared" ca="1" si="370"/>
        <v/>
      </c>
      <c r="Y171" s="139" t="str">
        <f t="shared" ca="1" si="370"/>
        <v/>
      </c>
      <c r="Z171" s="139" t="str">
        <f t="shared" ca="1" si="370"/>
        <v/>
      </c>
      <c r="AA171" s="139" t="str">
        <f t="shared" ca="1" si="370"/>
        <v/>
      </c>
      <c r="AB171" s="139" t="str">
        <f t="shared" ca="1" si="370"/>
        <v/>
      </c>
      <c r="AC171" s="139" t="str">
        <f t="shared" ca="1" si="370"/>
        <v/>
      </c>
      <c r="AD171" s="139" t="str">
        <f t="shared" ca="1" si="370"/>
        <v/>
      </c>
      <c r="AE171" s="139" t="str">
        <f t="shared" ca="1" si="370"/>
        <v/>
      </c>
      <c r="AF171" s="139" t="str">
        <f t="shared" ca="1" si="370"/>
        <v/>
      </c>
      <c r="AG171" s="139" t="str">
        <f t="shared" ca="1" si="370"/>
        <v/>
      </c>
      <c r="AH171" s="139" t="str">
        <f t="shared" ca="1" si="370"/>
        <v/>
      </c>
      <c r="AI171" s="139" t="str">
        <f t="shared" ca="1" si="370"/>
        <v/>
      </c>
      <c r="AJ171" s="139" t="str">
        <f t="shared" ca="1" si="370"/>
        <v/>
      </c>
      <c r="AK171" s="139" t="str">
        <f t="shared" ca="1" si="370"/>
        <v/>
      </c>
      <c r="AL171" s="139" t="str">
        <f t="shared" ca="1" si="370"/>
        <v/>
      </c>
      <c r="AM171" s="139" t="str">
        <f t="shared" ca="1" si="370"/>
        <v/>
      </c>
      <c r="AN171" s="139" t="str">
        <f t="shared" ca="1" si="370"/>
        <v/>
      </c>
      <c r="AO171" s="139" t="str">
        <f t="shared" ca="1" si="370"/>
        <v/>
      </c>
      <c r="AP171" s="139" t="str">
        <f t="shared" ca="1" si="370"/>
        <v/>
      </c>
      <c r="AQ171" s="139" t="str">
        <f t="shared" ca="1" si="370"/>
        <v/>
      </c>
      <c r="AR171" s="139" t="str">
        <f t="shared" ca="1" si="370"/>
        <v/>
      </c>
      <c r="AS171" s="139" t="str">
        <f t="shared" ca="1" si="370"/>
        <v/>
      </c>
      <c r="AT171" s="139" t="str">
        <f t="shared" ca="1" si="370"/>
        <v/>
      </c>
      <c r="AU171" s="139" t="str">
        <f t="shared" ca="1" si="370"/>
        <v/>
      </c>
      <c r="AV171" s="139" t="str">
        <f t="shared" ca="1" si="370"/>
        <v/>
      </c>
      <c r="AW171" s="139" t="str">
        <f t="shared" ca="1" si="370"/>
        <v/>
      </c>
      <c r="AX171" s="104"/>
      <c r="AY171" s="104"/>
      <c r="AZ171" s="101"/>
    </row>
    <row r="172" spans="3:52" ht="12.75" customHeight="1" x14ac:dyDescent="0.25">
      <c r="C172" s="140">
        <f>INDEX(g_sc_1_assets_dates,G172)</f>
        <v>0</v>
      </c>
      <c r="G172" s="141">
        <v>5</v>
      </c>
      <c r="N172" s="99"/>
      <c r="O172" s="104"/>
      <c r="P172" s="104"/>
      <c r="Q172" s="129" t="str">
        <f>INDEX(g_lang_val,MATCH("tb_2_4_1",g_lang_key,0))</f>
        <v>Køb af anlægsaktiver</v>
      </c>
      <c r="R172" s="130"/>
      <c r="S172" s="133">
        <f ca="1">SUM(T172:BG172)</f>
        <v>0</v>
      </c>
      <c r="T172" s="128">
        <f ca="1">IF(T171="","",SUMPRODUCT(--(Leverancer!$C$28:$C$88=($G172+2)),Leverancer!D$28:D$88)/1000)</f>
        <v>0</v>
      </c>
      <c r="U172" s="128">
        <f ca="1">IF(U171="","",SUMPRODUCT(--(Leverancer!$C$28:$C$88=($G172+2)),Leverancer!E$28:E$88)/1000)</f>
        <v>0</v>
      </c>
      <c r="V172" s="128">
        <f ca="1">IF(V171="","",SUMPRODUCT(--(Leverancer!$C$28:$C$88=($G172+2)),Leverancer!F$28:F$88)/1000)</f>
        <v>0</v>
      </c>
      <c r="W172" s="128">
        <f ca="1">IF(W171="","",SUMPRODUCT(--(Leverancer!$C$28:$C$88=($G172+2)),Leverancer!G$28:G$88)/1000)</f>
        <v>0</v>
      </c>
      <c r="X172" s="128" t="str">
        <f ca="1">IF(X171="","",SUMPRODUCT(--(Leverancer!$C$28:$C$88=($G172+2)),Leverancer!H$28:H$88)/1000)</f>
        <v/>
      </c>
      <c r="Y172" s="128" t="str">
        <f ca="1">IF(Y171="","",SUMPRODUCT(--(Leverancer!$C$28:$C$88=($G172+2)),Leverancer!I$28:I$88)/1000)</f>
        <v/>
      </c>
      <c r="Z172" s="128" t="str">
        <f ca="1">IF(Z171="","",SUMPRODUCT(--(Leverancer!$C$28:$C$88=($G172+2)),Leverancer!J$28:J$88)/1000)</f>
        <v/>
      </c>
      <c r="AA172" s="128" t="str">
        <f ca="1">IF(AA171="","",SUMPRODUCT(--(Leverancer!$C$28:$C$88=($G172+2)),Leverancer!K$28:K$88)/1000)</f>
        <v/>
      </c>
      <c r="AB172" s="128" t="str">
        <f ca="1">IF(AB171="","",SUMPRODUCT(--(Leverancer!$C$28:$C$88=($G172+2)),Leverancer!L$28:L$88)/1000)</f>
        <v/>
      </c>
      <c r="AC172" s="128" t="str">
        <f ca="1">IF(AC171="","",SUMPRODUCT(--(Leverancer!$C$28:$C$88=($G172+2)),Leverancer!M$28:M$88)/1000)</f>
        <v/>
      </c>
      <c r="AD172" s="128" t="str">
        <f ca="1">IF(AD171="","",SUMPRODUCT(--(Leverancer!$C$28:$C$88=($G172+2)),Leverancer!N$28:N$88)/1000)</f>
        <v/>
      </c>
      <c r="AE172" s="128" t="str">
        <f ca="1">IF(AE171="","",SUMPRODUCT(--(Leverancer!$C$28:$C$88=($G172+2)),Leverancer!O$28:O$88)/1000)</f>
        <v/>
      </c>
      <c r="AF172" s="128" t="str">
        <f ca="1">IF(AF171="","",SUMPRODUCT(--(Leverancer!$C$28:$C$88=($G172+2)),Leverancer!P$28:P$88)/1000)</f>
        <v/>
      </c>
      <c r="AG172" s="128" t="str">
        <f ca="1">IF(AG171="","",SUMPRODUCT(--(Leverancer!$C$28:$C$88=($G172+2)),Leverancer!Q$28:Q$88)/1000)</f>
        <v/>
      </c>
      <c r="AH172" s="128" t="str">
        <f ca="1">IF(AH171="","",SUMPRODUCT(--(Leverancer!$C$28:$C$88=($G172+2)),Leverancer!R$28:R$88)/1000)</f>
        <v/>
      </c>
      <c r="AI172" s="128" t="str">
        <f ca="1">IF(AI171="","",SUMPRODUCT(--(Leverancer!$C$28:$C$88=($G172+2)),Leverancer!S$28:S$88)/1000)</f>
        <v/>
      </c>
      <c r="AJ172" s="128" t="str">
        <f ca="1">IF(AJ171="","",SUMPRODUCT(--(Leverancer!$C$28:$C$88=($G172+2)),Leverancer!T$28:T$88)/1000)</f>
        <v/>
      </c>
      <c r="AK172" s="128" t="str">
        <f ca="1">IF(AK171="","",SUMPRODUCT(--(Leverancer!$C$28:$C$88=($G172+2)),Leverancer!U$28:U$88)/1000)</f>
        <v/>
      </c>
      <c r="AL172" s="128" t="str">
        <f ca="1">IF(AL171="","",SUMPRODUCT(--(Leverancer!$C$28:$C$88=($G172+2)),Leverancer!V$28:V$88)/1000)</f>
        <v/>
      </c>
      <c r="AM172" s="128" t="str">
        <f ca="1">IF(AM171="","",SUMPRODUCT(--(Leverancer!$C$28:$C$88=($G172+2)),Leverancer!W$28:W$88)/1000)</f>
        <v/>
      </c>
      <c r="AN172" s="128" t="str">
        <f ca="1">IF(AN171="","",SUMPRODUCT(--(Leverancer!$C$28:$C$88=($G172+2)),Leverancer!X$28:X$88)/1000)</f>
        <v/>
      </c>
      <c r="AO172" s="128" t="str">
        <f ca="1">IF(AO171="","",SUMPRODUCT(--(Leverancer!$C$28:$C$88=($G172+2)),Leverancer!Y$28:Y$88)/1000)</f>
        <v/>
      </c>
      <c r="AP172" s="128" t="str">
        <f ca="1">IF(AP171="","",SUMPRODUCT(--(Leverancer!$C$28:$C$88=($G172+2)),Leverancer!Z$28:Z$88)/1000)</f>
        <v/>
      </c>
      <c r="AQ172" s="128" t="str">
        <f ca="1">IF(AQ171="","",SUMPRODUCT(--(Leverancer!$C$28:$C$88=($G172+2)),Leverancer!AA$28:AA$88)/1000)</f>
        <v/>
      </c>
      <c r="AR172" s="128" t="str">
        <f ca="1">IF(AR171="","",SUMPRODUCT(--(Leverancer!$C$28:$C$88=($G172+2)),Leverancer!AB$28:AB$88)/1000)</f>
        <v/>
      </c>
      <c r="AS172" s="128" t="str">
        <f ca="1">IF(AS171="","",SUMPRODUCT(--(Leverancer!$C$28:$C$88=($G172+2)),Leverancer!AC$28:AC$88)/1000)</f>
        <v/>
      </c>
      <c r="AT172" s="128" t="str">
        <f ca="1">IF(AT171="","",SUMPRODUCT(--(Leverancer!$C$28:$C$88=($G172+2)),Leverancer!AD$28:AD$88)/1000)</f>
        <v/>
      </c>
      <c r="AU172" s="128" t="str">
        <f ca="1">IF(AU171="","",SUMPRODUCT(--(Leverancer!$C$28:$C$88=($G172+2)),Leverancer!AE$28:AE$88)/1000)</f>
        <v/>
      </c>
      <c r="AV172" s="128" t="str">
        <f ca="1">IF(AV171="","",SUMPRODUCT(--(Leverancer!$C$28:$C$88=($G172+2)),Leverancer!AF$28:AF$88)/1000)</f>
        <v/>
      </c>
      <c r="AW172" s="128" t="str">
        <f ca="1">IF(AW171="","",SUMPRODUCT(--(Leverancer!$C$28:$C$88=($G172+2)),Leverancer!AG$28:AG$88)/1000)</f>
        <v/>
      </c>
      <c r="AX172" s="104"/>
      <c r="AY172" s="104"/>
      <c r="AZ172" s="101"/>
    </row>
    <row r="173" spans="3:52" ht="12.75" customHeight="1" x14ac:dyDescent="0.25">
      <c r="C173" s="142">
        <f>IFERROR(YEAR(C172),"")</f>
        <v>1900</v>
      </c>
      <c r="D173" s="142">
        <f>IFERROR(MONTH(C172),"")</f>
        <v>1</v>
      </c>
      <c r="E173" s="142">
        <f>INDEX(g_sc_1_assets_years,G172)</f>
        <v>0</v>
      </c>
      <c r="N173" s="99"/>
      <c r="O173" s="104"/>
      <c r="P173" s="104"/>
      <c r="Q173" s="129" t="str">
        <f>INDEX(g_lang_val,MATCH("tb_2_4_2",g_lang_key,0))</f>
        <v>Afskrivninger</v>
      </c>
      <c r="R173" s="130"/>
      <c r="S173" s="133">
        <f ca="1">SUM(T173:BG173)</f>
        <v>0</v>
      </c>
      <c r="T173" s="128">
        <f t="shared" ref="T173" ca="1" si="371">IF(T171="","",IF(T171&lt;$C173,0,IF(T171=$C173,T172/$C174*$E174+S174/$C174*$E174,IF(AND(T171&gt;$C173,T171&lt;ROUNDDOWN(($C173+($D173+$C174-1)/12),0)),(T172/2+S174)/($C174-$E174-12*(T171-$C173-1))*12,IF(AND($D174&lt;0,T171=ROUNDDOWN(($C173+($D173+$C174-1)/12),0)),S174+T172,IF(T171=ROUNDDOWN(($C173+($D173+$C174-1)/12),0),(T172+S174)/$C174*($D174+(T171-$C173-1)*12+$E174),IF(T171&gt;ROUNDDOWN(($C173+($D173+$C174)/12),0),0,0)))))))</f>
        <v>0</v>
      </c>
      <c r="U173" s="128">
        <f t="shared" ref="U173" ca="1" si="372">IF(U171="","",IF(U171&lt;$C173,0,IF(U171=$C173,U172/$C174*$E174+T174/$C174*$E174,IF(AND(U171&gt;$C173,U171&lt;ROUNDDOWN(($C173+($D173+$C174-1)/12),0)),(U172/2+T174)/($C174-$E174-12*(U171-$C173-1))*12,IF(AND($D174&lt;0,U171=ROUNDDOWN(($C173+($D173+$C174-1)/12),0)),T174+U172,IF(U171=ROUNDDOWN(($C173+($D173+$C174-1)/12),0),(U172+T174)/$C174*($D174+(U171-$C173-1)*12+$E174),IF(U171&gt;ROUNDDOWN(($C173+($D173+$C174)/12),0),0,0)))))))</f>
        <v>0</v>
      </c>
      <c r="V173" s="128">
        <f t="shared" ref="V173" ca="1" si="373">IF(V171="","",IF(V171&lt;$C173,0,IF(V171=$C173,V172/$C174*$E174+U174/$C174*$E174,IF(AND(V171&gt;$C173,V171&lt;ROUNDDOWN(($C173+($D173+$C174-1)/12),0)),(V172/2+U174)/($C174-$E174-12*(V171-$C173-1))*12,IF(AND($D174&lt;0,V171=ROUNDDOWN(($C173+($D173+$C174-1)/12),0)),U174+V172,IF(V171=ROUNDDOWN(($C173+($D173+$C174-1)/12),0),(V172+U174)/$C174*($D174+(V171-$C173-1)*12+$E174),IF(V171&gt;ROUNDDOWN(($C173+($D173+$C174)/12),0),0,0)))))))</f>
        <v>0</v>
      </c>
      <c r="W173" s="128">
        <f t="shared" ref="W173" ca="1" si="374">IF(W171="","",IF(W171&lt;$C173,0,IF(W171=$C173,W172/$C174*$E174+V174/$C174*$E174,IF(AND(W171&gt;$C173,W171&lt;ROUNDDOWN(($C173+($D173+$C174-1)/12),0)),(W172/2+V174)/($C174-$E174-12*(W171-$C173-1))*12,IF(AND($D174&lt;0,W171=ROUNDDOWN(($C173+($D173+$C174-1)/12),0)),V174+W172,IF(W171=ROUNDDOWN(($C173+($D173+$C174-1)/12),0),(W172+V174)/$C174*($D174+(W171-$C173-1)*12+$E174),IF(W171&gt;ROUNDDOWN(($C173+($D173+$C174)/12),0),0,0)))))))</f>
        <v>0</v>
      </c>
      <c r="X173" s="128" t="str">
        <f t="shared" ref="X173" ca="1" si="375">IF(X171="","",IF(X171&lt;$C173,0,IF(X171=$C173,X172/$C174*$E174+W174/$C174*$E174,IF(AND(X171&gt;$C173,X171&lt;ROUNDDOWN(($C173+($D173+$C174-1)/12),0)),(X172/2+W174)/($C174-$E174-12*(X171-$C173-1))*12,IF(AND($D174&lt;0,X171=ROUNDDOWN(($C173+($D173+$C174-1)/12),0)),W174+X172,IF(X171=ROUNDDOWN(($C173+($D173+$C174-1)/12),0),(X172+W174)/$C174*($D174+(X171-$C173-1)*12+$E174),IF(X171&gt;ROUNDDOWN(($C173+($D173+$C174)/12),0),0,0)))))))</f>
        <v/>
      </c>
      <c r="Y173" s="128" t="str">
        <f t="shared" ref="Y173" ca="1" si="376">IF(Y171="","",IF(Y171&lt;$C173,0,IF(Y171=$C173,Y172/$C174*$E174+X174/$C174*$E174,IF(AND(Y171&gt;$C173,Y171&lt;ROUNDDOWN(($C173+($D173+$C174-1)/12),0)),(Y172/2+X174)/($C174-$E174-12*(Y171-$C173-1))*12,IF(AND($D174&lt;0,Y171=ROUNDDOWN(($C173+($D173+$C174-1)/12),0)),X174+Y172,IF(Y171=ROUNDDOWN(($C173+($D173+$C174-1)/12),0),(Y172+X174)/$C174*($D174+(Y171-$C173-1)*12+$E174),IF(Y171&gt;ROUNDDOWN(($C173+($D173+$C174)/12),0),0,0)))))))</f>
        <v/>
      </c>
      <c r="Z173" s="128" t="str">
        <f ca="1">IF(Z171="","",IF(Z171&lt;$C173,0,IF(Z171=$C173,Z172/$C174*$E174+Y174/$C174*$E174,IF(AND(Z171&gt;$C173,Z171&lt;ROUNDDOWN(($C173+($D173+$C174-1)/12),0)),(Z172/2+Y174)/($C174-$E174-12*(Z171-$C173-1))*12,IF(AND($D174&lt;0,Z171=ROUNDDOWN(($C173+($D173+$C174-1)/12),0)),Y174+Z172,IF(Z171=ROUNDDOWN(($C173+($D173+$C174-1)/12),0),(Z172+Y174)/$C174*($D174+(Z171-$C173-1)*12+$E174),IF(Z171&gt;ROUNDDOWN(($C173+($D173+$C174)/12),0),0,0)))))))</f>
        <v/>
      </c>
      <c r="AA173" s="128" t="str">
        <f t="shared" ref="AA173" ca="1" si="377">IF(AA171="","",IF(AA171&lt;$C173,0,IF(AA171=$C173,AA172/$C174*$E174+Z174/$C174*$E174,IF(AND(AA171&gt;$C173,AA171&lt;ROUNDDOWN(($C173+($D173+$C174-1)/12),0)),(AA172/2+Z174)/($C174-$E174-12*(AA171-$C173-1))*12,IF(AND($D174&lt;0,AA171=ROUNDDOWN(($C173+($D173+$C174-1)/12),0)),Z174+AA172,IF(AA171=ROUNDDOWN(($C173+($D173+$C174-1)/12),0),(AA172+Z174)/$C174*($D174+(AA171-$C173-1)*12+$E174),IF(AA171&gt;ROUNDDOWN(($C173+($D173+$C174)/12),0),0,0)))))))</f>
        <v/>
      </c>
      <c r="AB173" s="128" t="str">
        <f t="shared" ref="AB173" ca="1" si="378">IF(AB171="","",IF(AB171&lt;$C173,0,IF(AB171=$C173,AB172/$C174*$E174+AA174/$C174*$E174,IF(AND(AB171&gt;$C173,AB171&lt;ROUNDDOWN(($C173+($D173+$C174-1)/12),0)),(AB172/2+AA174)/($C174-$E174-12*(AB171-$C173-1))*12,IF(AND($D174&lt;0,AB171=ROUNDDOWN(($C173+($D173+$C174-1)/12),0)),AA174+AB172,IF(AB171=ROUNDDOWN(($C173+($D173+$C174-1)/12),0),(AB172+AA174)/$C174*($D174+(AB171-$C173-1)*12+$E174),IF(AB171&gt;ROUNDDOWN(($C173+($D173+$C174)/12),0),0,0)))))))</f>
        <v/>
      </c>
      <c r="AC173" s="128" t="str">
        <f t="shared" ref="AC173" ca="1" si="379">IF(AC171="","",IF(AC171&lt;$C173,0,IF(AC171=$C173,AC172/$C174*$E174+AB174/$C174*$E174,IF(AND(AC171&gt;$C173,AC171&lt;ROUNDDOWN(($C173+($D173+$C174-1)/12),0)),(AC172/2+AB174)/($C174-$E174-12*(AC171-$C173-1))*12,IF(AND($D174&lt;0,AC171=ROUNDDOWN(($C173+($D173+$C174-1)/12),0)),AB174+AC172,IF(AC171=ROUNDDOWN(($C173+($D173+$C174-1)/12),0),(AC172+AB174)/$C174*($D174+(AC171-$C173-1)*12+$E174),IF(AC171&gt;ROUNDDOWN(($C173+($D173+$C174)/12),0),0,0)))))))</f>
        <v/>
      </c>
      <c r="AD173" s="128" t="str">
        <f t="shared" ref="AD173" ca="1" si="380">IF(AD171="","",IF(AD171&lt;$C173,0,IF(AD171=$C173,AD172/$C174*$E174+AC174/$C174*$E174,IF(AND(AD171&gt;$C173,AD171&lt;ROUNDDOWN(($C173+($D173+$C174-1)/12),0)),(AD172/2+AC174)/($C174-$E174-12*(AD171-$C173-1))*12,IF(AND($D174&lt;0,AD171=ROUNDDOWN(($C173+($D173+$C174-1)/12),0)),AC174+AD172,IF(AD171=ROUNDDOWN(($C173+($D173+$C174-1)/12),0),(AD172+AC174)/$C174*($D174+(AD171-$C173-1)*12+$E174),IF(AD171&gt;ROUNDDOWN(($C173+($D173+$C174)/12),0),0,0)))))))</f>
        <v/>
      </c>
      <c r="AE173" s="128" t="str">
        <f t="shared" ref="AE173" ca="1" si="381">IF(AE171="","",IF(AE171&lt;$C173,0,IF(AE171=$C173,AE172/$C174*$E174+AD174/$C174*$E174,IF(AND(AE171&gt;$C173,AE171&lt;ROUNDDOWN(($C173+($D173+$C174-1)/12),0)),(AE172/2+AD174)/($C174-$E174-12*(AE171-$C173-1))*12,IF(AND($D174&lt;0,AE171=ROUNDDOWN(($C173+($D173+$C174-1)/12),0)),AD174+AE172,IF(AE171=ROUNDDOWN(($C173+($D173+$C174-1)/12),0),(AE172+AD174)/$C174*($D174+(AE171-$C173-1)*12+$E174),IF(AE171&gt;ROUNDDOWN(($C173+($D173+$C174)/12),0),0,0)))))))</f>
        <v/>
      </c>
      <c r="AF173" s="128" t="str">
        <f t="shared" ref="AF173" ca="1" si="382">IF(AF171="","",IF(AF171&lt;$C173,0,IF(AF171=$C173,AF172/$C174*$E174+AE174/$C174*$E174,IF(AND(AF171&gt;$C173,AF171&lt;ROUNDDOWN(($C173+($D173+$C174-1)/12),0)),(AF172/2+AE174)/($C174-$E174-12*(AF171-$C173-1))*12,IF(AND($D174&lt;0,AF171=ROUNDDOWN(($C173+($D173+$C174-1)/12),0)),AE174+AF172,IF(AF171=ROUNDDOWN(($C173+($D173+$C174-1)/12),0),(AF172+AE174)/$C174*($D174+(AF171-$C173-1)*12+$E174),IF(AF171&gt;ROUNDDOWN(($C173+($D173+$C174)/12),0),0,0)))))))</f>
        <v/>
      </c>
      <c r="AG173" s="128" t="str">
        <f t="shared" ref="AG173" ca="1" si="383">IF(AG171="","",IF(AG171&lt;$C173,0,IF(AG171=$C173,AG172/$C174*$E174+AF174/$C174*$E174,IF(AND(AG171&gt;$C173,AG171&lt;ROUNDDOWN(($C173+($D173+$C174-1)/12),0)),(AG172/2+AF174)/($C174-$E174-12*(AG171-$C173-1))*12,IF(AND($D174&lt;0,AG171=ROUNDDOWN(($C173+($D173+$C174-1)/12),0)),AF174+AG172,IF(AG171=ROUNDDOWN(($C173+($D173+$C174-1)/12),0),(AG172+AF174)/$C174*($D174+(AG171-$C173-1)*12+$E174),IF(AG171&gt;ROUNDDOWN(($C173+($D173+$C174)/12),0),0,0)))))))</f>
        <v/>
      </c>
      <c r="AH173" s="128" t="str">
        <f t="shared" ref="AH173" ca="1" si="384">IF(AH171="","",IF(AH171&lt;$C173,0,IF(AH171=$C173,AH172/$C174*$E174+AG174/$C174*$E174,IF(AND(AH171&gt;$C173,AH171&lt;ROUNDDOWN(($C173+($D173+$C174-1)/12),0)),(AH172/2+AG174)/($C174-$E174-12*(AH171-$C173-1))*12,IF(AND($D174&lt;0,AH171=ROUNDDOWN(($C173+($D173+$C174-1)/12),0)),AG174+AH172,IF(AH171=ROUNDDOWN(($C173+($D173+$C174-1)/12),0),(AH172+AG174)/$C174*($D174+(AH171-$C173-1)*12+$E174),IF(AH171&gt;ROUNDDOWN(($C173+($D173+$C174)/12),0),0,0)))))))</f>
        <v/>
      </c>
      <c r="AI173" s="128" t="str">
        <f t="shared" ref="AI173" ca="1" si="385">IF(AI171="","",IF(AI171&lt;$C173,0,IF(AI171=$C173,AI172/$C174*$E174+AH174/$C174*$E174,IF(AND(AI171&gt;$C173,AI171&lt;ROUNDDOWN(($C173+($D173+$C174-1)/12),0)),(AI172/2+AH174)/($C174-$E174-12*(AI171-$C173-1))*12,IF(AND($D174&lt;0,AI171=ROUNDDOWN(($C173+($D173+$C174-1)/12),0)),AH174+AI172,IF(AI171=ROUNDDOWN(($C173+($D173+$C174-1)/12),0),(AI172+AH174)/$C174*($D174+(AI171-$C173-1)*12+$E174),IF(AI171&gt;ROUNDDOWN(($C173+($D173+$C174)/12),0),0,0)))))))</f>
        <v/>
      </c>
      <c r="AJ173" s="128" t="str">
        <f t="shared" ref="AJ173" ca="1" si="386">IF(AJ171="","",IF(AJ171&lt;$C173,0,IF(AJ171=$C173,AJ172/$C174*$E174+AI174/$C174*$E174,IF(AND(AJ171&gt;$C173,AJ171&lt;ROUNDDOWN(($C173+($D173+$C174-1)/12),0)),(AJ172/2+AI174)/($C174-$E174-12*(AJ171-$C173-1))*12,IF(AND($D174&lt;0,AJ171=ROUNDDOWN(($C173+($D173+$C174-1)/12),0)),AI174+AJ172,IF(AJ171=ROUNDDOWN(($C173+($D173+$C174-1)/12),0),(AJ172+AI174)/$C174*($D174+(AJ171-$C173-1)*12+$E174),IF(AJ171&gt;ROUNDDOWN(($C173+($D173+$C174)/12),0),0,0)))))))</f>
        <v/>
      </c>
      <c r="AK173" s="128" t="str">
        <f t="shared" ref="AK173" ca="1" si="387">IF(AK171="","",IF(AK171&lt;$C173,0,IF(AK171=$C173,AK172/$C174*$E174+AJ174/$C174*$E174,IF(AND(AK171&gt;$C173,AK171&lt;ROUNDDOWN(($C173+($D173+$C174-1)/12),0)),(AK172/2+AJ174)/($C174-$E174-12*(AK171-$C173-1))*12,IF(AND($D174&lt;0,AK171=ROUNDDOWN(($C173+($D173+$C174-1)/12),0)),AJ174+AK172,IF(AK171=ROUNDDOWN(($C173+($D173+$C174-1)/12),0),(AK172+AJ174)/$C174*($D174+(AK171-$C173-1)*12+$E174),IF(AK171&gt;ROUNDDOWN(($C173+($D173+$C174)/12),0),0,0)))))))</f>
        <v/>
      </c>
      <c r="AL173" s="128" t="str">
        <f t="shared" ref="AL173" ca="1" si="388">IF(AL171="","",IF(AL171&lt;$C173,0,IF(AL171=$C173,AL172/$C174*$E174+AK174/$C174*$E174,IF(AND(AL171&gt;$C173,AL171&lt;ROUNDDOWN(($C173+($D173+$C174-1)/12),0)),(AL172/2+AK174)/($C174-$E174-12*(AL171-$C173-1))*12,IF(AND($D174&lt;0,AL171=ROUNDDOWN(($C173+($D173+$C174-1)/12),0)),AK174+AL172,IF(AL171=ROUNDDOWN(($C173+($D173+$C174-1)/12),0),(AL172+AK174)/$C174*($D174+(AL171-$C173-1)*12+$E174),IF(AL171&gt;ROUNDDOWN(($C173+($D173+$C174)/12),0),0,0)))))))</f>
        <v/>
      </c>
      <c r="AM173" s="128" t="str">
        <f t="shared" ref="AM173" ca="1" si="389">IF(AM171="","",IF(AM171&lt;$C173,0,IF(AM171=$C173,AM172/$C174*$E174+AL174/$C174*$E174,IF(AND(AM171&gt;$C173,AM171&lt;ROUNDDOWN(($C173+($D173+$C174-1)/12),0)),(AM172/2+AL174)/($C174-$E174-12*(AM171-$C173-1))*12,IF(AND($D174&lt;0,AM171=ROUNDDOWN(($C173+($D173+$C174-1)/12),0)),AL174+AM172,IF(AM171=ROUNDDOWN(($C173+($D173+$C174-1)/12),0),(AM172+AL174)/$C174*($D174+(AM171-$C173-1)*12+$E174),IF(AM171&gt;ROUNDDOWN(($C173+($D173+$C174)/12),0),0,0)))))))</f>
        <v/>
      </c>
      <c r="AN173" s="128" t="str">
        <f t="shared" ref="AN173" ca="1" si="390">IF(AN171="","",IF(AN171&lt;$C173,0,IF(AN171=$C173,AN172/$C174*$E174+AM174/$C174*$E174,IF(AND(AN171&gt;$C173,AN171&lt;ROUNDDOWN(($C173+($D173+$C174-1)/12),0)),(AN172/2+AM174)/($C174-$E174-12*(AN171-$C173-1))*12,IF(AND($D174&lt;0,AN171=ROUNDDOWN(($C173+($D173+$C174-1)/12),0)),AM174+AN172,IF(AN171=ROUNDDOWN(($C173+($D173+$C174-1)/12),0),(AN172+AM174)/$C174*($D174+(AN171-$C173-1)*12+$E174),IF(AN171&gt;ROUNDDOWN(($C173+($D173+$C174)/12),0),0,0)))))))</f>
        <v/>
      </c>
      <c r="AO173" s="128" t="str">
        <f t="shared" ref="AO173" ca="1" si="391">IF(AO171="","",IF(AO171&lt;$C173,0,IF(AO171=$C173,AO172/$C174*$E174+AN174/$C174*$E174,IF(AND(AO171&gt;$C173,AO171&lt;ROUNDDOWN(($C173+($D173+$C174-1)/12),0)),(AO172/2+AN174)/($C174-$E174-12*(AO171-$C173-1))*12,IF(AND($D174&lt;0,AO171=ROUNDDOWN(($C173+($D173+$C174-1)/12),0)),AN174+AO172,IF(AO171=ROUNDDOWN(($C173+($D173+$C174-1)/12),0),(AO172+AN174)/$C174*($D174+(AO171-$C173-1)*12+$E174),IF(AO171&gt;ROUNDDOWN(($C173+($D173+$C174)/12),0),0,0)))))))</f>
        <v/>
      </c>
      <c r="AP173" s="128" t="str">
        <f t="shared" ref="AP173" ca="1" si="392">IF(AP171="","",IF(AP171&lt;$C173,0,IF(AP171=$C173,AP172/$C174*$E174+AO174/$C174*$E174,IF(AND(AP171&gt;$C173,AP171&lt;ROUNDDOWN(($C173+($D173+$C174-1)/12),0)),(AP172/2+AO174)/($C174-$E174-12*(AP171-$C173-1))*12,IF(AND($D174&lt;0,AP171=ROUNDDOWN(($C173+($D173+$C174-1)/12),0)),AO174+AP172,IF(AP171=ROUNDDOWN(($C173+($D173+$C174-1)/12),0),(AP172+AO174)/$C174*($D174+(AP171-$C173-1)*12+$E174),IF(AP171&gt;ROUNDDOWN(($C173+($D173+$C174)/12),0),0,0)))))))</f>
        <v/>
      </c>
      <c r="AQ173" s="128" t="str">
        <f t="shared" ref="AQ173" ca="1" si="393">IF(AQ171="","",IF(AQ171&lt;$C173,0,IF(AQ171=$C173,AQ172/$C174*$E174+AP174/$C174*$E174,IF(AND(AQ171&gt;$C173,AQ171&lt;ROUNDDOWN(($C173+($D173+$C174-1)/12),0)),(AQ172/2+AP174)/($C174-$E174-12*(AQ171-$C173-1))*12,IF(AND($D174&lt;0,AQ171=ROUNDDOWN(($C173+($D173+$C174-1)/12),0)),AP174+AQ172,IF(AQ171=ROUNDDOWN(($C173+($D173+$C174-1)/12),0),(AQ172+AP174)/$C174*($D174+(AQ171-$C173-1)*12+$E174),IF(AQ171&gt;ROUNDDOWN(($C173+($D173+$C174)/12),0),0,0)))))))</f>
        <v/>
      </c>
      <c r="AR173" s="128" t="str">
        <f t="shared" ref="AR173" ca="1" si="394">IF(AR171="","",IF(AR171&lt;$C173,0,IF(AR171=$C173,AR172/$C174*$E174+AQ174/$C174*$E174,IF(AND(AR171&gt;$C173,AR171&lt;ROUNDDOWN(($C173+($D173+$C174-1)/12),0)),(AR172/2+AQ174)/($C174-$E174-12*(AR171-$C173-1))*12,IF(AND($D174&lt;0,AR171=ROUNDDOWN(($C173+($D173+$C174-1)/12),0)),AQ174+AR172,IF(AR171=ROUNDDOWN(($C173+($D173+$C174-1)/12),0),(AR172+AQ174)/$C174*($D174+(AR171-$C173-1)*12+$E174),IF(AR171&gt;ROUNDDOWN(($C173+($D173+$C174)/12),0),0,0)))))))</f>
        <v/>
      </c>
      <c r="AS173" s="128" t="str">
        <f t="shared" ref="AS173" ca="1" si="395">IF(AS171="","",IF(AS171&lt;$C173,0,IF(AS171=$C173,AS172/$C174*$E174+AR174/$C174*$E174,IF(AND(AS171&gt;$C173,AS171&lt;ROUNDDOWN(($C173+($D173+$C174-1)/12),0)),(AS172/2+AR174)/($C174-$E174-12*(AS171-$C173-1))*12,IF(AND($D174&lt;0,AS171=ROUNDDOWN(($C173+($D173+$C174-1)/12),0)),AR174+AS172,IF(AS171=ROUNDDOWN(($C173+($D173+$C174-1)/12),0),(AS172+AR174)/$C174*($D174+(AS171-$C173-1)*12+$E174),IF(AS171&gt;ROUNDDOWN(($C173+($D173+$C174)/12),0),0,0)))))))</f>
        <v/>
      </c>
      <c r="AT173" s="128" t="str">
        <f t="shared" ref="AT173" ca="1" si="396">IF(AT171="","",IF(AT171&lt;$C173,0,IF(AT171=$C173,AT172/$C174*$E174+AS174/$C174*$E174,IF(AND(AT171&gt;$C173,AT171&lt;ROUNDDOWN(($C173+($D173+$C174-1)/12),0)),(AT172/2+AS174)/($C174-$E174-12*(AT171-$C173-1))*12,IF(AND($D174&lt;0,AT171=ROUNDDOWN(($C173+($D173+$C174-1)/12),0)),AS174+AT172,IF(AT171=ROUNDDOWN(($C173+($D173+$C174-1)/12),0),(AT172+AS174)/$C174*($D174+(AT171-$C173-1)*12+$E174),IF(AT171&gt;ROUNDDOWN(($C173+($D173+$C174)/12),0),0,0)))))))</f>
        <v/>
      </c>
      <c r="AU173" s="128" t="str">
        <f t="shared" ref="AU173" ca="1" si="397">IF(AU171="","",IF(AU171&lt;$C173,0,IF(AU171=$C173,AU172/$C174*$E174+AT174/$C174*$E174,IF(AND(AU171&gt;$C173,AU171&lt;ROUNDDOWN(($C173+($D173+$C174-1)/12),0)),(AU172/2+AT174)/($C174-$E174-12*(AU171-$C173-1))*12,IF(AND($D174&lt;0,AU171=ROUNDDOWN(($C173+($D173+$C174-1)/12),0)),AT174+AU172,IF(AU171=ROUNDDOWN(($C173+($D173+$C174-1)/12),0),(AU172+AT174)/$C174*($D174+(AU171-$C173-1)*12+$E174),IF(AU171&gt;ROUNDDOWN(($C173+($D173+$C174)/12),0),0,0)))))))</f>
        <v/>
      </c>
      <c r="AV173" s="128" t="str">
        <f t="shared" ref="AV173" ca="1" si="398">IF(AV171="","",IF(AV171&lt;$C173,0,IF(AV171=$C173,AV172/$C174*$E174+AU174/$C174*$E174,IF(AND(AV171&gt;$C173,AV171&lt;ROUNDDOWN(($C173+($D173+$C174-1)/12),0)),(AV172/2+AU174)/($C174-$E174-12*(AV171-$C173-1))*12,IF(AND($D174&lt;0,AV171=ROUNDDOWN(($C173+($D173+$C174-1)/12),0)),AU174+AV172,IF(AV171=ROUNDDOWN(($C173+($D173+$C174-1)/12),0),(AV172+AU174)/$C174*($D174+(AV171-$C173-1)*12+$E174),IF(AV171&gt;ROUNDDOWN(($C173+($D173+$C174)/12),0),0,0)))))))</f>
        <v/>
      </c>
      <c r="AW173" s="128" t="str">
        <f t="shared" ref="AW173" ca="1" si="399">IF(AW171="","",IF(AW171&lt;$C173,0,IF(AW171=$C173,AW172/$C174*$E174+AV174/$C174*$E174,IF(AND(AW171&gt;$C173,AW171&lt;ROUNDDOWN(($C173+($D173+$C174-1)/12),0)),(AW172/2+AV174)/($C174-$E174-12*(AW171-$C173-1))*12,IF(AND($D174&lt;0,AW171=ROUNDDOWN(($C173+($D173+$C174-1)/12),0)),AV174+AW172,IF(AW171=ROUNDDOWN(($C173+($D173+$C174-1)/12),0),(AW172+AV174)/$C174*($D174+(AW171-$C173-1)*12+$E174),IF(AW171&gt;ROUNDDOWN(($C173+($D173+$C174)/12),0),0,0)))))))</f>
        <v/>
      </c>
      <c r="AX173" s="104"/>
      <c r="AY173" s="104"/>
      <c r="AZ173" s="101"/>
    </row>
    <row r="174" spans="3:52" ht="12.75" customHeight="1" x14ac:dyDescent="0.25">
      <c r="C174" s="142">
        <f>ROUNDUP((E173-ROUNDDOWN(E173,0))*12,0)+ROUNDDOWN(E173,0)*12</f>
        <v>0</v>
      </c>
      <c r="D174" s="142">
        <f>C174-E174-ROUNDDOWN(E173,0)*12</f>
        <v>-12</v>
      </c>
      <c r="E174" s="142">
        <f>13-MONTH(C172)</f>
        <v>12</v>
      </c>
      <c r="N174" s="99"/>
      <c r="O174" s="104"/>
      <c r="P174" s="104"/>
      <c r="Q174" s="129" t="str">
        <f>INDEX(g_lang_val,MATCH("tb_2_4_3",g_lang_key,0))</f>
        <v>FF4-gæld, ultimo året</v>
      </c>
      <c r="R174" s="130"/>
      <c r="S174" s="133"/>
      <c r="T174" s="128">
        <f t="shared" ref="T174" ca="1" si="400">IF(T171="","",S174+T172-T173)</f>
        <v>0</v>
      </c>
      <c r="U174" s="128">
        <f t="shared" ref="U174" ca="1" si="401">IF(U171="","",T174+U172-U173)</f>
        <v>0</v>
      </c>
      <c r="V174" s="128">
        <f t="shared" ref="V174" ca="1" si="402">IF(V171="","",U174+V172-V173)</f>
        <v>0</v>
      </c>
      <c r="W174" s="128">
        <f t="shared" ref="W174" ca="1" si="403">IF(W171="","",V174+W172-W173)</f>
        <v>0</v>
      </c>
      <c r="X174" s="128" t="str">
        <f t="shared" ref="X174" ca="1" si="404">IF(X171="","",W174+X172-X173)</f>
        <v/>
      </c>
      <c r="Y174" s="128" t="str">
        <f t="shared" ref="Y174" ca="1" si="405">IF(Y171="","",X174+Y172-Y173)</f>
        <v/>
      </c>
      <c r="Z174" s="128" t="str">
        <f t="shared" ref="Z174" ca="1" si="406">IF(Z171="","",Y174+Z172-Z173)</f>
        <v/>
      </c>
      <c r="AA174" s="128" t="str">
        <f t="shared" ref="AA174" ca="1" si="407">IF(AA171="","",Z174+AA172-AA173)</f>
        <v/>
      </c>
      <c r="AB174" s="128" t="str">
        <f t="shared" ref="AB174" ca="1" si="408">IF(AB171="","",AA174+AB172-AB173)</f>
        <v/>
      </c>
      <c r="AC174" s="128" t="str">
        <f t="shared" ref="AC174" ca="1" si="409">IF(AC171="","",AB174+AC172-AC173)</f>
        <v/>
      </c>
      <c r="AD174" s="128" t="str">
        <f t="shared" ref="AD174" ca="1" si="410">IF(AD171="","",AC174+AD172-AD173)</f>
        <v/>
      </c>
      <c r="AE174" s="128" t="str">
        <f t="shared" ref="AE174" ca="1" si="411">IF(AE171="","",AD174+AE172-AE173)</f>
        <v/>
      </c>
      <c r="AF174" s="128" t="str">
        <f t="shared" ref="AF174" ca="1" si="412">IF(AF171="","",AE174+AF172-AF173)</f>
        <v/>
      </c>
      <c r="AG174" s="128" t="str">
        <f t="shared" ref="AG174" ca="1" si="413">IF(AG171="","",AF174+AG172-AG173)</f>
        <v/>
      </c>
      <c r="AH174" s="128" t="str">
        <f t="shared" ref="AH174" ca="1" si="414">IF(AH171="","",AG174+AH172-AH173)</f>
        <v/>
      </c>
      <c r="AI174" s="128" t="str">
        <f t="shared" ref="AI174" ca="1" si="415">IF(AI171="","",AH174+AI172-AI173)</f>
        <v/>
      </c>
      <c r="AJ174" s="128" t="str">
        <f t="shared" ref="AJ174" ca="1" si="416">IF(AJ171="","",AI174+AJ172-AJ173)</f>
        <v/>
      </c>
      <c r="AK174" s="128" t="str">
        <f t="shared" ref="AK174" ca="1" si="417">IF(AK171="","",AJ174+AK172-AK173)</f>
        <v/>
      </c>
      <c r="AL174" s="128" t="str">
        <f t="shared" ref="AL174" ca="1" si="418">IF(AL171="","",AK174+AL172-AL173)</f>
        <v/>
      </c>
      <c r="AM174" s="128" t="str">
        <f t="shared" ref="AM174" ca="1" si="419">IF(AM171="","",AL174+AM172-AM173)</f>
        <v/>
      </c>
      <c r="AN174" s="128" t="str">
        <f t="shared" ref="AN174" ca="1" si="420">IF(AN171="","",AM174+AN172-AN173)</f>
        <v/>
      </c>
      <c r="AO174" s="128" t="str">
        <f t="shared" ref="AO174" ca="1" si="421">IF(AO171="","",AN174+AO172-AO173)</f>
        <v/>
      </c>
      <c r="AP174" s="128" t="str">
        <f t="shared" ref="AP174" ca="1" si="422">IF(AP171="","",AO174+AP172-AP173)</f>
        <v/>
      </c>
      <c r="AQ174" s="128" t="str">
        <f t="shared" ref="AQ174" ca="1" si="423">IF(AQ171="","",AP174+AQ172-AQ173)</f>
        <v/>
      </c>
      <c r="AR174" s="128" t="str">
        <f t="shared" ref="AR174" ca="1" si="424">IF(AR171="","",AQ174+AR172-AR173)</f>
        <v/>
      </c>
      <c r="AS174" s="128" t="str">
        <f t="shared" ref="AS174" ca="1" si="425">IF(AS171="","",AR174+AS172-AS173)</f>
        <v/>
      </c>
      <c r="AT174" s="128" t="str">
        <f t="shared" ref="AT174" ca="1" si="426">IF(AT171="","",AS174+AT172-AT173)</f>
        <v/>
      </c>
      <c r="AU174" s="128" t="str">
        <f t="shared" ref="AU174" ca="1" si="427">IF(AU171="","",AT174+AU172-AU173)</f>
        <v/>
      </c>
      <c r="AV174" s="128" t="str">
        <f t="shared" ref="AV174" ca="1" si="428">IF(AV171="","",AU174+AV172-AV173)</f>
        <v/>
      </c>
      <c r="AW174" s="128" t="str">
        <f t="shared" ref="AW174" ca="1" si="429">IF(AW171="","",AV174+AW172-AW173)</f>
        <v/>
      </c>
      <c r="AX174" s="104"/>
      <c r="AY174" s="104"/>
      <c r="AZ174" s="101"/>
    </row>
    <row r="175" spans="3:52" ht="12.75" customHeight="1" x14ac:dyDescent="0.25">
      <c r="N175" s="99"/>
      <c r="O175" s="104"/>
      <c r="P175" s="104"/>
      <c r="Q175" s="129" t="str">
        <f>INDEX(g_lang_val,MATCH("tb_2_4_4",g_lang_key,0))</f>
        <v>Renter (FF4)</v>
      </c>
      <c r="R175" s="130"/>
      <c r="S175" s="133">
        <f ca="1">SUM(T175:BG175)</f>
        <v>0</v>
      </c>
      <c r="T175" s="128">
        <f ca="1">IF(T171="","",g_interest_FF4*(S174+(T172/2)-(T173/2)))</f>
        <v>0</v>
      </c>
      <c r="U175" s="128">
        <f t="shared" ref="U175" ca="1" si="430">IF(U171="","",g_interest_FF4*(T174+(U172/2)-(U173/2)))</f>
        <v>0</v>
      </c>
      <c r="V175" s="128">
        <f t="shared" ref="V175" ca="1" si="431">IF(V171="","",g_interest_FF4*(U174+(V172/2)-(V173/2)))</f>
        <v>0</v>
      </c>
      <c r="W175" s="128">
        <f t="shared" ref="W175" ca="1" si="432">IF(W171="","",g_interest_FF4*(V174+(W172/2)-(W173/2)))</f>
        <v>0</v>
      </c>
      <c r="X175" s="128" t="str">
        <f t="shared" ref="X175" ca="1" si="433">IF(X171="","",g_interest_FF4*(W174+(X172/2)-(X173/2)))</f>
        <v/>
      </c>
      <c r="Y175" s="128" t="str">
        <f t="shared" ref="Y175" ca="1" si="434">IF(Y171="","",g_interest_FF4*(X174+(Y172/2)-(Y173/2)))</f>
        <v/>
      </c>
      <c r="Z175" s="128" t="str">
        <f t="shared" ref="Z175" ca="1" si="435">IF(Z171="","",g_interest_FF4*(Y174+(Z172/2)-(Z173/2)))</f>
        <v/>
      </c>
      <c r="AA175" s="128" t="str">
        <f t="shared" ref="AA175" ca="1" si="436">IF(AA171="","",g_interest_FF4*(Z174+(AA172/2)-(AA173/2)))</f>
        <v/>
      </c>
      <c r="AB175" s="128" t="str">
        <f t="shared" ref="AB175" ca="1" si="437">IF(AB171="","",g_interest_FF4*(AA174+(AB172/2)-(AB173/2)))</f>
        <v/>
      </c>
      <c r="AC175" s="128" t="str">
        <f t="shared" ref="AC175" ca="1" si="438">IF(AC171="","",g_interest_FF4*(AB174+(AC172/2)-(AC173/2)))</f>
        <v/>
      </c>
      <c r="AD175" s="128" t="str">
        <f t="shared" ref="AD175" ca="1" si="439">IF(AD171="","",g_interest_FF4*(AC174+(AD172/2)-(AD173/2)))</f>
        <v/>
      </c>
      <c r="AE175" s="128" t="str">
        <f t="shared" ref="AE175" ca="1" si="440">IF(AE171="","",g_interest_FF4*(AD174+(AE172/2)-(AE173/2)))</f>
        <v/>
      </c>
      <c r="AF175" s="128" t="str">
        <f t="shared" ref="AF175" ca="1" si="441">IF(AF171="","",g_interest_FF4*(AE174+(AF172/2)-(AF173/2)))</f>
        <v/>
      </c>
      <c r="AG175" s="128" t="str">
        <f t="shared" ref="AG175" ca="1" si="442">IF(AG171="","",g_interest_FF4*(AF174+(AG172/2)-(AG173/2)))</f>
        <v/>
      </c>
      <c r="AH175" s="128" t="str">
        <f t="shared" ref="AH175" ca="1" si="443">IF(AH171="","",g_interest_FF4*(AG174+(AH172/2)-(AH173/2)))</f>
        <v/>
      </c>
      <c r="AI175" s="128" t="str">
        <f t="shared" ref="AI175" ca="1" si="444">IF(AI171="","",g_interest_FF4*(AH174+(AI172/2)-(AI173/2)))</f>
        <v/>
      </c>
      <c r="AJ175" s="128" t="str">
        <f t="shared" ref="AJ175" ca="1" si="445">IF(AJ171="","",g_interest_FF4*(AI174+(AJ172/2)-(AJ173/2)))</f>
        <v/>
      </c>
      <c r="AK175" s="128" t="str">
        <f t="shared" ref="AK175" ca="1" si="446">IF(AK171="","",g_interest_FF4*(AJ174+(AK172/2)-(AK173/2)))</f>
        <v/>
      </c>
      <c r="AL175" s="128" t="str">
        <f t="shared" ref="AL175" ca="1" si="447">IF(AL171="","",g_interest_FF4*(AK174+(AL172/2)-(AL173/2)))</f>
        <v/>
      </c>
      <c r="AM175" s="128" t="str">
        <f t="shared" ref="AM175" ca="1" si="448">IF(AM171="","",g_interest_FF4*(AL174+(AM172/2)-(AM173/2)))</f>
        <v/>
      </c>
      <c r="AN175" s="128" t="str">
        <f t="shared" ref="AN175" ca="1" si="449">IF(AN171="","",g_interest_FF4*(AM174+(AN172/2)-(AN173/2)))</f>
        <v/>
      </c>
      <c r="AO175" s="128" t="str">
        <f t="shared" ref="AO175" ca="1" si="450">IF(AO171="","",g_interest_FF4*(AN174+(AO172/2)-(AO173/2)))</f>
        <v/>
      </c>
      <c r="AP175" s="128" t="str">
        <f t="shared" ref="AP175" ca="1" si="451">IF(AP171="","",g_interest_FF4*(AO174+(AP172/2)-(AP173/2)))</f>
        <v/>
      </c>
      <c r="AQ175" s="128" t="str">
        <f t="shared" ref="AQ175" ca="1" si="452">IF(AQ171="","",g_interest_FF4*(AP174+(AQ172/2)-(AQ173/2)))</f>
        <v/>
      </c>
      <c r="AR175" s="128" t="str">
        <f t="shared" ref="AR175" ca="1" si="453">IF(AR171="","",g_interest_FF4*(AQ174+(AR172/2)-(AR173/2)))</f>
        <v/>
      </c>
      <c r="AS175" s="128" t="str">
        <f t="shared" ref="AS175" ca="1" si="454">IF(AS171="","",g_interest_FF4*(AR174+(AS172/2)-(AS173/2)))</f>
        <v/>
      </c>
      <c r="AT175" s="128" t="str">
        <f t="shared" ref="AT175" ca="1" si="455">IF(AT171="","",g_interest_FF4*(AS174+(AT172/2)-(AT173/2)))</f>
        <v/>
      </c>
      <c r="AU175" s="128" t="str">
        <f t="shared" ref="AU175" ca="1" si="456">IF(AU171="","",g_interest_FF4*(AT174+(AU172/2)-(AU173/2)))</f>
        <v/>
      </c>
      <c r="AV175" s="128" t="str">
        <f t="shared" ref="AV175" ca="1" si="457">IF(AV171="","",g_interest_FF4*(AU174+(AV172/2)-(AV173/2)))</f>
        <v/>
      </c>
      <c r="AW175" s="128" t="str">
        <f t="shared" ref="AW175" ca="1" si="458">IF(AW171="","",g_interest_FF4*(AV174+(AW172/2)-(AW173/2)))</f>
        <v/>
      </c>
      <c r="AX175" s="104"/>
      <c r="AY175" s="104"/>
      <c r="AZ175" s="101"/>
    </row>
    <row r="176" spans="3:52" ht="12.75" hidden="1" customHeight="1" outlineLevel="1" x14ac:dyDescent="0.25">
      <c r="N176" s="99"/>
      <c r="O176" s="116"/>
      <c r="P176" s="116"/>
      <c r="Q176" s="228" t="str">
        <f>INDEX(g_assets_sc_1,8)</f>
        <v/>
      </c>
      <c r="R176" s="219"/>
      <c r="S176" s="220"/>
      <c r="T176" s="227">
        <f ca="1">T$150</f>
        <v>2025</v>
      </c>
      <c r="U176" s="227">
        <f t="shared" ref="U176:AW176" ca="1" si="459">U$150</f>
        <v>2026</v>
      </c>
      <c r="V176" s="227">
        <f t="shared" ca="1" si="459"/>
        <v>2027</v>
      </c>
      <c r="W176" s="227">
        <f t="shared" ca="1" si="459"/>
        <v>2028</v>
      </c>
      <c r="X176" s="227" t="str">
        <f t="shared" ca="1" si="459"/>
        <v/>
      </c>
      <c r="Y176" s="227" t="str">
        <f t="shared" ca="1" si="459"/>
        <v/>
      </c>
      <c r="Z176" s="227" t="str">
        <f t="shared" ca="1" si="459"/>
        <v/>
      </c>
      <c r="AA176" s="227" t="str">
        <f t="shared" ca="1" si="459"/>
        <v/>
      </c>
      <c r="AB176" s="227" t="str">
        <f t="shared" ca="1" si="459"/>
        <v/>
      </c>
      <c r="AC176" s="227" t="str">
        <f t="shared" ca="1" si="459"/>
        <v/>
      </c>
      <c r="AD176" s="227" t="str">
        <f t="shared" ca="1" si="459"/>
        <v/>
      </c>
      <c r="AE176" s="227" t="str">
        <f t="shared" ca="1" si="459"/>
        <v/>
      </c>
      <c r="AF176" s="227" t="str">
        <f t="shared" ca="1" si="459"/>
        <v/>
      </c>
      <c r="AG176" s="227" t="str">
        <f t="shared" ca="1" si="459"/>
        <v/>
      </c>
      <c r="AH176" s="227" t="str">
        <f t="shared" ca="1" si="459"/>
        <v/>
      </c>
      <c r="AI176" s="227" t="str">
        <f t="shared" ca="1" si="459"/>
        <v/>
      </c>
      <c r="AJ176" s="227" t="str">
        <f t="shared" ca="1" si="459"/>
        <v/>
      </c>
      <c r="AK176" s="227" t="str">
        <f t="shared" ca="1" si="459"/>
        <v/>
      </c>
      <c r="AL176" s="227" t="str">
        <f t="shared" ca="1" si="459"/>
        <v/>
      </c>
      <c r="AM176" s="227" t="str">
        <f t="shared" ca="1" si="459"/>
        <v/>
      </c>
      <c r="AN176" s="227" t="str">
        <f t="shared" ca="1" si="459"/>
        <v/>
      </c>
      <c r="AO176" s="227" t="str">
        <f t="shared" ca="1" si="459"/>
        <v/>
      </c>
      <c r="AP176" s="227" t="str">
        <f t="shared" ca="1" si="459"/>
        <v/>
      </c>
      <c r="AQ176" s="227" t="str">
        <f t="shared" ca="1" si="459"/>
        <v/>
      </c>
      <c r="AR176" s="227" t="str">
        <f t="shared" ca="1" si="459"/>
        <v/>
      </c>
      <c r="AS176" s="227" t="str">
        <f t="shared" ca="1" si="459"/>
        <v/>
      </c>
      <c r="AT176" s="227" t="str">
        <f t="shared" ca="1" si="459"/>
        <v/>
      </c>
      <c r="AU176" s="227" t="str">
        <f t="shared" ca="1" si="459"/>
        <v/>
      </c>
      <c r="AV176" s="227" t="str">
        <f t="shared" ca="1" si="459"/>
        <v/>
      </c>
      <c r="AW176" s="227" t="str">
        <f t="shared" ca="1" si="459"/>
        <v/>
      </c>
      <c r="AX176" s="116"/>
      <c r="AY176" s="116"/>
      <c r="AZ176" s="101"/>
    </row>
    <row r="177" spans="3:52" ht="12.75" hidden="1" customHeight="1" outlineLevel="1" x14ac:dyDescent="0.25">
      <c r="C177" s="140">
        <f>INDEX(g_sc_1_assets_dates,G177)</f>
        <v>0</v>
      </c>
      <c r="G177" s="141">
        <v>6</v>
      </c>
      <c r="N177" s="99"/>
      <c r="O177" s="104"/>
      <c r="P177" s="104"/>
      <c r="Q177" s="129" t="str">
        <f>INDEX(g_lang_val,MATCH("tb_2_4_1",g_lang_key,0))</f>
        <v>Køb af anlægsaktiver</v>
      </c>
      <c r="R177" s="130"/>
      <c r="S177" s="133">
        <f ca="1">SUM(T177:BG177)</f>
        <v>0</v>
      </c>
      <c r="T177" s="128">
        <f ca="1">IF(T176="","",SUMPRODUCT(--(Leverancer!$C$28:$C$88=($G177+2)),Leverancer!D$28:D$88)/1000)</f>
        <v>0</v>
      </c>
      <c r="U177" s="128">
        <f ca="1">IF(U176="","",SUMPRODUCT(--(Leverancer!$C$28:$C$88=($G177+2)),Leverancer!E$28:E$88)/1000)</f>
        <v>0</v>
      </c>
      <c r="V177" s="128">
        <f ca="1">IF(V176="","",SUMPRODUCT(--(Leverancer!$C$28:$C$88=($G177+2)),Leverancer!F$28:F$88)/1000)</f>
        <v>0</v>
      </c>
      <c r="W177" s="128">
        <f ca="1">IF(W176="","",SUMPRODUCT(--(Leverancer!$C$28:$C$88=($G177+2)),Leverancer!G$28:G$88)/1000)</f>
        <v>0</v>
      </c>
      <c r="X177" s="128" t="str">
        <f ca="1">IF(X176="","",SUMPRODUCT(--(Leverancer!$C$28:$C$88=($G177+2)),Leverancer!H$28:H$88)/1000)</f>
        <v/>
      </c>
      <c r="Y177" s="128" t="str">
        <f ca="1">IF(Y176="","",SUMPRODUCT(--(Leverancer!$C$28:$C$88=($G177+2)),Leverancer!I$28:I$88)/1000)</f>
        <v/>
      </c>
      <c r="Z177" s="128" t="str">
        <f ca="1">IF(Z176="","",SUMPRODUCT(--(Leverancer!$C$28:$C$88=($G177+2)),Leverancer!J$28:J$88)/1000)</f>
        <v/>
      </c>
      <c r="AA177" s="128" t="str">
        <f ca="1">IF(AA176="","",SUMPRODUCT(--(Leverancer!$C$28:$C$88=($G177+2)),Leverancer!K$28:K$88)/1000)</f>
        <v/>
      </c>
      <c r="AB177" s="128" t="str">
        <f ca="1">IF(AB176="","",SUMPRODUCT(--(Leverancer!$C$28:$C$88=($G177+2)),Leverancer!L$28:L$88)/1000)</f>
        <v/>
      </c>
      <c r="AC177" s="128" t="str">
        <f ca="1">IF(AC176="","",SUMPRODUCT(--(Leverancer!$C$28:$C$88=($G177+2)),Leverancer!M$28:M$88)/1000)</f>
        <v/>
      </c>
      <c r="AD177" s="128" t="str">
        <f ca="1">IF(AD176="","",SUMPRODUCT(--(Leverancer!$C$28:$C$88=($G177+2)),Leverancer!N$28:N$88)/1000)</f>
        <v/>
      </c>
      <c r="AE177" s="128" t="str">
        <f ca="1">IF(AE176="","",SUMPRODUCT(--(Leverancer!$C$28:$C$88=($G177+2)),Leverancer!O$28:O$88)/1000)</f>
        <v/>
      </c>
      <c r="AF177" s="128" t="str">
        <f ca="1">IF(AF176="","",SUMPRODUCT(--(Leverancer!$C$28:$C$88=($G177+2)),Leverancer!P$28:P$88)/1000)</f>
        <v/>
      </c>
      <c r="AG177" s="128" t="str">
        <f ca="1">IF(AG176="","",SUMPRODUCT(--(Leverancer!$C$28:$C$88=($G177+2)),Leverancer!Q$28:Q$88)/1000)</f>
        <v/>
      </c>
      <c r="AH177" s="128" t="str">
        <f ca="1">IF(AH176="","",SUMPRODUCT(--(Leverancer!$C$28:$C$88=($G177+2)),Leverancer!R$28:R$88)/1000)</f>
        <v/>
      </c>
      <c r="AI177" s="128" t="str">
        <f ca="1">IF(AI176="","",SUMPRODUCT(--(Leverancer!$C$28:$C$88=($G177+2)),Leverancer!S$28:S$88)/1000)</f>
        <v/>
      </c>
      <c r="AJ177" s="128" t="str">
        <f ca="1">IF(AJ176="","",SUMPRODUCT(--(Leverancer!$C$28:$C$88=($G177+2)),Leverancer!T$28:T$88)/1000)</f>
        <v/>
      </c>
      <c r="AK177" s="128" t="str">
        <f ca="1">IF(AK176="","",SUMPRODUCT(--(Leverancer!$C$28:$C$88=($G177+2)),Leverancer!U$28:U$88)/1000)</f>
        <v/>
      </c>
      <c r="AL177" s="128" t="str">
        <f ca="1">IF(AL176="","",SUMPRODUCT(--(Leverancer!$C$28:$C$88=($G177+2)),Leverancer!V$28:V$88)/1000)</f>
        <v/>
      </c>
      <c r="AM177" s="128" t="str">
        <f ca="1">IF(AM176="","",SUMPRODUCT(--(Leverancer!$C$28:$C$88=($G177+2)),Leverancer!W$28:W$88)/1000)</f>
        <v/>
      </c>
      <c r="AN177" s="128" t="str">
        <f ca="1">IF(AN176="","",SUMPRODUCT(--(Leverancer!$C$28:$C$88=($G177+2)),Leverancer!X$28:X$88)/1000)</f>
        <v/>
      </c>
      <c r="AO177" s="128" t="str">
        <f ca="1">IF(AO176="","",SUMPRODUCT(--(Leverancer!$C$28:$C$88=($G177+2)),Leverancer!Y$28:Y$88)/1000)</f>
        <v/>
      </c>
      <c r="AP177" s="128" t="str">
        <f ca="1">IF(AP176="","",SUMPRODUCT(--(Leverancer!$C$28:$C$88=($G177+2)),Leverancer!Z$28:Z$88)/1000)</f>
        <v/>
      </c>
      <c r="AQ177" s="128" t="str">
        <f ca="1">IF(AQ176="","",SUMPRODUCT(--(Leverancer!$C$28:$C$88=($G177+2)),Leverancer!AA$28:AA$88)/1000)</f>
        <v/>
      </c>
      <c r="AR177" s="128" t="str">
        <f ca="1">IF(AR176="","",SUMPRODUCT(--(Leverancer!$C$28:$C$88=($G177+2)),Leverancer!AB$28:AB$88)/1000)</f>
        <v/>
      </c>
      <c r="AS177" s="128" t="str">
        <f ca="1">IF(AS176="","",SUMPRODUCT(--(Leverancer!$C$28:$C$88=($G177+2)),Leverancer!AC$28:AC$88)/1000)</f>
        <v/>
      </c>
      <c r="AT177" s="128" t="str">
        <f ca="1">IF(AT176="","",SUMPRODUCT(--(Leverancer!$C$28:$C$88=($G177+2)),Leverancer!AD$28:AD$88)/1000)</f>
        <v/>
      </c>
      <c r="AU177" s="128" t="str">
        <f ca="1">IF(AU176="","",SUMPRODUCT(--(Leverancer!$C$28:$C$88=($G177+2)),Leverancer!AE$28:AE$88)/1000)</f>
        <v/>
      </c>
      <c r="AV177" s="128" t="str">
        <f ca="1">IF(AV176="","",SUMPRODUCT(--(Leverancer!$C$28:$C$88=($G177+2)),Leverancer!AF$28:AF$88)/1000)</f>
        <v/>
      </c>
      <c r="AW177" s="128" t="str">
        <f ca="1">IF(AW176="","",SUMPRODUCT(--(Leverancer!$C$28:$C$88=($G177+2)),Leverancer!AG$28:AG$88)/1000)</f>
        <v/>
      </c>
      <c r="AX177" s="104"/>
      <c r="AY177" s="104"/>
      <c r="AZ177" s="101"/>
    </row>
    <row r="178" spans="3:52" ht="12.75" hidden="1" customHeight="1" outlineLevel="1" x14ac:dyDescent="0.25">
      <c r="C178" s="142">
        <f>IFERROR(YEAR(C177),"")</f>
        <v>1900</v>
      </c>
      <c r="D178" s="142">
        <f>IFERROR(MONTH(C177),"")</f>
        <v>1</v>
      </c>
      <c r="E178" s="142">
        <f>INDEX(g_sc_1_assets_years,G177)</f>
        <v>0</v>
      </c>
      <c r="N178" s="99"/>
      <c r="O178" s="104"/>
      <c r="P178" s="104"/>
      <c r="Q178" s="129" t="str">
        <f>INDEX(g_lang_val,MATCH("tb_2_4_2",g_lang_key,0))</f>
        <v>Afskrivninger</v>
      </c>
      <c r="R178" s="130"/>
      <c r="S178" s="133">
        <f ca="1">SUM(T178:BG178)</f>
        <v>0</v>
      </c>
      <c r="T178" s="128">
        <f t="shared" ref="T178" ca="1" si="460">IF(T176="","",IF(T176&lt;$C178,0,IF(T176=$C178,T177/$C179*$E179+S179/$C179*$E179,IF(AND(T176&gt;$C178,T176&lt;ROUNDDOWN(($C178+($D178+$C179-1)/12),0)),(T177/2+S179)/($C179-$E179-12*(T176-$C178-1))*12,IF(AND($D179&lt;0,T176=ROUNDDOWN(($C178+($D178+$C179-1)/12),0)),S179+T177,IF(T176=ROUNDDOWN(($C178+($D178+$C179-1)/12),0),(T177+S179)/$C179*($D179+(T176-$C178-1)*12+$E179),IF(T176&gt;ROUNDDOWN(($C178+($D178+$C179)/12),0),0,0)))))))</f>
        <v>0</v>
      </c>
      <c r="U178" s="128">
        <f t="shared" ref="U178" ca="1" si="461">IF(U176="","",IF(U176&lt;$C178,0,IF(U176=$C178,U177/$C179*$E179+T179/$C179*$E179,IF(AND(U176&gt;$C178,U176&lt;ROUNDDOWN(($C178+($D178+$C179-1)/12),0)),(U177/2+T179)/($C179-$E179-12*(U176-$C178-1))*12,IF(AND($D179&lt;0,U176=ROUNDDOWN(($C178+($D178+$C179-1)/12),0)),T179+U177,IF(U176=ROUNDDOWN(($C178+($D178+$C179-1)/12),0),(U177+T179)/$C179*($D179+(U176-$C178-1)*12+$E179),IF(U176&gt;ROUNDDOWN(($C178+($D178+$C179)/12),0),0,0)))))))</f>
        <v>0</v>
      </c>
      <c r="V178" s="128">
        <f t="shared" ref="V178" ca="1" si="462">IF(V176="","",IF(V176&lt;$C178,0,IF(V176=$C178,V177/$C179*$E179+U179/$C179*$E179,IF(AND(V176&gt;$C178,V176&lt;ROUNDDOWN(($C178+($D178+$C179-1)/12),0)),(V177/2+U179)/($C179-$E179-12*(V176-$C178-1))*12,IF(AND($D179&lt;0,V176=ROUNDDOWN(($C178+($D178+$C179-1)/12),0)),U179+V177,IF(V176=ROUNDDOWN(($C178+($D178+$C179-1)/12),0),(V177+U179)/$C179*($D179+(V176-$C178-1)*12+$E179),IF(V176&gt;ROUNDDOWN(($C178+($D178+$C179)/12),0),0,0)))))))</f>
        <v>0</v>
      </c>
      <c r="W178" s="128">
        <f t="shared" ref="W178" ca="1" si="463">IF(W176="","",IF(W176&lt;$C178,0,IF(W176=$C178,W177/$C179*$E179+V179/$C179*$E179,IF(AND(W176&gt;$C178,W176&lt;ROUNDDOWN(($C178+($D178+$C179-1)/12),0)),(W177/2+V179)/($C179-$E179-12*(W176-$C178-1))*12,IF(AND($D179&lt;0,W176=ROUNDDOWN(($C178+($D178+$C179-1)/12),0)),V179+W177,IF(W176=ROUNDDOWN(($C178+($D178+$C179-1)/12),0),(W177+V179)/$C179*($D179+(W176-$C178-1)*12+$E179),IF(W176&gt;ROUNDDOWN(($C178+($D178+$C179)/12),0),0,0)))))))</f>
        <v>0</v>
      </c>
      <c r="X178" s="128" t="str">
        <f t="shared" ref="X178" ca="1" si="464">IF(X176="","",IF(X176&lt;$C178,0,IF(X176=$C178,X177/$C179*$E179+W179/$C179*$E179,IF(AND(X176&gt;$C178,X176&lt;ROUNDDOWN(($C178+($D178+$C179-1)/12),0)),(X177/2+W179)/($C179-$E179-12*(X176-$C178-1))*12,IF(AND($D179&lt;0,X176=ROUNDDOWN(($C178+($D178+$C179-1)/12),0)),W179+X177,IF(X176=ROUNDDOWN(($C178+($D178+$C179-1)/12),0),(X177+W179)/$C179*($D179+(X176-$C178-1)*12+$E179),IF(X176&gt;ROUNDDOWN(($C178+($D178+$C179)/12),0),0,0)))))))</f>
        <v/>
      </c>
      <c r="Y178" s="128" t="str">
        <f t="shared" ref="Y178" ca="1" si="465">IF(Y176="","",IF(Y176&lt;$C178,0,IF(Y176=$C178,Y177/$C179*$E179+X179/$C179*$E179,IF(AND(Y176&gt;$C178,Y176&lt;ROUNDDOWN(($C178+($D178+$C179-1)/12),0)),(Y177/2+X179)/($C179-$E179-12*(Y176-$C178-1))*12,IF(AND($D179&lt;0,Y176=ROUNDDOWN(($C178+($D178+$C179-1)/12),0)),X179+Y177,IF(Y176=ROUNDDOWN(($C178+($D178+$C179-1)/12),0),(Y177+X179)/$C179*($D179+(Y176-$C178-1)*12+$E179),IF(Y176&gt;ROUNDDOWN(($C178+($D178+$C179)/12),0),0,0)))))))</f>
        <v/>
      </c>
      <c r="Z178" s="128" t="str">
        <f ca="1">IF(Z176="","",IF(Z176&lt;$C178,0,IF(Z176=$C178,Z177/$C179*$E179+Y179/$C179*$E179,IF(AND(Z176&gt;$C178,Z176&lt;ROUNDDOWN(($C178+($D178+$C179-1)/12),0)),(Z177/2+Y179)/($C179-$E179-12*(Z176-$C178-1))*12,IF(AND($D179&lt;0,Z176=ROUNDDOWN(($C178+($D178+$C179-1)/12),0)),Y179+Z177,IF(Z176=ROUNDDOWN(($C178+($D178+$C179-1)/12),0),(Z177+Y179)/$C179*($D179+(Z176-$C178-1)*12+$E179),IF(Z176&gt;ROUNDDOWN(($C178+($D178+$C179)/12),0),0,0)))))))</f>
        <v/>
      </c>
      <c r="AA178" s="128" t="str">
        <f t="shared" ref="AA178" ca="1" si="466">IF(AA176="","",IF(AA176&lt;$C178,0,IF(AA176=$C178,AA177/$C179*$E179+Z179/$C179*$E179,IF(AND(AA176&gt;$C178,AA176&lt;ROUNDDOWN(($C178+($D178+$C179-1)/12),0)),(AA177/2+Z179)/($C179-$E179-12*(AA176-$C178-1))*12,IF(AND($D179&lt;0,AA176=ROUNDDOWN(($C178+($D178+$C179-1)/12),0)),Z179+AA177,IF(AA176=ROUNDDOWN(($C178+($D178+$C179-1)/12),0),(AA177+Z179)/$C179*($D179+(AA176-$C178-1)*12+$E179),IF(AA176&gt;ROUNDDOWN(($C178+($D178+$C179)/12),0),0,0)))))))</f>
        <v/>
      </c>
      <c r="AB178" s="128" t="str">
        <f t="shared" ref="AB178" ca="1" si="467">IF(AB176="","",IF(AB176&lt;$C178,0,IF(AB176=$C178,AB177/$C179*$E179+AA179/$C179*$E179,IF(AND(AB176&gt;$C178,AB176&lt;ROUNDDOWN(($C178+($D178+$C179-1)/12),0)),(AB177/2+AA179)/($C179-$E179-12*(AB176-$C178-1))*12,IF(AND($D179&lt;0,AB176=ROUNDDOWN(($C178+($D178+$C179-1)/12),0)),AA179+AB177,IF(AB176=ROUNDDOWN(($C178+($D178+$C179-1)/12),0),(AB177+AA179)/$C179*($D179+(AB176-$C178-1)*12+$E179),IF(AB176&gt;ROUNDDOWN(($C178+($D178+$C179)/12),0),0,0)))))))</f>
        <v/>
      </c>
      <c r="AC178" s="128" t="str">
        <f t="shared" ref="AC178" ca="1" si="468">IF(AC176="","",IF(AC176&lt;$C178,0,IF(AC176=$C178,AC177/$C179*$E179+AB179/$C179*$E179,IF(AND(AC176&gt;$C178,AC176&lt;ROUNDDOWN(($C178+($D178+$C179-1)/12),0)),(AC177/2+AB179)/($C179-$E179-12*(AC176-$C178-1))*12,IF(AND($D179&lt;0,AC176=ROUNDDOWN(($C178+($D178+$C179-1)/12),0)),AB179+AC177,IF(AC176=ROUNDDOWN(($C178+($D178+$C179-1)/12),0),(AC177+AB179)/$C179*($D179+(AC176-$C178-1)*12+$E179),IF(AC176&gt;ROUNDDOWN(($C178+($D178+$C179)/12),0),0,0)))))))</f>
        <v/>
      </c>
      <c r="AD178" s="128" t="str">
        <f t="shared" ref="AD178" ca="1" si="469">IF(AD176="","",IF(AD176&lt;$C178,0,IF(AD176=$C178,AD177/$C179*$E179+AC179/$C179*$E179,IF(AND(AD176&gt;$C178,AD176&lt;ROUNDDOWN(($C178+($D178+$C179-1)/12),0)),(AD177/2+AC179)/($C179-$E179-12*(AD176-$C178-1))*12,IF(AND($D179&lt;0,AD176=ROUNDDOWN(($C178+($D178+$C179-1)/12),0)),AC179+AD177,IF(AD176=ROUNDDOWN(($C178+($D178+$C179-1)/12),0),(AD177+AC179)/$C179*($D179+(AD176-$C178-1)*12+$E179),IF(AD176&gt;ROUNDDOWN(($C178+($D178+$C179)/12),0),0,0)))))))</f>
        <v/>
      </c>
      <c r="AE178" s="128" t="str">
        <f t="shared" ref="AE178" ca="1" si="470">IF(AE176="","",IF(AE176&lt;$C178,0,IF(AE176=$C178,AE177/$C179*$E179+AD179/$C179*$E179,IF(AND(AE176&gt;$C178,AE176&lt;ROUNDDOWN(($C178+($D178+$C179-1)/12),0)),(AE177/2+AD179)/($C179-$E179-12*(AE176-$C178-1))*12,IF(AND($D179&lt;0,AE176=ROUNDDOWN(($C178+($D178+$C179-1)/12),0)),AD179+AE177,IF(AE176=ROUNDDOWN(($C178+($D178+$C179-1)/12),0),(AE177+AD179)/$C179*($D179+(AE176-$C178-1)*12+$E179),IF(AE176&gt;ROUNDDOWN(($C178+($D178+$C179)/12),0),0,0)))))))</f>
        <v/>
      </c>
      <c r="AF178" s="128" t="str">
        <f t="shared" ref="AF178" ca="1" si="471">IF(AF176="","",IF(AF176&lt;$C178,0,IF(AF176=$C178,AF177/$C179*$E179+AE179/$C179*$E179,IF(AND(AF176&gt;$C178,AF176&lt;ROUNDDOWN(($C178+($D178+$C179-1)/12),0)),(AF177/2+AE179)/($C179-$E179-12*(AF176-$C178-1))*12,IF(AND($D179&lt;0,AF176=ROUNDDOWN(($C178+($D178+$C179-1)/12),0)),AE179+AF177,IF(AF176=ROUNDDOWN(($C178+($D178+$C179-1)/12),0),(AF177+AE179)/$C179*($D179+(AF176-$C178-1)*12+$E179),IF(AF176&gt;ROUNDDOWN(($C178+($D178+$C179)/12),0),0,0)))))))</f>
        <v/>
      </c>
      <c r="AG178" s="128" t="str">
        <f t="shared" ref="AG178" ca="1" si="472">IF(AG176="","",IF(AG176&lt;$C178,0,IF(AG176=$C178,AG177/$C179*$E179+AF179/$C179*$E179,IF(AND(AG176&gt;$C178,AG176&lt;ROUNDDOWN(($C178+($D178+$C179-1)/12),0)),(AG177/2+AF179)/($C179-$E179-12*(AG176-$C178-1))*12,IF(AND($D179&lt;0,AG176=ROUNDDOWN(($C178+($D178+$C179-1)/12),0)),AF179+AG177,IF(AG176=ROUNDDOWN(($C178+($D178+$C179-1)/12),0),(AG177+AF179)/$C179*($D179+(AG176-$C178-1)*12+$E179),IF(AG176&gt;ROUNDDOWN(($C178+($D178+$C179)/12),0),0,0)))))))</f>
        <v/>
      </c>
      <c r="AH178" s="128" t="str">
        <f t="shared" ref="AH178" ca="1" si="473">IF(AH176="","",IF(AH176&lt;$C178,0,IF(AH176=$C178,AH177/$C179*$E179+AG179/$C179*$E179,IF(AND(AH176&gt;$C178,AH176&lt;ROUNDDOWN(($C178+($D178+$C179-1)/12),0)),(AH177/2+AG179)/($C179-$E179-12*(AH176-$C178-1))*12,IF(AND($D179&lt;0,AH176=ROUNDDOWN(($C178+($D178+$C179-1)/12),0)),AG179+AH177,IF(AH176=ROUNDDOWN(($C178+($D178+$C179-1)/12),0),(AH177+AG179)/$C179*($D179+(AH176-$C178-1)*12+$E179),IF(AH176&gt;ROUNDDOWN(($C178+($D178+$C179)/12),0),0,0)))))))</f>
        <v/>
      </c>
      <c r="AI178" s="128" t="str">
        <f t="shared" ref="AI178" ca="1" si="474">IF(AI176="","",IF(AI176&lt;$C178,0,IF(AI176=$C178,AI177/$C179*$E179+AH179/$C179*$E179,IF(AND(AI176&gt;$C178,AI176&lt;ROUNDDOWN(($C178+($D178+$C179-1)/12),0)),(AI177/2+AH179)/($C179-$E179-12*(AI176-$C178-1))*12,IF(AND($D179&lt;0,AI176=ROUNDDOWN(($C178+($D178+$C179-1)/12),0)),AH179+AI177,IF(AI176=ROUNDDOWN(($C178+($D178+$C179-1)/12),0),(AI177+AH179)/$C179*($D179+(AI176-$C178-1)*12+$E179),IF(AI176&gt;ROUNDDOWN(($C178+($D178+$C179)/12),0),0,0)))))))</f>
        <v/>
      </c>
      <c r="AJ178" s="128" t="str">
        <f t="shared" ref="AJ178" ca="1" si="475">IF(AJ176="","",IF(AJ176&lt;$C178,0,IF(AJ176=$C178,AJ177/$C179*$E179+AI179/$C179*$E179,IF(AND(AJ176&gt;$C178,AJ176&lt;ROUNDDOWN(($C178+($D178+$C179-1)/12),0)),(AJ177/2+AI179)/($C179-$E179-12*(AJ176-$C178-1))*12,IF(AND($D179&lt;0,AJ176=ROUNDDOWN(($C178+($D178+$C179-1)/12),0)),AI179+AJ177,IF(AJ176=ROUNDDOWN(($C178+($D178+$C179-1)/12),0),(AJ177+AI179)/$C179*($D179+(AJ176-$C178-1)*12+$E179),IF(AJ176&gt;ROUNDDOWN(($C178+($D178+$C179)/12),0),0,0)))))))</f>
        <v/>
      </c>
      <c r="AK178" s="128" t="str">
        <f t="shared" ref="AK178" ca="1" si="476">IF(AK176="","",IF(AK176&lt;$C178,0,IF(AK176=$C178,AK177/$C179*$E179+AJ179/$C179*$E179,IF(AND(AK176&gt;$C178,AK176&lt;ROUNDDOWN(($C178+($D178+$C179-1)/12),0)),(AK177/2+AJ179)/($C179-$E179-12*(AK176-$C178-1))*12,IF(AND($D179&lt;0,AK176=ROUNDDOWN(($C178+($D178+$C179-1)/12),0)),AJ179+AK177,IF(AK176=ROUNDDOWN(($C178+($D178+$C179-1)/12),0),(AK177+AJ179)/$C179*($D179+(AK176-$C178-1)*12+$E179),IF(AK176&gt;ROUNDDOWN(($C178+($D178+$C179)/12),0),0,0)))))))</f>
        <v/>
      </c>
      <c r="AL178" s="128" t="str">
        <f t="shared" ref="AL178" ca="1" si="477">IF(AL176="","",IF(AL176&lt;$C178,0,IF(AL176=$C178,AL177/$C179*$E179+AK179/$C179*$E179,IF(AND(AL176&gt;$C178,AL176&lt;ROUNDDOWN(($C178+($D178+$C179-1)/12),0)),(AL177/2+AK179)/($C179-$E179-12*(AL176-$C178-1))*12,IF(AND($D179&lt;0,AL176=ROUNDDOWN(($C178+($D178+$C179-1)/12),0)),AK179+AL177,IF(AL176=ROUNDDOWN(($C178+($D178+$C179-1)/12),0),(AL177+AK179)/$C179*($D179+(AL176-$C178-1)*12+$E179),IF(AL176&gt;ROUNDDOWN(($C178+($D178+$C179)/12),0),0,0)))))))</f>
        <v/>
      </c>
      <c r="AM178" s="128" t="str">
        <f t="shared" ref="AM178" ca="1" si="478">IF(AM176="","",IF(AM176&lt;$C178,0,IF(AM176=$C178,AM177/$C179*$E179+AL179/$C179*$E179,IF(AND(AM176&gt;$C178,AM176&lt;ROUNDDOWN(($C178+($D178+$C179-1)/12),0)),(AM177/2+AL179)/($C179-$E179-12*(AM176-$C178-1))*12,IF(AND($D179&lt;0,AM176=ROUNDDOWN(($C178+($D178+$C179-1)/12),0)),AL179+AM177,IF(AM176=ROUNDDOWN(($C178+($D178+$C179-1)/12),0),(AM177+AL179)/$C179*($D179+(AM176-$C178-1)*12+$E179),IF(AM176&gt;ROUNDDOWN(($C178+($D178+$C179)/12),0),0,0)))))))</f>
        <v/>
      </c>
      <c r="AN178" s="128" t="str">
        <f t="shared" ref="AN178" ca="1" si="479">IF(AN176="","",IF(AN176&lt;$C178,0,IF(AN176=$C178,AN177/$C179*$E179+AM179/$C179*$E179,IF(AND(AN176&gt;$C178,AN176&lt;ROUNDDOWN(($C178+($D178+$C179-1)/12),0)),(AN177/2+AM179)/($C179-$E179-12*(AN176-$C178-1))*12,IF(AND($D179&lt;0,AN176=ROUNDDOWN(($C178+($D178+$C179-1)/12),0)),AM179+AN177,IF(AN176=ROUNDDOWN(($C178+($D178+$C179-1)/12),0),(AN177+AM179)/$C179*($D179+(AN176-$C178-1)*12+$E179),IF(AN176&gt;ROUNDDOWN(($C178+($D178+$C179)/12),0),0,0)))))))</f>
        <v/>
      </c>
      <c r="AO178" s="128" t="str">
        <f t="shared" ref="AO178" ca="1" si="480">IF(AO176="","",IF(AO176&lt;$C178,0,IF(AO176=$C178,AO177/$C179*$E179+AN179/$C179*$E179,IF(AND(AO176&gt;$C178,AO176&lt;ROUNDDOWN(($C178+($D178+$C179-1)/12),0)),(AO177/2+AN179)/($C179-$E179-12*(AO176-$C178-1))*12,IF(AND($D179&lt;0,AO176=ROUNDDOWN(($C178+($D178+$C179-1)/12),0)),AN179+AO177,IF(AO176=ROUNDDOWN(($C178+($D178+$C179-1)/12),0),(AO177+AN179)/$C179*($D179+(AO176-$C178-1)*12+$E179),IF(AO176&gt;ROUNDDOWN(($C178+($D178+$C179)/12),0),0,0)))))))</f>
        <v/>
      </c>
      <c r="AP178" s="128" t="str">
        <f t="shared" ref="AP178" ca="1" si="481">IF(AP176="","",IF(AP176&lt;$C178,0,IF(AP176=$C178,AP177/$C179*$E179+AO179/$C179*$E179,IF(AND(AP176&gt;$C178,AP176&lt;ROUNDDOWN(($C178+($D178+$C179-1)/12),0)),(AP177/2+AO179)/($C179-$E179-12*(AP176-$C178-1))*12,IF(AND($D179&lt;0,AP176=ROUNDDOWN(($C178+($D178+$C179-1)/12),0)),AO179+AP177,IF(AP176=ROUNDDOWN(($C178+($D178+$C179-1)/12),0),(AP177+AO179)/$C179*($D179+(AP176-$C178-1)*12+$E179),IF(AP176&gt;ROUNDDOWN(($C178+($D178+$C179)/12),0),0,0)))))))</f>
        <v/>
      </c>
      <c r="AQ178" s="128" t="str">
        <f t="shared" ref="AQ178" ca="1" si="482">IF(AQ176="","",IF(AQ176&lt;$C178,0,IF(AQ176=$C178,AQ177/$C179*$E179+AP179/$C179*$E179,IF(AND(AQ176&gt;$C178,AQ176&lt;ROUNDDOWN(($C178+($D178+$C179-1)/12),0)),(AQ177/2+AP179)/($C179-$E179-12*(AQ176-$C178-1))*12,IF(AND($D179&lt;0,AQ176=ROUNDDOWN(($C178+($D178+$C179-1)/12),0)),AP179+AQ177,IF(AQ176=ROUNDDOWN(($C178+($D178+$C179-1)/12),0),(AQ177+AP179)/$C179*($D179+(AQ176-$C178-1)*12+$E179),IF(AQ176&gt;ROUNDDOWN(($C178+($D178+$C179)/12),0),0,0)))))))</f>
        <v/>
      </c>
      <c r="AR178" s="128" t="str">
        <f t="shared" ref="AR178" ca="1" si="483">IF(AR176="","",IF(AR176&lt;$C178,0,IF(AR176=$C178,AR177/$C179*$E179+AQ179/$C179*$E179,IF(AND(AR176&gt;$C178,AR176&lt;ROUNDDOWN(($C178+($D178+$C179-1)/12),0)),(AR177/2+AQ179)/($C179-$E179-12*(AR176-$C178-1))*12,IF(AND($D179&lt;0,AR176=ROUNDDOWN(($C178+($D178+$C179-1)/12),0)),AQ179+AR177,IF(AR176=ROUNDDOWN(($C178+($D178+$C179-1)/12),0),(AR177+AQ179)/$C179*($D179+(AR176-$C178-1)*12+$E179),IF(AR176&gt;ROUNDDOWN(($C178+($D178+$C179)/12),0),0,0)))))))</f>
        <v/>
      </c>
      <c r="AS178" s="128" t="str">
        <f t="shared" ref="AS178" ca="1" si="484">IF(AS176="","",IF(AS176&lt;$C178,0,IF(AS176=$C178,AS177/$C179*$E179+AR179/$C179*$E179,IF(AND(AS176&gt;$C178,AS176&lt;ROUNDDOWN(($C178+($D178+$C179-1)/12),0)),(AS177/2+AR179)/($C179-$E179-12*(AS176-$C178-1))*12,IF(AND($D179&lt;0,AS176=ROUNDDOWN(($C178+($D178+$C179-1)/12),0)),AR179+AS177,IF(AS176=ROUNDDOWN(($C178+($D178+$C179-1)/12),0),(AS177+AR179)/$C179*($D179+(AS176-$C178-1)*12+$E179),IF(AS176&gt;ROUNDDOWN(($C178+($D178+$C179)/12),0),0,0)))))))</f>
        <v/>
      </c>
      <c r="AT178" s="128" t="str">
        <f t="shared" ref="AT178" ca="1" si="485">IF(AT176="","",IF(AT176&lt;$C178,0,IF(AT176=$C178,AT177/$C179*$E179+AS179/$C179*$E179,IF(AND(AT176&gt;$C178,AT176&lt;ROUNDDOWN(($C178+($D178+$C179-1)/12),0)),(AT177/2+AS179)/($C179-$E179-12*(AT176-$C178-1))*12,IF(AND($D179&lt;0,AT176=ROUNDDOWN(($C178+($D178+$C179-1)/12),0)),AS179+AT177,IF(AT176=ROUNDDOWN(($C178+($D178+$C179-1)/12),0),(AT177+AS179)/$C179*($D179+(AT176-$C178-1)*12+$E179),IF(AT176&gt;ROUNDDOWN(($C178+($D178+$C179)/12),0),0,0)))))))</f>
        <v/>
      </c>
      <c r="AU178" s="128" t="str">
        <f t="shared" ref="AU178" ca="1" si="486">IF(AU176="","",IF(AU176&lt;$C178,0,IF(AU176=$C178,AU177/$C179*$E179+AT179/$C179*$E179,IF(AND(AU176&gt;$C178,AU176&lt;ROUNDDOWN(($C178+($D178+$C179-1)/12),0)),(AU177/2+AT179)/($C179-$E179-12*(AU176-$C178-1))*12,IF(AND($D179&lt;0,AU176=ROUNDDOWN(($C178+($D178+$C179-1)/12),0)),AT179+AU177,IF(AU176=ROUNDDOWN(($C178+($D178+$C179-1)/12),0),(AU177+AT179)/$C179*($D179+(AU176-$C178-1)*12+$E179),IF(AU176&gt;ROUNDDOWN(($C178+($D178+$C179)/12),0),0,0)))))))</f>
        <v/>
      </c>
      <c r="AV178" s="128" t="str">
        <f t="shared" ref="AV178" ca="1" si="487">IF(AV176="","",IF(AV176&lt;$C178,0,IF(AV176=$C178,AV177/$C179*$E179+AU179/$C179*$E179,IF(AND(AV176&gt;$C178,AV176&lt;ROUNDDOWN(($C178+($D178+$C179-1)/12),0)),(AV177/2+AU179)/($C179-$E179-12*(AV176-$C178-1))*12,IF(AND($D179&lt;0,AV176=ROUNDDOWN(($C178+($D178+$C179-1)/12),0)),AU179+AV177,IF(AV176=ROUNDDOWN(($C178+($D178+$C179-1)/12),0),(AV177+AU179)/$C179*($D179+(AV176-$C178-1)*12+$E179),IF(AV176&gt;ROUNDDOWN(($C178+($D178+$C179)/12),0),0,0)))))))</f>
        <v/>
      </c>
      <c r="AW178" s="128" t="str">
        <f t="shared" ref="AW178" ca="1" si="488">IF(AW176="","",IF(AW176&lt;$C178,0,IF(AW176=$C178,AW177/$C179*$E179+AV179/$C179*$E179,IF(AND(AW176&gt;$C178,AW176&lt;ROUNDDOWN(($C178+($D178+$C179-1)/12),0)),(AW177/2+AV179)/($C179-$E179-12*(AW176-$C178-1))*12,IF(AND($D179&lt;0,AW176=ROUNDDOWN(($C178+($D178+$C179-1)/12),0)),AV179+AW177,IF(AW176=ROUNDDOWN(($C178+($D178+$C179-1)/12),0),(AW177+AV179)/$C179*($D179+(AW176-$C178-1)*12+$E179),IF(AW176&gt;ROUNDDOWN(($C178+($D178+$C179)/12),0),0,0)))))))</f>
        <v/>
      </c>
      <c r="AX178" s="104"/>
      <c r="AY178" s="104"/>
      <c r="AZ178" s="101"/>
    </row>
    <row r="179" spans="3:52" ht="12.75" hidden="1" customHeight="1" outlineLevel="1" x14ac:dyDescent="0.25">
      <c r="C179" s="142">
        <f>ROUNDUP((E178-ROUNDDOWN(E178,0))*12,0)+ROUNDDOWN(E178,0)*12</f>
        <v>0</v>
      </c>
      <c r="D179" s="142">
        <f>C179-E179-ROUNDDOWN(E178,0)*12</f>
        <v>-12</v>
      </c>
      <c r="E179" s="142">
        <f>13-MONTH(C177)</f>
        <v>12</v>
      </c>
      <c r="N179" s="99"/>
      <c r="O179" s="104"/>
      <c r="P179" s="104"/>
      <c r="Q179" s="129" t="str">
        <f>INDEX(g_lang_val,MATCH("tb_2_4_3",g_lang_key,0))</f>
        <v>FF4-gæld, ultimo året</v>
      </c>
      <c r="R179" s="130"/>
      <c r="S179" s="133"/>
      <c r="T179" s="128">
        <f t="shared" ref="T179" ca="1" si="489">IF(T176="","",S179+T177-T178)</f>
        <v>0</v>
      </c>
      <c r="U179" s="128">
        <f t="shared" ref="U179" ca="1" si="490">IF(U176="","",T179+U177-U178)</f>
        <v>0</v>
      </c>
      <c r="V179" s="128">
        <f t="shared" ref="V179" ca="1" si="491">IF(V176="","",U179+V177-V178)</f>
        <v>0</v>
      </c>
      <c r="W179" s="128">
        <f t="shared" ref="W179" ca="1" si="492">IF(W176="","",V179+W177-W178)</f>
        <v>0</v>
      </c>
      <c r="X179" s="128" t="str">
        <f t="shared" ref="X179" ca="1" si="493">IF(X176="","",W179+X177-X178)</f>
        <v/>
      </c>
      <c r="Y179" s="128" t="str">
        <f t="shared" ref="Y179" ca="1" si="494">IF(Y176="","",X179+Y177-Y178)</f>
        <v/>
      </c>
      <c r="Z179" s="128" t="str">
        <f t="shared" ref="Z179" ca="1" si="495">IF(Z176="","",Y179+Z177-Z178)</f>
        <v/>
      </c>
      <c r="AA179" s="128" t="str">
        <f t="shared" ref="AA179" ca="1" si="496">IF(AA176="","",Z179+AA177-AA178)</f>
        <v/>
      </c>
      <c r="AB179" s="128" t="str">
        <f t="shared" ref="AB179" ca="1" si="497">IF(AB176="","",AA179+AB177-AB178)</f>
        <v/>
      </c>
      <c r="AC179" s="128" t="str">
        <f t="shared" ref="AC179" ca="1" si="498">IF(AC176="","",AB179+AC177-AC178)</f>
        <v/>
      </c>
      <c r="AD179" s="128" t="str">
        <f t="shared" ref="AD179" ca="1" si="499">IF(AD176="","",AC179+AD177-AD178)</f>
        <v/>
      </c>
      <c r="AE179" s="128" t="str">
        <f t="shared" ref="AE179" ca="1" si="500">IF(AE176="","",AD179+AE177-AE178)</f>
        <v/>
      </c>
      <c r="AF179" s="128" t="str">
        <f t="shared" ref="AF179" ca="1" si="501">IF(AF176="","",AE179+AF177-AF178)</f>
        <v/>
      </c>
      <c r="AG179" s="128" t="str">
        <f t="shared" ref="AG179" ca="1" si="502">IF(AG176="","",AF179+AG177-AG178)</f>
        <v/>
      </c>
      <c r="AH179" s="128" t="str">
        <f t="shared" ref="AH179" ca="1" si="503">IF(AH176="","",AG179+AH177-AH178)</f>
        <v/>
      </c>
      <c r="AI179" s="128" t="str">
        <f t="shared" ref="AI179" ca="1" si="504">IF(AI176="","",AH179+AI177-AI178)</f>
        <v/>
      </c>
      <c r="AJ179" s="128" t="str">
        <f t="shared" ref="AJ179" ca="1" si="505">IF(AJ176="","",AI179+AJ177-AJ178)</f>
        <v/>
      </c>
      <c r="AK179" s="128" t="str">
        <f t="shared" ref="AK179" ca="1" si="506">IF(AK176="","",AJ179+AK177-AK178)</f>
        <v/>
      </c>
      <c r="AL179" s="128" t="str">
        <f t="shared" ref="AL179" ca="1" si="507">IF(AL176="","",AK179+AL177-AL178)</f>
        <v/>
      </c>
      <c r="AM179" s="128" t="str">
        <f t="shared" ref="AM179" ca="1" si="508">IF(AM176="","",AL179+AM177-AM178)</f>
        <v/>
      </c>
      <c r="AN179" s="128" t="str">
        <f t="shared" ref="AN179" ca="1" si="509">IF(AN176="","",AM179+AN177-AN178)</f>
        <v/>
      </c>
      <c r="AO179" s="128" t="str">
        <f t="shared" ref="AO179" ca="1" si="510">IF(AO176="","",AN179+AO177-AO178)</f>
        <v/>
      </c>
      <c r="AP179" s="128" t="str">
        <f t="shared" ref="AP179" ca="1" si="511">IF(AP176="","",AO179+AP177-AP178)</f>
        <v/>
      </c>
      <c r="AQ179" s="128" t="str">
        <f t="shared" ref="AQ179" ca="1" si="512">IF(AQ176="","",AP179+AQ177-AQ178)</f>
        <v/>
      </c>
      <c r="AR179" s="128" t="str">
        <f t="shared" ref="AR179" ca="1" si="513">IF(AR176="","",AQ179+AR177-AR178)</f>
        <v/>
      </c>
      <c r="AS179" s="128" t="str">
        <f t="shared" ref="AS179" ca="1" si="514">IF(AS176="","",AR179+AS177-AS178)</f>
        <v/>
      </c>
      <c r="AT179" s="128" t="str">
        <f t="shared" ref="AT179" ca="1" si="515">IF(AT176="","",AS179+AT177-AT178)</f>
        <v/>
      </c>
      <c r="AU179" s="128" t="str">
        <f t="shared" ref="AU179" ca="1" si="516">IF(AU176="","",AT179+AU177-AU178)</f>
        <v/>
      </c>
      <c r="AV179" s="128" t="str">
        <f t="shared" ref="AV179" ca="1" si="517">IF(AV176="","",AU179+AV177-AV178)</f>
        <v/>
      </c>
      <c r="AW179" s="128" t="str">
        <f t="shared" ref="AW179" ca="1" si="518">IF(AW176="","",AV179+AW177-AW178)</f>
        <v/>
      </c>
      <c r="AX179" s="104"/>
      <c r="AY179" s="104"/>
      <c r="AZ179" s="101"/>
    </row>
    <row r="180" spans="3:52" ht="12.75" hidden="1" customHeight="1" outlineLevel="1" x14ac:dyDescent="0.25">
      <c r="N180" s="99"/>
      <c r="O180" s="104"/>
      <c r="P180" s="104"/>
      <c r="Q180" s="129" t="str">
        <f>INDEX(g_lang_val,MATCH("tb_2_4_4",g_lang_key,0))</f>
        <v>Renter (FF4)</v>
      </c>
      <c r="R180" s="130"/>
      <c r="S180" s="133">
        <f ca="1">SUM(T180:BG180)</f>
        <v>0</v>
      </c>
      <c r="T180" s="128">
        <f ca="1">IF(T176="","",g_interest_FF4*(S179+(T177/2)-(T178/2)))</f>
        <v>0</v>
      </c>
      <c r="U180" s="128">
        <f t="shared" ref="U180" ca="1" si="519">IF(U176="","",g_interest_FF4*(T179+(U177/2)-(U178/2)))</f>
        <v>0</v>
      </c>
      <c r="V180" s="128">
        <f t="shared" ref="V180" ca="1" si="520">IF(V176="","",g_interest_FF4*(U179+(V177/2)-(V178/2)))</f>
        <v>0</v>
      </c>
      <c r="W180" s="128">
        <f t="shared" ref="W180" ca="1" si="521">IF(W176="","",g_interest_FF4*(V179+(W177/2)-(W178/2)))</f>
        <v>0</v>
      </c>
      <c r="X180" s="128" t="str">
        <f t="shared" ref="X180" ca="1" si="522">IF(X176="","",g_interest_FF4*(W179+(X177/2)-(X178/2)))</f>
        <v/>
      </c>
      <c r="Y180" s="128" t="str">
        <f t="shared" ref="Y180" ca="1" si="523">IF(Y176="","",g_interest_FF4*(X179+(Y177/2)-(Y178/2)))</f>
        <v/>
      </c>
      <c r="Z180" s="128" t="str">
        <f t="shared" ref="Z180" ca="1" si="524">IF(Z176="","",g_interest_FF4*(Y179+(Z177/2)-(Z178/2)))</f>
        <v/>
      </c>
      <c r="AA180" s="128" t="str">
        <f t="shared" ref="AA180" ca="1" si="525">IF(AA176="","",g_interest_FF4*(Z179+(AA177/2)-(AA178/2)))</f>
        <v/>
      </c>
      <c r="AB180" s="128" t="str">
        <f t="shared" ref="AB180" ca="1" si="526">IF(AB176="","",g_interest_FF4*(AA179+(AB177/2)-(AB178/2)))</f>
        <v/>
      </c>
      <c r="AC180" s="128" t="str">
        <f t="shared" ref="AC180" ca="1" si="527">IF(AC176="","",g_interest_FF4*(AB179+(AC177/2)-(AC178/2)))</f>
        <v/>
      </c>
      <c r="AD180" s="128" t="str">
        <f t="shared" ref="AD180" ca="1" si="528">IF(AD176="","",g_interest_FF4*(AC179+(AD177/2)-(AD178/2)))</f>
        <v/>
      </c>
      <c r="AE180" s="128" t="str">
        <f t="shared" ref="AE180" ca="1" si="529">IF(AE176="","",g_interest_FF4*(AD179+(AE177/2)-(AE178/2)))</f>
        <v/>
      </c>
      <c r="AF180" s="128" t="str">
        <f t="shared" ref="AF180" ca="1" si="530">IF(AF176="","",g_interest_FF4*(AE179+(AF177/2)-(AF178/2)))</f>
        <v/>
      </c>
      <c r="AG180" s="128" t="str">
        <f t="shared" ref="AG180" ca="1" si="531">IF(AG176="","",g_interest_FF4*(AF179+(AG177/2)-(AG178/2)))</f>
        <v/>
      </c>
      <c r="AH180" s="128" t="str">
        <f t="shared" ref="AH180" ca="1" si="532">IF(AH176="","",g_interest_FF4*(AG179+(AH177/2)-(AH178/2)))</f>
        <v/>
      </c>
      <c r="AI180" s="128" t="str">
        <f t="shared" ref="AI180" ca="1" si="533">IF(AI176="","",g_interest_FF4*(AH179+(AI177/2)-(AI178/2)))</f>
        <v/>
      </c>
      <c r="AJ180" s="128" t="str">
        <f t="shared" ref="AJ180" ca="1" si="534">IF(AJ176="","",g_interest_FF4*(AI179+(AJ177/2)-(AJ178/2)))</f>
        <v/>
      </c>
      <c r="AK180" s="128" t="str">
        <f t="shared" ref="AK180" ca="1" si="535">IF(AK176="","",g_interest_FF4*(AJ179+(AK177/2)-(AK178/2)))</f>
        <v/>
      </c>
      <c r="AL180" s="128" t="str">
        <f t="shared" ref="AL180" ca="1" si="536">IF(AL176="","",g_interest_FF4*(AK179+(AL177/2)-(AL178/2)))</f>
        <v/>
      </c>
      <c r="AM180" s="128" t="str">
        <f t="shared" ref="AM180" ca="1" si="537">IF(AM176="","",g_interest_FF4*(AL179+(AM177/2)-(AM178/2)))</f>
        <v/>
      </c>
      <c r="AN180" s="128" t="str">
        <f t="shared" ref="AN180" ca="1" si="538">IF(AN176="","",g_interest_FF4*(AM179+(AN177/2)-(AN178/2)))</f>
        <v/>
      </c>
      <c r="AO180" s="128" t="str">
        <f t="shared" ref="AO180" ca="1" si="539">IF(AO176="","",g_interest_FF4*(AN179+(AO177/2)-(AO178/2)))</f>
        <v/>
      </c>
      <c r="AP180" s="128" t="str">
        <f t="shared" ref="AP180" ca="1" si="540">IF(AP176="","",g_interest_FF4*(AO179+(AP177/2)-(AP178/2)))</f>
        <v/>
      </c>
      <c r="AQ180" s="128" t="str">
        <f t="shared" ref="AQ180" ca="1" si="541">IF(AQ176="","",g_interest_FF4*(AP179+(AQ177/2)-(AQ178/2)))</f>
        <v/>
      </c>
      <c r="AR180" s="128" t="str">
        <f t="shared" ref="AR180" ca="1" si="542">IF(AR176="","",g_interest_FF4*(AQ179+(AR177/2)-(AR178/2)))</f>
        <v/>
      </c>
      <c r="AS180" s="128" t="str">
        <f t="shared" ref="AS180" ca="1" si="543">IF(AS176="","",g_interest_FF4*(AR179+(AS177/2)-(AS178/2)))</f>
        <v/>
      </c>
      <c r="AT180" s="128" t="str">
        <f t="shared" ref="AT180" ca="1" si="544">IF(AT176="","",g_interest_FF4*(AS179+(AT177/2)-(AT178/2)))</f>
        <v/>
      </c>
      <c r="AU180" s="128" t="str">
        <f t="shared" ref="AU180" ca="1" si="545">IF(AU176="","",g_interest_FF4*(AT179+(AU177/2)-(AU178/2)))</f>
        <v/>
      </c>
      <c r="AV180" s="128" t="str">
        <f t="shared" ref="AV180" ca="1" si="546">IF(AV176="","",g_interest_FF4*(AU179+(AV177/2)-(AV178/2)))</f>
        <v/>
      </c>
      <c r="AW180" s="128" t="str">
        <f t="shared" ref="AW180" ca="1" si="547">IF(AW176="","",g_interest_FF4*(AV179+(AW177/2)-(AW178/2)))</f>
        <v/>
      </c>
      <c r="AX180" s="104"/>
      <c r="AY180" s="104"/>
      <c r="AZ180" s="101"/>
    </row>
    <row r="181" spans="3:52" ht="12.75" hidden="1" customHeight="1" outlineLevel="1" x14ac:dyDescent="0.25">
      <c r="N181" s="99"/>
      <c r="O181" s="104"/>
      <c r="P181" s="104"/>
      <c r="Q181" s="132" t="str">
        <f>INDEX(g_assets_sc_1,9)</f>
        <v/>
      </c>
      <c r="R181" s="132"/>
      <c r="S181" s="127"/>
      <c r="T181" s="139">
        <f ca="1">T$150</f>
        <v>2025</v>
      </c>
      <c r="U181" s="139">
        <f t="shared" ref="U181:AW181" ca="1" si="548">U$150</f>
        <v>2026</v>
      </c>
      <c r="V181" s="139">
        <f t="shared" ca="1" si="548"/>
        <v>2027</v>
      </c>
      <c r="W181" s="139">
        <f t="shared" ca="1" si="548"/>
        <v>2028</v>
      </c>
      <c r="X181" s="139" t="str">
        <f t="shared" ca="1" si="548"/>
        <v/>
      </c>
      <c r="Y181" s="139" t="str">
        <f ca="1">Y$150</f>
        <v/>
      </c>
      <c r="Z181" s="139" t="str">
        <f t="shared" ca="1" si="548"/>
        <v/>
      </c>
      <c r="AA181" s="139" t="str">
        <f t="shared" ca="1" si="548"/>
        <v/>
      </c>
      <c r="AB181" s="139" t="str">
        <f t="shared" ca="1" si="548"/>
        <v/>
      </c>
      <c r="AC181" s="139" t="str">
        <f t="shared" ca="1" si="548"/>
        <v/>
      </c>
      <c r="AD181" s="139" t="str">
        <f t="shared" ca="1" si="548"/>
        <v/>
      </c>
      <c r="AE181" s="139" t="str">
        <f t="shared" ca="1" si="548"/>
        <v/>
      </c>
      <c r="AF181" s="139" t="str">
        <f t="shared" ca="1" si="548"/>
        <v/>
      </c>
      <c r="AG181" s="139" t="str">
        <f t="shared" ca="1" si="548"/>
        <v/>
      </c>
      <c r="AH181" s="139" t="str">
        <f t="shared" ca="1" si="548"/>
        <v/>
      </c>
      <c r="AI181" s="139" t="str">
        <f t="shared" ca="1" si="548"/>
        <v/>
      </c>
      <c r="AJ181" s="139" t="str">
        <f t="shared" ca="1" si="548"/>
        <v/>
      </c>
      <c r="AK181" s="139" t="str">
        <f t="shared" ca="1" si="548"/>
        <v/>
      </c>
      <c r="AL181" s="139" t="str">
        <f t="shared" ca="1" si="548"/>
        <v/>
      </c>
      <c r="AM181" s="139" t="str">
        <f t="shared" ca="1" si="548"/>
        <v/>
      </c>
      <c r="AN181" s="139" t="str">
        <f t="shared" ca="1" si="548"/>
        <v/>
      </c>
      <c r="AO181" s="139" t="str">
        <f t="shared" ca="1" si="548"/>
        <v/>
      </c>
      <c r="AP181" s="139" t="str">
        <f t="shared" ca="1" si="548"/>
        <v/>
      </c>
      <c r="AQ181" s="139" t="str">
        <f t="shared" ca="1" si="548"/>
        <v/>
      </c>
      <c r="AR181" s="139" t="str">
        <f t="shared" ca="1" si="548"/>
        <v/>
      </c>
      <c r="AS181" s="139" t="str">
        <f t="shared" ca="1" si="548"/>
        <v/>
      </c>
      <c r="AT181" s="139" t="str">
        <f t="shared" ca="1" si="548"/>
        <v/>
      </c>
      <c r="AU181" s="139" t="str">
        <f t="shared" ca="1" si="548"/>
        <v/>
      </c>
      <c r="AV181" s="139" t="str">
        <f t="shared" ca="1" si="548"/>
        <v/>
      </c>
      <c r="AW181" s="139" t="str">
        <f t="shared" ca="1" si="548"/>
        <v/>
      </c>
      <c r="AX181" s="104"/>
      <c r="AY181" s="104"/>
      <c r="AZ181" s="101"/>
    </row>
    <row r="182" spans="3:52" ht="12.75" hidden="1" customHeight="1" outlineLevel="1" x14ac:dyDescent="0.25">
      <c r="C182" s="140">
        <f>INDEX(g_sc_1_assets_dates,G182)</f>
        <v>0</v>
      </c>
      <c r="G182" s="141">
        <v>7</v>
      </c>
      <c r="N182" s="99"/>
      <c r="O182" s="104"/>
      <c r="P182" s="104"/>
      <c r="Q182" s="129" t="str">
        <f>INDEX(g_lang_val,MATCH("tb_2_4_1",g_lang_key,0))</f>
        <v>Køb af anlægsaktiver</v>
      </c>
      <c r="R182" s="130"/>
      <c r="S182" s="133">
        <f ca="1">SUM(T182:BG182)</f>
        <v>0</v>
      </c>
      <c r="T182" s="128">
        <f ca="1">IF(T181="","",SUMPRODUCT(--(Leverancer!$C$28:$C$88=($G182+2)),Leverancer!D$28:D$88)/1000)</f>
        <v>0</v>
      </c>
      <c r="U182" s="128">
        <f ca="1">IF(U181="","",SUMPRODUCT(--(Leverancer!$C$28:$C$88=($G182+2)),Leverancer!E$28:E$88)/1000)</f>
        <v>0</v>
      </c>
      <c r="V182" s="128">
        <f ca="1">IF(V181="","",SUMPRODUCT(--(Leverancer!$C$28:$C$88=($G182+2)),Leverancer!F$28:F$88)/1000)</f>
        <v>0</v>
      </c>
      <c r="W182" s="128">
        <f ca="1">IF(W181="","",SUMPRODUCT(--(Leverancer!$C$28:$C$88=($G182+2)),Leverancer!G$28:G$88)/1000)</f>
        <v>0</v>
      </c>
      <c r="X182" s="128" t="str">
        <f ca="1">IF(X181="","",SUMPRODUCT(--(Leverancer!$C$28:$C$88=($G182+2)),Leverancer!H$28:H$88)/1000)</f>
        <v/>
      </c>
      <c r="Y182" s="128" t="str">
        <f ca="1">IF(Y181="","",SUMPRODUCT(--(Leverancer!$C$28:$C$88=($G182+2)),Leverancer!I$28:I$88)/1000)</f>
        <v/>
      </c>
      <c r="Z182" s="128" t="str">
        <f ca="1">IF(Z181="","",SUMPRODUCT(--(Leverancer!$C$28:$C$88=($G182+2)),Leverancer!J$28:J$88)/1000)</f>
        <v/>
      </c>
      <c r="AA182" s="128" t="str">
        <f ca="1">IF(AA181="","",SUMPRODUCT(--(Leverancer!$C$28:$C$88=($G182+2)),Leverancer!K$28:K$88)/1000)</f>
        <v/>
      </c>
      <c r="AB182" s="128" t="str">
        <f ca="1">IF(AB181="","",SUMPRODUCT(--(Leverancer!$C$28:$C$88=($G182+2)),Leverancer!L$28:L$88)/1000)</f>
        <v/>
      </c>
      <c r="AC182" s="128" t="str">
        <f ca="1">IF(AC181="","",SUMPRODUCT(--(Leverancer!$C$28:$C$88=($G182+2)),Leverancer!M$28:M$88)/1000)</f>
        <v/>
      </c>
      <c r="AD182" s="128" t="str">
        <f ca="1">IF(AD181="","",SUMPRODUCT(--(Leverancer!$C$28:$C$88=($G182+2)),Leverancer!N$28:N$88)/1000)</f>
        <v/>
      </c>
      <c r="AE182" s="128" t="str">
        <f ca="1">IF(AE181="","",SUMPRODUCT(--(Leverancer!$C$28:$C$88=($G182+2)),Leverancer!O$28:O$88)/1000)</f>
        <v/>
      </c>
      <c r="AF182" s="128" t="str">
        <f ca="1">IF(AF181="","",SUMPRODUCT(--(Leverancer!$C$28:$C$88=($G182+2)),Leverancer!P$28:P$88)/1000)</f>
        <v/>
      </c>
      <c r="AG182" s="128" t="str">
        <f ca="1">IF(AG181="","",SUMPRODUCT(--(Leverancer!$C$28:$C$88=($G182+2)),Leverancer!Q$28:Q$88)/1000)</f>
        <v/>
      </c>
      <c r="AH182" s="128" t="str">
        <f ca="1">IF(AH181="","",SUMPRODUCT(--(Leverancer!$C$28:$C$88=($G182+2)),Leverancer!R$28:R$88)/1000)</f>
        <v/>
      </c>
      <c r="AI182" s="128" t="str">
        <f ca="1">IF(AI181="","",SUMPRODUCT(--(Leverancer!$C$28:$C$88=($G182+2)),Leverancer!S$28:S$88)/1000)</f>
        <v/>
      </c>
      <c r="AJ182" s="128" t="str">
        <f ca="1">IF(AJ181="","",SUMPRODUCT(--(Leverancer!$C$28:$C$88=($G182+2)),Leverancer!T$28:T$88)/1000)</f>
        <v/>
      </c>
      <c r="AK182" s="128" t="str">
        <f ca="1">IF(AK181="","",SUMPRODUCT(--(Leverancer!$C$28:$C$88=($G182+2)),Leverancer!U$28:U$88)/1000)</f>
        <v/>
      </c>
      <c r="AL182" s="128" t="str">
        <f ca="1">IF(AL181="","",SUMPRODUCT(--(Leverancer!$C$28:$C$88=($G182+2)),Leverancer!V$28:V$88)/1000)</f>
        <v/>
      </c>
      <c r="AM182" s="128" t="str">
        <f ca="1">IF(AM181="","",SUMPRODUCT(--(Leverancer!$C$28:$C$88=($G182+2)),Leverancer!W$28:W$88)/1000)</f>
        <v/>
      </c>
      <c r="AN182" s="128" t="str">
        <f ca="1">IF(AN181="","",SUMPRODUCT(--(Leverancer!$C$28:$C$88=($G182+2)),Leverancer!X$28:X$88)/1000)</f>
        <v/>
      </c>
      <c r="AO182" s="128" t="str">
        <f ca="1">IF(AO181="","",SUMPRODUCT(--(Leverancer!$C$28:$C$88=($G182+2)),Leverancer!Y$28:Y$88)/1000)</f>
        <v/>
      </c>
      <c r="AP182" s="128" t="str">
        <f ca="1">IF(AP181="","",SUMPRODUCT(--(Leverancer!$C$28:$C$88=($G182+2)),Leverancer!Z$28:Z$88)/1000)</f>
        <v/>
      </c>
      <c r="AQ182" s="128" t="str">
        <f ca="1">IF(AQ181="","",SUMPRODUCT(--(Leverancer!$C$28:$C$88=($G182+2)),Leverancer!AA$28:AA$88)/1000)</f>
        <v/>
      </c>
      <c r="AR182" s="128" t="str">
        <f ca="1">IF(AR181="","",SUMPRODUCT(--(Leverancer!$C$28:$C$88=($G182+2)),Leverancer!AB$28:AB$88)/1000)</f>
        <v/>
      </c>
      <c r="AS182" s="128" t="str">
        <f ca="1">IF(AS181="","",SUMPRODUCT(--(Leverancer!$C$28:$C$88=($G182+2)),Leverancer!AC$28:AC$88)/1000)</f>
        <v/>
      </c>
      <c r="AT182" s="128" t="str">
        <f ca="1">IF(AT181="","",SUMPRODUCT(--(Leverancer!$C$28:$C$88=($G182+2)),Leverancer!AD$28:AD$88)/1000)</f>
        <v/>
      </c>
      <c r="AU182" s="128" t="str">
        <f ca="1">IF(AU181="","",SUMPRODUCT(--(Leverancer!$C$28:$C$88=($G182+2)),Leverancer!AE$28:AE$88)/1000)</f>
        <v/>
      </c>
      <c r="AV182" s="128" t="str">
        <f ca="1">IF(AV181="","",SUMPRODUCT(--(Leverancer!$C$28:$C$88=($G182+2)),Leverancer!AF$28:AF$88)/1000)</f>
        <v/>
      </c>
      <c r="AW182" s="128" t="str">
        <f ca="1">IF(AW181="","",SUMPRODUCT(--(Leverancer!$C$28:$C$88=($G182+2)),Leverancer!AG$28:AG$88)/1000)</f>
        <v/>
      </c>
      <c r="AX182" s="104"/>
      <c r="AY182" s="104"/>
      <c r="AZ182" s="101"/>
    </row>
    <row r="183" spans="3:52" ht="12.75" hidden="1" customHeight="1" outlineLevel="1" x14ac:dyDescent="0.25">
      <c r="C183" s="142">
        <f>IFERROR(YEAR(C182),"")</f>
        <v>1900</v>
      </c>
      <c r="D183" s="142">
        <f>IFERROR(MONTH(C182),"")</f>
        <v>1</v>
      </c>
      <c r="E183" s="142">
        <f>INDEX(g_sc_1_assets_years,G182)</f>
        <v>0</v>
      </c>
      <c r="N183" s="99"/>
      <c r="O183" s="104"/>
      <c r="P183" s="104"/>
      <c r="Q183" s="129" t="str">
        <f>INDEX(g_lang_val,MATCH("tb_2_4_2",g_lang_key,0))</f>
        <v>Afskrivninger</v>
      </c>
      <c r="R183" s="130"/>
      <c r="S183" s="133">
        <f ca="1">SUM(T183:BG183)</f>
        <v>0</v>
      </c>
      <c r="T183" s="128">
        <f t="shared" ref="T183" ca="1" si="549">IF(T181="","",IF(T181&lt;$C183,0,IF(T181=$C183,T182/$C184*$E184+S184/$C184*$E184,IF(AND(T181&gt;$C183,T181&lt;ROUNDDOWN(($C183+($D183+$C184-1)/12),0)),(T182/2+S184)/($C184-$E184-12*(T181-$C183-1))*12,IF(AND($D184&lt;0,T181=ROUNDDOWN(($C183+($D183+$C184-1)/12),0)),S184+T182,IF(T181=ROUNDDOWN(($C183+($D183+$C184-1)/12),0),(T182+S184)/$C184*($D184+(T181-$C183-1)*12+$E184),IF(T181&gt;ROUNDDOWN(($C183+($D183+$C184)/12),0),0,0)))))))</f>
        <v>0</v>
      </c>
      <c r="U183" s="128">
        <f t="shared" ref="U183" ca="1" si="550">IF(U181="","",IF(U181&lt;$C183,0,IF(U181=$C183,U182/$C184*$E184+T184/$C184*$E184,IF(AND(U181&gt;$C183,U181&lt;ROUNDDOWN(($C183+($D183+$C184-1)/12),0)),(U182/2+T184)/($C184-$E184-12*(U181-$C183-1))*12,IF(AND($D184&lt;0,U181=ROUNDDOWN(($C183+($D183+$C184-1)/12),0)),T184+U182,IF(U181=ROUNDDOWN(($C183+($D183+$C184-1)/12),0),(U182+T184)/$C184*($D184+(U181-$C183-1)*12+$E184),IF(U181&gt;ROUNDDOWN(($C183+($D183+$C184)/12),0),0,0)))))))</f>
        <v>0</v>
      </c>
      <c r="V183" s="128">
        <f t="shared" ref="V183" ca="1" si="551">IF(V181="","",IF(V181&lt;$C183,0,IF(V181=$C183,V182/$C184*$E184+U184/$C184*$E184,IF(AND(V181&gt;$C183,V181&lt;ROUNDDOWN(($C183+($D183+$C184-1)/12),0)),(V182/2+U184)/($C184-$E184-12*(V181-$C183-1))*12,IF(AND($D184&lt;0,V181=ROUNDDOWN(($C183+($D183+$C184-1)/12),0)),U184+V182,IF(V181=ROUNDDOWN(($C183+($D183+$C184-1)/12),0),(V182+U184)/$C184*($D184+(V181-$C183-1)*12+$E184),IF(V181&gt;ROUNDDOWN(($C183+($D183+$C184)/12),0),0,0)))))))</f>
        <v>0</v>
      </c>
      <c r="W183" s="128">
        <f t="shared" ref="W183" ca="1" si="552">IF(W181="","",IF(W181&lt;$C183,0,IF(W181=$C183,W182/$C184*$E184+V184/$C184*$E184,IF(AND(W181&gt;$C183,W181&lt;ROUNDDOWN(($C183+($D183+$C184-1)/12),0)),(W182/2+V184)/($C184-$E184-12*(W181-$C183-1))*12,IF(AND($D184&lt;0,W181=ROUNDDOWN(($C183+($D183+$C184-1)/12),0)),V184+W182,IF(W181=ROUNDDOWN(($C183+($D183+$C184-1)/12),0),(W182+V184)/$C184*($D184+(W181-$C183-1)*12+$E184),IF(W181&gt;ROUNDDOWN(($C183+($D183+$C184)/12),0),0,0)))))))</f>
        <v>0</v>
      </c>
      <c r="X183" s="128" t="str">
        <f t="shared" ref="X183" ca="1" si="553">IF(X181="","",IF(X181&lt;$C183,0,IF(X181=$C183,X182/$C184*$E184+W184/$C184*$E184,IF(AND(X181&gt;$C183,X181&lt;ROUNDDOWN(($C183+($D183+$C184-1)/12),0)),(X182/2+W184)/($C184-$E184-12*(X181-$C183-1))*12,IF(AND($D184&lt;0,X181=ROUNDDOWN(($C183+($D183+$C184-1)/12),0)),W184+X182,IF(X181=ROUNDDOWN(($C183+($D183+$C184-1)/12),0),(X182+W184)/$C184*($D184+(X181-$C183-1)*12+$E184),IF(X181&gt;ROUNDDOWN(($C183+($D183+$C184)/12),0),0,0)))))))</f>
        <v/>
      </c>
      <c r="Y183" s="128" t="str">
        <f ca="1">IF(Y181="","",IF(Y181&lt;$C183,0,IF(Y181=$C183,Y182/$C184*$E184+X184/$C184*$E184,IF(AND(Y181&gt;$C183,Y181&lt;ROUNDDOWN(($C183+($D183+$C184-1)/12),0)),(Y182/2+X184)/($C184-$E184-12*(Y181-$C183-1))*12,IF(AND($D184&lt;0,Y181=ROUNDDOWN(($C183+($D183+$C184-1)/12),0)),X184+Y182,IF(Y181=ROUNDDOWN(($C183+($D183+$C184-1)/12),0),(Y182+X184)/$C184*($D184+(Y181-$C183-1)*12+$E184),IF(Y181&gt;ROUNDDOWN(($C183+($D183+$C184)/12),0),0,0)))))))</f>
        <v/>
      </c>
      <c r="Z183" s="128" t="str">
        <f ca="1">IF(Z181="","",IF(Z181&lt;$C183,0,IF(Z181=$C183,Z182/$C184*$E184+Y184/$C184*$E184,IF(AND(Z181&gt;$C183,Z181&lt;ROUNDDOWN(($C183+($D183+$C184-1)/12),0)),(Z182/2+Y184)/($C184-$E184-12*(Z181-$C183-1))*12,IF(AND($D184&lt;0,Z181=ROUNDDOWN(($C183+($D183+$C184-1)/12),0)),Y184+Z182,IF(Z181=ROUNDDOWN(($C183+($D183+$C184-1)/12),0),(Z182+Y184)/$C184*($D184+(Z181-$C183-1)*12+$E184),IF(Z181&gt;ROUNDDOWN(($C183+($D183+$C184)/12),0),0,0)))))))</f>
        <v/>
      </c>
      <c r="AA183" s="128" t="str">
        <f t="shared" ref="AA183" ca="1" si="554">IF(AA181="","",IF(AA181&lt;$C183,0,IF(AA181=$C183,AA182/$C184*$E184+Z184/$C184*$E184,IF(AND(AA181&gt;$C183,AA181&lt;ROUNDDOWN(($C183+($D183+$C184-1)/12),0)),(AA182/2+Z184)/($C184-$E184-12*(AA181-$C183-1))*12,IF(AND($D184&lt;0,AA181=ROUNDDOWN(($C183+($D183+$C184-1)/12),0)),Z184+AA182,IF(AA181=ROUNDDOWN(($C183+($D183+$C184-1)/12),0),(AA182+Z184)/$C184*($D184+(AA181-$C183-1)*12+$E184),IF(AA181&gt;ROUNDDOWN(($C183+($D183+$C184)/12),0),0,0)))))))</f>
        <v/>
      </c>
      <c r="AB183" s="128" t="str">
        <f t="shared" ref="AB183" ca="1" si="555">IF(AB181="","",IF(AB181&lt;$C183,0,IF(AB181=$C183,AB182/$C184*$E184+AA184/$C184*$E184,IF(AND(AB181&gt;$C183,AB181&lt;ROUNDDOWN(($C183+($D183+$C184-1)/12),0)),(AB182/2+AA184)/($C184-$E184-12*(AB181-$C183-1))*12,IF(AND($D184&lt;0,AB181=ROUNDDOWN(($C183+($D183+$C184-1)/12),0)),AA184+AB182,IF(AB181=ROUNDDOWN(($C183+($D183+$C184-1)/12),0),(AB182+AA184)/$C184*($D184+(AB181-$C183-1)*12+$E184),IF(AB181&gt;ROUNDDOWN(($C183+($D183+$C184)/12),0),0,0)))))))</f>
        <v/>
      </c>
      <c r="AC183" s="128" t="str">
        <f t="shared" ref="AC183" ca="1" si="556">IF(AC181="","",IF(AC181&lt;$C183,0,IF(AC181=$C183,AC182/$C184*$E184+AB184/$C184*$E184,IF(AND(AC181&gt;$C183,AC181&lt;ROUNDDOWN(($C183+($D183+$C184-1)/12),0)),(AC182/2+AB184)/($C184-$E184-12*(AC181-$C183-1))*12,IF(AND($D184&lt;0,AC181=ROUNDDOWN(($C183+($D183+$C184-1)/12),0)),AB184+AC182,IF(AC181=ROUNDDOWN(($C183+($D183+$C184-1)/12),0),(AC182+AB184)/$C184*($D184+(AC181-$C183-1)*12+$E184),IF(AC181&gt;ROUNDDOWN(($C183+($D183+$C184)/12),0),0,0)))))))</f>
        <v/>
      </c>
      <c r="AD183" s="128" t="str">
        <f t="shared" ref="AD183" ca="1" si="557">IF(AD181="","",IF(AD181&lt;$C183,0,IF(AD181=$C183,AD182/$C184*$E184+AC184/$C184*$E184,IF(AND(AD181&gt;$C183,AD181&lt;ROUNDDOWN(($C183+($D183+$C184-1)/12),0)),(AD182/2+AC184)/($C184-$E184-12*(AD181-$C183-1))*12,IF(AND($D184&lt;0,AD181=ROUNDDOWN(($C183+($D183+$C184-1)/12),0)),AC184+AD182,IF(AD181=ROUNDDOWN(($C183+($D183+$C184-1)/12),0),(AD182+AC184)/$C184*($D184+(AD181-$C183-1)*12+$E184),IF(AD181&gt;ROUNDDOWN(($C183+($D183+$C184)/12),0),0,0)))))))</f>
        <v/>
      </c>
      <c r="AE183" s="128" t="str">
        <f t="shared" ref="AE183" ca="1" si="558">IF(AE181="","",IF(AE181&lt;$C183,0,IF(AE181=$C183,AE182/$C184*$E184+AD184/$C184*$E184,IF(AND(AE181&gt;$C183,AE181&lt;ROUNDDOWN(($C183+($D183+$C184-1)/12),0)),(AE182/2+AD184)/($C184-$E184-12*(AE181-$C183-1))*12,IF(AND($D184&lt;0,AE181=ROUNDDOWN(($C183+($D183+$C184-1)/12),0)),AD184+AE182,IF(AE181=ROUNDDOWN(($C183+($D183+$C184-1)/12),0),(AE182+AD184)/$C184*($D184+(AE181-$C183-1)*12+$E184),IF(AE181&gt;ROUNDDOWN(($C183+($D183+$C184)/12),0),0,0)))))))</f>
        <v/>
      </c>
      <c r="AF183" s="128" t="str">
        <f t="shared" ref="AF183" ca="1" si="559">IF(AF181="","",IF(AF181&lt;$C183,0,IF(AF181=$C183,AF182/$C184*$E184+AE184/$C184*$E184,IF(AND(AF181&gt;$C183,AF181&lt;ROUNDDOWN(($C183+($D183+$C184-1)/12),0)),(AF182/2+AE184)/($C184-$E184-12*(AF181-$C183-1))*12,IF(AND($D184&lt;0,AF181=ROUNDDOWN(($C183+($D183+$C184-1)/12),0)),AE184+AF182,IF(AF181=ROUNDDOWN(($C183+($D183+$C184-1)/12),0),(AF182+AE184)/$C184*($D184+(AF181-$C183-1)*12+$E184),IF(AF181&gt;ROUNDDOWN(($C183+($D183+$C184)/12),0),0,0)))))))</f>
        <v/>
      </c>
      <c r="AG183" s="128" t="str">
        <f t="shared" ref="AG183" ca="1" si="560">IF(AG181="","",IF(AG181&lt;$C183,0,IF(AG181=$C183,AG182/$C184*$E184+AF184/$C184*$E184,IF(AND(AG181&gt;$C183,AG181&lt;ROUNDDOWN(($C183+($D183+$C184-1)/12),0)),(AG182/2+AF184)/($C184-$E184-12*(AG181-$C183-1))*12,IF(AND($D184&lt;0,AG181=ROUNDDOWN(($C183+($D183+$C184-1)/12),0)),AF184+AG182,IF(AG181=ROUNDDOWN(($C183+($D183+$C184-1)/12),0),(AG182+AF184)/$C184*($D184+(AG181-$C183-1)*12+$E184),IF(AG181&gt;ROUNDDOWN(($C183+($D183+$C184)/12),0),0,0)))))))</f>
        <v/>
      </c>
      <c r="AH183" s="128" t="str">
        <f t="shared" ref="AH183" ca="1" si="561">IF(AH181="","",IF(AH181&lt;$C183,0,IF(AH181=$C183,AH182/$C184*$E184+AG184/$C184*$E184,IF(AND(AH181&gt;$C183,AH181&lt;ROUNDDOWN(($C183+($D183+$C184-1)/12),0)),(AH182/2+AG184)/($C184-$E184-12*(AH181-$C183-1))*12,IF(AND($D184&lt;0,AH181=ROUNDDOWN(($C183+($D183+$C184-1)/12),0)),AG184+AH182,IF(AH181=ROUNDDOWN(($C183+($D183+$C184-1)/12),0),(AH182+AG184)/$C184*($D184+(AH181-$C183-1)*12+$E184),IF(AH181&gt;ROUNDDOWN(($C183+($D183+$C184)/12),0),0,0)))))))</f>
        <v/>
      </c>
      <c r="AI183" s="128" t="str">
        <f t="shared" ref="AI183" ca="1" si="562">IF(AI181="","",IF(AI181&lt;$C183,0,IF(AI181=$C183,AI182/$C184*$E184+AH184/$C184*$E184,IF(AND(AI181&gt;$C183,AI181&lt;ROUNDDOWN(($C183+($D183+$C184-1)/12),0)),(AI182/2+AH184)/($C184-$E184-12*(AI181-$C183-1))*12,IF(AND($D184&lt;0,AI181=ROUNDDOWN(($C183+($D183+$C184-1)/12),0)),AH184+AI182,IF(AI181=ROUNDDOWN(($C183+($D183+$C184-1)/12),0),(AI182+AH184)/$C184*($D184+(AI181-$C183-1)*12+$E184),IF(AI181&gt;ROUNDDOWN(($C183+($D183+$C184)/12),0),0,0)))))))</f>
        <v/>
      </c>
      <c r="AJ183" s="128" t="str">
        <f t="shared" ref="AJ183" ca="1" si="563">IF(AJ181="","",IF(AJ181&lt;$C183,0,IF(AJ181=$C183,AJ182/$C184*$E184+AI184/$C184*$E184,IF(AND(AJ181&gt;$C183,AJ181&lt;ROUNDDOWN(($C183+($D183+$C184-1)/12),0)),(AJ182/2+AI184)/($C184-$E184-12*(AJ181-$C183-1))*12,IF(AND($D184&lt;0,AJ181=ROUNDDOWN(($C183+($D183+$C184-1)/12),0)),AI184+AJ182,IF(AJ181=ROUNDDOWN(($C183+($D183+$C184-1)/12),0),(AJ182+AI184)/$C184*($D184+(AJ181-$C183-1)*12+$E184),IF(AJ181&gt;ROUNDDOWN(($C183+($D183+$C184)/12),0),0,0)))))))</f>
        <v/>
      </c>
      <c r="AK183" s="128" t="str">
        <f t="shared" ref="AK183" ca="1" si="564">IF(AK181="","",IF(AK181&lt;$C183,0,IF(AK181=$C183,AK182/$C184*$E184+AJ184/$C184*$E184,IF(AND(AK181&gt;$C183,AK181&lt;ROUNDDOWN(($C183+($D183+$C184-1)/12),0)),(AK182/2+AJ184)/($C184-$E184-12*(AK181-$C183-1))*12,IF(AND($D184&lt;0,AK181=ROUNDDOWN(($C183+($D183+$C184-1)/12),0)),AJ184+AK182,IF(AK181=ROUNDDOWN(($C183+($D183+$C184-1)/12),0),(AK182+AJ184)/$C184*($D184+(AK181-$C183-1)*12+$E184),IF(AK181&gt;ROUNDDOWN(($C183+($D183+$C184)/12),0),0,0)))))))</f>
        <v/>
      </c>
      <c r="AL183" s="128" t="str">
        <f t="shared" ref="AL183" ca="1" si="565">IF(AL181="","",IF(AL181&lt;$C183,0,IF(AL181=$C183,AL182/$C184*$E184+AK184/$C184*$E184,IF(AND(AL181&gt;$C183,AL181&lt;ROUNDDOWN(($C183+($D183+$C184-1)/12),0)),(AL182/2+AK184)/($C184-$E184-12*(AL181-$C183-1))*12,IF(AND($D184&lt;0,AL181=ROUNDDOWN(($C183+($D183+$C184-1)/12),0)),AK184+AL182,IF(AL181=ROUNDDOWN(($C183+($D183+$C184-1)/12),0),(AL182+AK184)/$C184*($D184+(AL181-$C183-1)*12+$E184),IF(AL181&gt;ROUNDDOWN(($C183+($D183+$C184)/12),0),0,0)))))))</f>
        <v/>
      </c>
      <c r="AM183" s="128" t="str">
        <f t="shared" ref="AM183" ca="1" si="566">IF(AM181="","",IF(AM181&lt;$C183,0,IF(AM181=$C183,AM182/$C184*$E184+AL184/$C184*$E184,IF(AND(AM181&gt;$C183,AM181&lt;ROUNDDOWN(($C183+($D183+$C184-1)/12),0)),(AM182/2+AL184)/($C184-$E184-12*(AM181-$C183-1))*12,IF(AND($D184&lt;0,AM181=ROUNDDOWN(($C183+($D183+$C184-1)/12),0)),AL184+AM182,IF(AM181=ROUNDDOWN(($C183+($D183+$C184-1)/12),0),(AM182+AL184)/$C184*($D184+(AM181-$C183-1)*12+$E184),IF(AM181&gt;ROUNDDOWN(($C183+($D183+$C184)/12),0),0,0)))))))</f>
        <v/>
      </c>
      <c r="AN183" s="128" t="str">
        <f t="shared" ref="AN183" ca="1" si="567">IF(AN181="","",IF(AN181&lt;$C183,0,IF(AN181=$C183,AN182/$C184*$E184+AM184/$C184*$E184,IF(AND(AN181&gt;$C183,AN181&lt;ROUNDDOWN(($C183+($D183+$C184-1)/12),0)),(AN182/2+AM184)/($C184-$E184-12*(AN181-$C183-1))*12,IF(AND($D184&lt;0,AN181=ROUNDDOWN(($C183+($D183+$C184-1)/12),0)),AM184+AN182,IF(AN181=ROUNDDOWN(($C183+($D183+$C184-1)/12),0),(AN182+AM184)/$C184*($D184+(AN181-$C183-1)*12+$E184),IF(AN181&gt;ROUNDDOWN(($C183+($D183+$C184)/12),0),0,0)))))))</f>
        <v/>
      </c>
      <c r="AO183" s="128" t="str">
        <f t="shared" ref="AO183" ca="1" si="568">IF(AO181="","",IF(AO181&lt;$C183,0,IF(AO181=$C183,AO182/$C184*$E184+AN184/$C184*$E184,IF(AND(AO181&gt;$C183,AO181&lt;ROUNDDOWN(($C183+($D183+$C184-1)/12),0)),(AO182/2+AN184)/($C184-$E184-12*(AO181-$C183-1))*12,IF(AND($D184&lt;0,AO181=ROUNDDOWN(($C183+($D183+$C184-1)/12),0)),AN184+AO182,IF(AO181=ROUNDDOWN(($C183+($D183+$C184-1)/12),0),(AO182+AN184)/$C184*($D184+(AO181-$C183-1)*12+$E184),IF(AO181&gt;ROUNDDOWN(($C183+($D183+$C184)/12),0),0,0)))))))</f>
        <v/>
      </c>
      <c r="AP183" s="128" t="str">
        <f t="shared" ref="AP183" ca="1" si="569">IF(AP181="","",IF(AP181&lt;$C183,0,IF(AP181=$C183,AP182/$C184*$E184+AO184/$C184*$E184,IF(AND(AP181&gt;$C183,AP181&lt;ROUNDDOWN(($C183+($D183+$C184-1)/12),0)),(AP182/2+AO184)/($C184-$E184-12*(AP181-$C183-1))*12,IF(AND($D184&lt;0,AP181=ROUNDDOWN(($C183+($D183+$C184-1)/12),0)),AO184+AP182,IF(AP181=ROUNDDOWN(($C183+($D183+$C184-1)/12),0),(AP182+AO184)/$C184*($D184+(AP181-$C183-1)*12+$E184),IF(AP181&gt;ROUNDDOWN(($C183+($D183+$C184)/12),0),0,0)))))))</f>
        <v/>
      </c>
      <c r="AQ183" s="128" t="str">
        <f t="shared" ref="AQ183" ca="1" si="570">IF(AQ181="","",IF(AQ181&lt;$C183,0,IF(AQ181=$C183,AQ182/$C184*$E184+AP184/$C184*$E184,IF(AND(AQ181&gt;$C183,AQ181&lt;ROUNDDOWN(($C183+($D183+$C184-1)/12),0)),(AQ182/2+AP184)/($C184-$E184-12*(AQ181-$C183-1))*12,IF(AND($D184&lt;0,AQ181=ROUNDDOWN(($C183+($D183+$C184-1)/12),0)),AP184+AQ182,IF(AQ181=ROUNDDOWN(($C183+($D183+$C184-1)/12),0),(AQ182+AP184)/$C184*($D184+(AQ181-$C183-1)*12+$E184),IF(AQ181&gt;ROUNDDOWN(($C183+($D183+$C184)/12),0),0,0)))))))</f>
        <v/>
      </c>
      <c r="AR183" s="128" t="str">
        <f t="shared" ref="AR183" ca="1" si="571">IF(AR181="","",IF(AR181&lt;$C183,0,IF(AR181=$C183,AR182/$C184*$E184+AQ184/$C184*$E184,IF(AND(AR181&gt;$C183,AR181&lt;ROUNDDOWN(($C183+($D183+$C184-1)/12),0)),(AR182/2+AQ184)/($C184-$E184-12*(AR181-$C183-1))*12,IF(AND($D184&lt;0,AR181=ROUNDDOWN(($C183+($D183+$C184-1)/12),0)),AQ184+AR182,IF(AR181=ROUNDDOWN(($C183+($D183+$C184-1)/12),0),(AR182+AQ184)/$C184*($D184+(AR181-$C183-1)*12+$E184),IF(AR181&gt;ROUNDDOWN(($C183+($D183+$C184)/12),0),0,0)))))))</f>
        <v/>
      </c>
      <c r="AS183" s="128" t="str">
        <f t="shared" ref="AS183" ca="1" si="572">IF(AS181="","",IF(AS181&lt;$C183,0,IF(AS181=$C183,AS182/$C184*$E184+AR184/$C184*$E184,IF(AND(AS181&gt;$C183,AS181&lt;ROUNDDOWN(($C183+($D183+$C184-1)/12),0)),(AS182/2+AR184)/($C184-$E184-12*(AS181-$C183-1))*12,IF(AND($D184&lt;0,AS181=ROUNDDOWN(($C183+($D183+$C184-1)/12),0)),AR184+AS182,IF(AS181=ROUNDDOWN(($C183+($D183+$C184-1)/12),0),(AS182+AR184)/$C184*($D184+(AS181-$C183-1)*12+$E184),IF(AS181&gt;ROUNDDOWN(($C183+($D183+$C184)/12),0),0,0)))))))</f>
        <v/>
      </c>
      <c r="AT183" s="128" t="str">
        <f t="shared" ref="AT183" ca="1" si="573">IF(AT181="","",IF(AT181&lt;$C183,0,IF(AT181=$C183,AT182/$C184*$E184+AS184/$C184*$E184,IF(AND(AT181&gt;$C183,AT181&lt;ROUNDDOWN(($C183+($D183+$C184-1)/12),0)),(AT182/2+AS184)/($C184-$E184-12*(AT181-$C183-1))*12,IF(AND($D184&lt;0,AT181=ROUNDDOWN(($C183+($D183+$C184-1)/12),0)),AS184+AT182,IF(AT181=ROUNDDOWN(($C183+($D183+$C184-1)/12),0),(AT182+AS184)/$C184*($D184+(AT181-$C183-1)*12+$E184),IF(AT181&gt;ROUNDDOWN(($C183+($D183+$C184)/12),0),0,0)))))))</f>
        <v/>
      </c>
      <c r="AU183" s="128" t="str">
        <f t="shared" ref="AU183" ca="1" si="574">IF(AU181="","",IF(AU181&lt;$C183,0,IF(AU181=$C183,AU182/$C184*$E184+AT184/$C184*$E184,IF(AND(AU181&gt;$C183,AU181&lt;ROUNDDOWN(($C183+($D183+$C184-1)/12),0)),(AU182/2+AT184)/($C184-$E184-12*(AU181-$C183-1))*12,IF(AND($D184&lt;0,AU181=ROUNDDOWN(($C183+($D183+$C184-1)/12),0)),AT184+AU182,IF(AU181=ROUNDDOWN(($C183+($D183+$C184-1)/12),0),(AU182+AT184)/$C184*($D184+(AU181-$C183-1)*12+$E184),IF(AU181&gt;ROUNDDOWN(($C183+($D183+$C184)/12),0),0,0)))))))</f>
        <v/>
      </c>
      <c r="AV183" s="128" t="str">
        <f t="shared" ref="AV183" ca="1" si="575">IF(AV181="","",IF(AV181&lt;$C183,0,IF(AV181=$C183,AV182/$C184*$E184+AU184/$C184*$E184,IF(AND(AV181&gt;$C183,AV181&lt;ROUNDDOWN(($C183+($D183+$C184-1)/12),0)),(AV182/2+AU184)/($C184-$E184-12*(AV181-$C183-1))*12,IF(AND($D184&lt;0,AV181=ROUNDDOWN(($C183+($D183+$C184-1)/12),0)),AU184+AV182,IF(AV181=ROUNDDOWN(($C183+($D183+$C184-1)/12),0),(AV182+AU184)/$C184*($D184+(AV181-$C183-1)*12+$E184),IF(AV181&gt;ROUNDDOWN(($C183+($D183+$C184)/12),0),0,0)))))))</f>
        <v/>
      </c>
      <c r="AW183" s="128" t="str">
        <f t="shared" ref="AW183" ca="1" si="576">IF(AW181="","",IF(AW181&lt;$C183,0,IF(AW181=$C183,AW182/$C184*$E184+AV184/$C184*$E184,IF(AND(AW181&gt;$C183,AW181&lt;ROUNDDOWN(($C183+($D183+$C184-1)/12),0)),(AW182/2+AV184)/($C184-$E184-12*(AW181-$C183-1))*12,IF(AND($D184&lt;0,AW181=ROUNDDOWN(($C183+($D183+$C184-1)/12),0)),AV184+AW182,IF(AW181=ROUNDDOWN(($C183+($D183+$C184-1)/12),0),(AW182+AV184)/$C184*($D184+(AW181-$C183-1)*12+$E184),IF(AW181&gt;ROUNDDOWN(($C183+($D183+$C184)/12),0),0,0)))))))</f>
        <v/>
      </c>
      <c r="AX183" s="104"/>
      <c r="AY183" s="104"/>
      <c r="AZ183" s="101"/>
    </row>
    <row r="184" spans="3:52" ht="12.75" hidden="1" customHeight="1" outlineLevel="1" x14ac:dyDescent="0.25">
      <c r="C184" s="142">
        <f>ROUNDUP((E183-ROUNDDOWN(E183,0))*12,0)+ROUNDDOWN(E183,0)*12</f>
        <v>0</v>
      </c>
      <c r="D184" s="142">
        <f>C184-E184-ROUNDDOWN(E183,0)*12</f>
        <v>-12</v>
      </c>
      <c r="E184" s="142">
        <f>13-MONTH(C182)</f>
        <v>12</v>
      </c>
      <c r="N184" s="99"/>
      <c r="O184" s="104"/>
      <c r="P184" s="104"/>
      <c r="Q184" s="129" t="str">
        <f>INDEX(g_lang_val,MATCH("tb_2_4_3",g_lang_key,0))</f>
        <v>FF4-gæld, ultimo året</v>
      </c>
      <c r="R184" s="130"/>
      <c r="S184" s="133"/>
      <c r="T184" s="128">
        <f t="shared" ref="T184" ca="1" si="577">IF(T181="","",S184+T182-T183)</f>
        <v>0</v>
      </c>
      <c r="U184" s="128">
        <f t="shared" ref="U184" ca="1" si="578">IF(U181="","",T184+U182-U183)</f>
        <v>0</v>
      </c>
      <c r="V184" s="128">
        <f t="shared" ref="V184" ca="1" si="579">IF(V181="","",U184+V182-V183)</f>
        <v>0</v>
      </c>
      <c r="W184" s="128">
        <f t="shared" ref="W184" ca="1" si="580">IF(W181="","",V184+W182-W183)</f>
        <v>0</v>
      </c>
      <c r="X184" s="128" t="str">
        <f t="shared" ref="X184" ca="1" si="581">IF(X181="","",W184+X182-X183)</f>
        <v/>
      </c>
      <c r="Y184" s="128" t="str">
        <f t="shared" ref="Y184" ca="1" si="582">IF(Y181="","",X184+Y182-Y183)</f>
        <v/>
      </c>
      <c r="Z184" s="128" t="str">
        <f t="shared" ref="Z184" ca="1" si="583">IF(Z181="","",Y184+Z182-Z183)</f>
        <v/>
      </c>
      <c r="AA184" s="128" t="str">
        <f t="shared" ref="AA184" ca="1" si="584">IF(AA181="","",Z184+AA182-AA183)</f>
        <v/>
      </c>
      <c r="AB184" s="128" t="str">
        <f t="shared" ref="AB184" ca="1" si="585">IF(AB181="","",AA184+AB182-AB183)</f>
        <v/>
      </c>
      <c r="AC184" s="128" t="str">
        <f t="shared" ref="AC184" ca="1" si="586">IF(AC181="","",AB184+AC182-AC183)</f>
        <v/>
      </c>
      <c r="AD184" s="128" t="str">
        <f t="shared" ref="AD184" ca="1" si="587">IF(AD181="","",AC184+AD182-AD183)</f>
        <v/>
      </c>
      <c r="AE184" s="128" t="str">
        <f t="shared" ref="AE184" ca="1" si="588">IF(AE181="","",AD184+AE182-AE183)</f>
        <v/>
      </c>
      <c r="AF184" s="128" t="str">
        <f t="shared" ref="AF184" ca="1" si="589">IF(AF181="","",AE184+AF182-AF183)</f>
        <v/>
      </c>
      <c r="AG184" s="128" t="str">
        <f t="shared" ref="AG184" ca="1" si="590">IF(AG181="","",AF184+AG182-AG183)</f>
        <v/>
      </c>
      <c r="AH184" s="128" t="str">
        <f t="shared" ref="AH184" ca="1" si="591">IF(AH181="","",AG184+AH182-AH183)</f>
        <v/>
      </c>
      <c r="AI184" s="128" t="str">
        <f t="shared" ref="AI184" ca="1" si="592">IF(AI181="","",AH184+AI182-AI183)</f>
        <v/>
      </c>
      <c r="AJ184" s="128" t="str">
        <f t="shared" ref="AJ184" ca="1" si="593">IF(AJ181="","",AI184+AJ182-AJ183)</f>
        <v/>
      </c>
      <c r="AK184" s="128" t="str">
        <f t="shared" ref="AK184" ca="1" si="594">IF(AK181="","",AJ184+AK182-AK183)</f>
        <v/>
      </c>
      <c r="AL184" s="128" t="str">
        <f t="shared" ref="AL184" ca="1" si="595">IF(AL181="","",AK184+AL182-AL183)</f>
        <v/>
      </c>
      <c r="AM184" s="128" t="str">
        <f t="shared" ref="AM184" ca="1" si="596">IF(AM181="","",AL184+AM182-AM183)</f>
        <v/>
      </c>
      <c r="AN184" s="128" t="str">
        <f t="shared" ref="AN184" ca="1" si="597">IF(AN181="","",AM184+AN182-AN183)</f>
        <v/>
      </c>
      <c r="AO184" s="128" t="str">
        <f t="shared" ref="AO184" ca="1" si="598">IF(AO181="","",AN184+AO182-AO183)</f>
        <v/>
      </c>
      <c r="AP184" s="128" t="str">
        <f t="shared" ref="AP184" ca="1" si="599">IF(AP181="","",AO184+AP182-AP183)</f>
        <v/>
      </c>
      <c r="AQ184" s="128" t="str">
        <f t="shared" ref="AQ184" ca="1" si="600">IF(AQ181="","",AP184+AQ182-AQ183)</f>
        <v/>
      </c>
      <c r="AR184" s="128" t="str">
        <f t="shared" ref="AR184" ca="1" si="601">IF(AR181="","",AQ184+AR182-AR183)</f>
        <v/>
      </c>
      <c r="AS184" s="128" t="str">
        <f t="shared" ref="AS184" ca="1" si="602">IF(AS181="","",AR184+AS182-AS183)</f>
        <v/>
      </c>
      <c r="AT184" s="128" t="str">
        <f t="shared" ref="AT184" ca="1" si="603">IF(AT181="","",AS184+AT182-AT183)</f>
        <v/>
      </c>
      <c r="AU184" s="128" t="str">
        <f t="shared" ref="AU184" ca="1" si="604">IF(AU181="","",AT184+AU182-AU183)</f>
        <v/>
      </c>
      <c r="AV184" s="128" t="str">
        <f t="shared" ref="AV184" ca="1" si="605">IF(AV181="","",AU184+AV182-AV183)</f>
        <v/>
      </c>
      <c r="AW184" s="128" t="str">
        <f t="shared" ref="AW184" ca="1" si="606">IF(AW181="","",AV184+AW182-AW183)</f>
        <v/>
      </c>
      <c r="AX184" s="104"/>
      <c r="AY184" s="104"/>
      <c r="AZ184" s="101"/>
    </row>
    <row r="185" spans="3:52" ht="12.75" hidden="1" customHeight="1" outlineLevel="1" x14ac:dyDescent="0.25">
      <c r="N185" s="99"/>
      <c r="O185" s="104"/>
      <c r="P185" s="104"/>
      <c r="Q185" s="129" t="str">
        <f>INDEX(g_lang_val,MATCH("tb_2_4_4",g_lang_key,0))</f>
        <v>Renter (FF4)</v>
      </c>
      <c r="R185" s="130"/>
      <c r="S185" s="133">
        <f ca="1">SUM(T185:BG185)</f>
        <v>0</v>
      </c>
      <c r="T185" s="128">
        <f t="shared" ref="T185" ca="1" si="607">IF(T181="","",g_interest_FF4*(S184+(T182/2)-(T183/2)))</f>
        <v>0</v>
      </c>
      <c r="U185" s="128">
        <f t="shared" ref="U185" ca="1" si="608">IF(U181="","",g_interest_FF4*(T184+(U182/2)-(U183/2)))</f>
        <v>0</v>
      </c>
      <c r="V185" s="128">
        <f t="shared" ref="V185" ca="1" si="609">IF(V181="","",g_interest_FF4*(U184+(V182/2)-(V183/2)))</f>
        <v>0</v>
      </c>
      <c r="W185" s="128">
        <f t="shared" ref="W185" ca="1" si="610">IF(W181="","",g_interest_FF4*(V184+(W182/2)-(W183/2)))</f>
        <v>0</v>
      </c>
      <c r="X185" s="128" t="str">
        <f t="shared" ref="X185" ca="1" si="611">IF(X181="","",g_interest_FF4*(W184+(X182/2)-(X183/2)))</f>
        <v/>
      </c>
      <c r="Y185" s="128" t="str">
        <f t="shared" ref="Y185" ca="1" si="612">IF(Y181="","",g_interest_FF4*(X184+(Y182/2)-(Y183/2)))</f>
        <v/>
      </c>
      <c r="Z185" s="128" t="str">
        <f t="shared" ref="Z185" ca="1" si="613">IF(Z181="","",g_interest_FF4*(Y184+(Z182/2)-(Z183/2)))</f>
        <v/>
      </c>
      <c r="AA185" s="128" t="str">
        <f t="shared" ref="AA185" ca="1" si="614">IF(AA181="","",g_interest_FF4*(Z184+(AA182/2)-(AA183/2)))</f>
        <v/>
      </c>
      <c r="AB185" s="128" t="str">
        <f t="shared" ref="AB185" ca="1" si="615">IF(AB181="","",g_interest_FF4*(AA184+(AB182/2)-(AB183/2)))</f>
        <v/>
      </c>
      <c r="AC185" s="128" t="str">
        <f t="shared" ref="AC185" ca="1" si="616">IF(AC181="","",g_interest_FF4*(AB184+(AC182/2)-(AC183/2)))</f>
        <v/>
      </c>
      <c r="AD185" s="128" t="str">
        <f t="shared" ref="AD185" ca="1" si="617">IF(AD181="","",g_interest_FF4*(AC184+(AD182/2)-(AD183/2)))</f>
        <v/>
      </c>
      <c r="AE185" s="128" t="str">
        <f t="shared" ref="AE185" ca="1" si="618">IF(AE181="","",g_interest_FF4*(AD184+(AE182/2)-(AE183/2)))</f>
        <v/>
      </c>
      <c r="AF185" s="128" t="str">
        <f t="shared" ref="AF185" ca="1" si="619">IF(AF181="","",g_interest_FF4*(AE184+(AF182/2)-(AF183/2)))</f>
        <v/>
      </c>
      <c r="AG185" s="128" t="str">
        <f t="shared" ref="AG185" ca="1" si="620">IF(AG181="","",g_interest_FF4*(AF184+(AG182/2)-(AG183/2)))</f>
        <v/>
      </c>
      <c r="AH185" s="128" t="str">
        <f t="shared" ref="AH185" ca="1" si="621">IF(AH181="","",g_interest_FF4*(AG184+(AH182/2)-(AH183/2)))</f>
        <v/>
      </c>
      <c r="AI185" s="128" t="str">
        <f t="shared" ref="AI185" ca="1" si="622">IF(AI181="","",g_interest_FF4*(AH184+(AI182/2)-(AI183/2)))</f>
        <v/>
      </c>
      <c r="AJ185" s="128" t="str">
        <f t="shared" ref="AJ185" ca="1" si="623">IF(AJ181="","",g_interest_FF4*(AI184+(AJ182/2)-(AJ183/2)))</f>
        <v/>
      </c>
      <c r="AK185" s="128" t="str">
        <f t="shared" ref="AK185" ca="1" si="624">IF(AK181="","",g_interest_FF4*(AJ184+(AK182/2)-(AK183/2)))</f>
        <v/>
      </c>
      <c r="AL185" s="128" t="str">
        <f t="shared" ref="AL185" ca="1" si="625">IF(AL181="","",g_interest_FF4*(AK184+(AL182/2)-(AL183/2)))</f>
        <v/>
      </c>
      <c r="AM185" s="128" t="str">
        <f t="shared" ref="AM185" ca="1" si="626">IF(AM181="","",g_interest_FF4*(AL184+(AM182/2)-(AM183/2)))</f>
        <v/>
      </c>
      <c r="AN185" s="128" t="str">
        <f t="shared" ref="AN185" ca="1" si="627">IF(AN181="","",g_interest_FF4*(AM184+(AN182/2)-(AN183/2)))</f>
        <v/>
      </c>
      <c r="AO185" s="128" t="str">
        <f t="shared" ref="AO185" ca="1" si="628">IF(AO181="","",g_interest_FF4*(AN184+(AO182/2)-(AO183/2)))</f>
        <v/>
      </c>
      <c r="AP185" s="128" t="str">
        <f t="shared" ref="AP185" ca="1" si="629">IF(AP181="","",g_interest_FF4*(AO184+(AP182/2)-(AP183/2)))</f>
        <v/>
      </c>
      <c r="AQ185" s="128" t="str">
        <f t="shared" ref="AQ185" ca="1" si="630">IF(AQ181="","",g_interest_FF4*(AP184+(AQ182/2)-(AQ183/2)))</f>
        <v/>
      </c>
      <c r="AR185" s="128" t="str">
        <f t="shared" ref="AR185" ca="1" si="631">IF(AR181="","",g_interest_FF4*(AQ184+(AR182/2)-(AR183/2)))</f>
        <v/>
      </c>
      <c r="AS185" s="128" t="str">
        <f t="shared" ref="AS185" ca="1" si="632">IF(AS181="","",g_interest_FF4*(AR184+(AS182/2)-(AS183/2)))</f>
        <v/>
      </c>
      <c r="AT185" s="128" t="str">
        <f t="shared" ref="AT185" ca="1" si="633">IF(AT181="","",g_interest_FF4*(AS184+(AT182/2)-(AT183/2)))</f>
        <v/>
      </c>
      <c r="AU185" s="128" t="str">
        <f t="shared" ref="AU185" ca="1" si="634">IF(AU181="","",g_interest_FF4*(AT184+(AU182/2)-(AU183/2)))</f>
        <v/>
      </c>
      <c r="AV185" s="128" t="str">
        <f t="shared" ref="AV185" ca="1" si="635">IF(AV181="","",g_interest_FF4*(AU184+(AV182/2)-(AV183/2)))</f>
        <v/>
      </c>
      <c r="AW185" s="128" t="str">
        <f t="shared" ref="AW185" ca="1" si="636">IF(AW181="","",g_interest_FF4*(AV184+(AW182/2)-(AW183/2)))</f>
        <v/>
      </c>
      <c r="AX185" s="104"/>
      <c r="AY185" s="104"/>
      <c r="AZ185" s="101"/>
    </row>
    <row r="186" spans="3:52" ht="12.75" hidden="1" customHeight="1" outlineLevel="1" x14ac:dyDescent="0.25">
      <c r="N186" s="99"/>
      <c r="O186" s="104"/>
      <c r="P186" s="104"/>
      <c r="Q186" s="132" t="str">
        <f>INDEX(g_assets_sc_1,10)</f>
        <v/>
      </c>
      <c r="R186" s="132"/>
      <c r="S186" s="127"/>
      <c r="T186" s="139">
        <f ca="1">T$150</f>
        <v>2025</v>
      </c>
      <c r="U186" s="139">
        <f t="shared" ref="U186:AF186" ca="1" si="637">U$150</f>
        <v>2026</v>
      </c>
      <c r="V186" s="139">
        <f t="shared" ca="1" si="637"/>
        <v>2027</v>
      </c>
      <c r="W186" s="139">
        <f t="shared" ca="1" si="637"/>
        <v>2028</v>
      </c>
      <c r="X186" s="139" t="str">
        <f t="shared" ca="1" si="637"/>
        <v/>
      </c>
      <c r="Y186" s="139" t="str">
        <f t="shared" ca="1" si="637"/>
        <v/>
      </c>
      <c r="Z186" s="139" t="str">
        <f t="shared" ca="1" si="637"/>
        <v/>
      </c>
      <c r="AA186" s="139" t="str">
        <f t="shared" ca="1" si="637"/>
        <v/>
      </c>
      <c r="AB186" s="139" t="str">
        <f t="shared" ca="1" si="637"/>
        <v/>
      </c>
      <c r="AC186" s="139" t="str">
        <f t="shared" ca="1" si="637"/>
        <v/>
      </c>
      <c r="AD186" s="139" t="str">
        <f t="shared" ca="1" si="637"/>
        <v/>
      </c>
      <c r="AE186" s="139" t="str">
        <f t="shared" ca="1" si="637"/>
        <v/>
      </c>
      <c r="AF186" s="139" t="str">
        <f t="shared" ca="1" si="637"/>
        <v/>
      </c>
      <c r="AG186" s="139" t="str">
        <f t="shared" ref="AG186:AW186" ca="1" si="638">AG$150</f>
        <v/>
      </c>
      <c r="AH186" s="139" t="str">
        <f t="shared" ca="1" si="638"/>
        <v/>
      </c>
      <c r="AI186" s="139" t="str">
        <f t="shared" ca="1" si="638"/>
        <v/>
      </c>
      <c r="AJ186" s="139" t="str">
        <f t="shared" ca="1" si="638"/>
        <v/>
      </c>
      <c r="AK186" s="139" t="str">
        <f t="shared" ca="1" si="638"/>
        <v/>
      </c>
      <c r="AL186" s="139" t="str">
        <f t="shared" ca="1" si="638"/>
        <v/>
      </c>
      <c r="AM186" s="139" t="str">
        <f t="shared" ca="1" si="638"/>
        <v/>
      </c>
      <c r="AN186" s="139" t="str">
        <f t="shared" ca="1" si="638"/>
        <v/>
      </c>
      <c r="AO186" s="139" t="str">
        <f t="shared" ca="1" si="638"/>
        <v/>
      </c>
      <c r="AP186" s="139" t="str">
        <f t="shared" ca="1" si="638"/>
        <v/>
      </c>
      <c r="AQ186" s="139" t="str">
        <f t="shared" ca="1" si="638"/>
        <v/>
      </c>
      <c r="AR186" s="139" t="str">
        <f t="shared" ca="1" si="638"/>
        <v/>
      </c>
      <c r="AS186" s="139" t="str">
        <f t="shared" ca="1" si="638"/>
        <v/>
      </c>
      <c r="AT186" s="139" t="str">
        <f t="shared" ca="1" si="638"/>
        <v/>
      </c>
      <c r="AU186" s="139" t="str">
        <f t="shared" ca="1" si="638"/>
        <v/>
      </c>
      <c r="AV186" s="139" t="str">
        <f t="shared" ca="1" si="638"/>
        <v/>
      </c>
      <c r="AW186" s="139" t="str">
        <f t="shared" ca="1" si="638"/>
        <v/>
      </c>
      <c r="AX186" s="104"/>
      <c r="AY186" s="104"/>
      <c r="AZ186" s="101"/>
    </row>
    <row r="187" spans="3:52" ht="12.75" hidden="1" customHeight="1" outlineLevel="1" x14ac:dyDescent="0.25">
      <c r="C187" s="140">
        <f>INDEX(g_sc_1_assets_dates,G187)</f>
        <v>0</v>
      </c>
      <c r="G187" s="141">
        <v>8</v>
      </c>
      <c r="N187" s="99"/>
      <c r="O187" s="104"/>
      <c r="P187" s="104"/>
      <c r="Q187" s="129" t="str">
        <f>INDEX(g_lang_val,MATCH("tb_2_4_1",g_lang_key,0))</f>
        <v>Køb af anlægsaktiver</v>
      </c>
      <c r="R187" s="130"/>
      <c r="S187" s="133">
        <f ca="1">SUM(T187:BG187)</f>
        <v>0</v>
      </c>
      <c r="T187" s="128">
        <f ca="1">IF(T186="","",SUMPRODUCT(--(Leverancer!$C$28:$C$88=($G187+2)),Leverancer!D$28:D$88)/1000)</f>
        <v>0</v>
      </c>
      <c r="U187" s="128">
        <f ca="1">IF(U186="","",SUMPRODUCT(--(Leverancer!$C$28:$C$88=($G187+2)),Leverancer!E$28:E$88)/1000)</f>
        <v>0</v>
      </c>
      <c r="V187" s="128">
        <f ca="1">IF(V186="","",SUMPRODUCT(--(Leverancer!$C$28:$C$88=($G187+2)),Leverancer!F$28:F$88)/1000)</f>
        <v>0</v>
      </c>
      <c r="W187" s="128">
        <f ca="1">IF(W186="","",SUMPRODUCT(--(Leverancer!$C$28:$C$88=($G187+2)),Leverancer!G$28:G$88)/1000)</f>
        <v>0</v>
      </c>
      <c r="X187" s="128" t="str">
        <f ca="1">IF(X186="","",SUMPRODUCT(--(Leverancer!$C$28:$C$88=($G187+2)),Leverancer!H$28:H$88)/1000)</f>
        <v/>
      </c>
      <c r="Y187" s="128" t="str">
        <f ca="1">IF(Y186="","",SUMPRODUCT(--(Leverancer!$C$28:$C$88=($G187+2)),Leverancer!I$28:I$88)/1000)</f>
        <v/>
      </c>
      <c r="Z187" s="128" t="str">
        <f ca="1">IF(Z186="","",SUMPRODUCT(--(Leverancer!$C$28:$C$88=($G187+2)),Leverancer!J$28:J$88)/1000)</f>
        <v/>
      </c>
      <c r="AA187" s="128" t="str">
        <f ca="1">IF(AA186="","",SUMPRODUCT(--(Leverancer!$C$28:$C$88=($G187+2)),Leverancer!K$28:K$88)/1000)</f>
        <v/>
      </c>
      <c r="AB187" s="128" t="str">
        <f ca="1">IF(AB186="","",SUMPRODUCT(--(Leverancer!$C$28:$C$88=($G187+2)),Leverancer!L$28:L$88)/1000)</f>
        <v/>
      </c>
      <c r="AC187" s="128" t="str">
        <f ca="1">IF(AC186="","",SUMPRODUCT(--(Leverancer!$C$28:$C$88=($G187+2)),Leverancer!M$28:M$88)/1000)</f>
        <v/>
      </c>
      <c r="AD187" s="128" t="str">
        <f ca="1">IF(AD186="","",SUMPRODUCT(--(Leverancer!$C$28:$C$88=($G187+2)),Leverancer!N$28:N$88)/1000)</f>
        <v/>
      </c>
      <c r="AE187" s="128" t="str">
        <f ca="1">IF(AE186="","",SUMPRODUCT(--(Leverancer!$C$28:$C$88=($G187+2)),Leverancer!O$28:O$88)/1000)</f>
        <v/>
      </c>
      <c r="AF187" s="128" t="str">
        <f ca="1">IF(AF186="","",SUMPRODUCT(--(Leverancer!$C$28:$C$88=($G187+2)),Leverancer!P$28:P$88)/1000)</f>
        <v/>
      </c>
      <c r="AG187" s="128" t="str">
        <f ca="1">IF(AG186="","",SUMPRODUCT(--(Leverancer!$C$28:$C$88=($G187+2)),Leverancer!Q$28:Q$88)/1000)</f>
        <v/>
      </c>
      <c r="AH187" s="128" t="str">
        <f ca="1">IF(AH186="","",SUMPRODUCT(--(Leverancer!$C$28:$C$88=($G187+2)),Leverancer!R$28:R$88)/1000)</f>
        <v/>
      </c>
      <c r="AI187" s="128" t="str">
        <f ca="1">IF(AI186="","",SUMPRODUCT(--(Leverancer!$C$28:$C$88=($G187+2)),Leverancer!S$28:S$88)/1000)</f>
        <v/>
      </c>
      <c r="AJ187" s="128" t="str">
        <f ca="1">IF(AJ186="","",SUMPRODUCT(--(Leverancer!$C$28:$C$88=($G187+2)),Leverancer!T$28:T$88)/1000)</f>
        <v/>
      </c>
      <c r="AK187" s="128" t="str">
        <f ca="1">IF(AK186="","",SUMPRODUCT(--(Leverancer!$C$28:$C$88=($G187+2)),Leverancer!U$28:U$88)/1000)</f>
        <v/>
      </c>
      <c r="AL187" s="128" t="str">
        <f ca="1">IF(AL186="","",SUMPRODUCT(--(Leverancer!$C$28:$C$88=($G187+2)),Leverancer!V$28:V$88)/1000)</f>
        <v/>
      </c>
      <c r="AM187" s="128" t="str">
        <f ca="1">IF(AM186="","",SUMPRODUCT(--(Leverancer!$C$28:$C$88=($G187+2)),Leverancer!W$28:W$88)/1000)</f>
        <v/>
      </c>
      <c r="AN187" s="128" t="str">
        <f ca="1">IF(AN186="","",SUMPRODUCT(--(Leverancer!$C$28:$C$88=($G187+2)),Leverancer!X$28:X$88)/1000)</f>
        <v/>
      </c>
      <c r="AO187" s="128" t="str">
        <f ca="1">IF(AO186="","",SUMPRODUCT(--(Leverancer!$C$28:$C$88=($G187+2)),Leverancer!Y$28:Y$88)/1000)</f>
        <v/>
      </c>
      <c r="AP187" s="128" t="str">
        <f ca="1">IF(AP186="","",SUMPRODUCT(--(Leverancer!$C$28:$C$88=($G187+2)),Leverancer!Z$28:Z$88)/1000)</f>
        <v/>
      </c>
      <c r="AQ187" s="128" t="str">
        <f ca="1">IF(AQ186="","",SUMPRODUCT(--(Leverancer!$C$28:$C$88=($G187+2)),Leverancer!AA$28:AA$88)/1000)</f>
        <v/>
      </c>
      <c r="AR187" s="128" t="str">
        <f ca="1">IF(AR186="","",SUMPRODUCT(--(Leverancer!$C$28:$C$88=($G187+2)),Leverancer!AB$28:AB$88)/1000)</f>
        <v/>
      </c>
      <c r="AS187" s="128" t="str">
        <f ca="1">IF(AS186="","",SUMPRODUCT(--(Leverancer!$C$28:$C$88=($G187+2)),Leverancer!AC$28:AC$88)/1000)</f>
        <v/>
      </c>
      <c r="AT187" s="128" t="str">
        <f ca="1">IF(AT186="","",SUMPRODUCT(--(Leverancer!$C$28:$C$88=($G187+2)),Leverancer!AD$28:AD$88)/1000)</f>
        <v/>
      </c>
      <c r="AU187" s="128" t="str">
        <f ca="1">IF(AU186="","",SUMPRODUCT(--(Leverancer!$C$28:$C$88=($G187+2)),Leverancer!AE$28:AE$88)/1000)</f>
        <v/>
      </c>
      <c r="AV187" s="128" t="str">
        <f ca="1">IF(AV186="","",SUMPRODUCT(--(Leverancer!$C$28:$C$88=($G187+2)),Leverancer!AF$28:AF$88)/1000)</f>
        <v/>
      </c>
      <c r="AW187" s="128" t="str">
        <f ca="1">IF(AW186="","",SUMPRODUCT(--(Leverancer!$C$28:$C$88=($G187+2)),Leverancer!AG$28:AG$88)/1000)</f>
        <v/>
      </c>
      <c r="AX187" s="104"/>
      <c r="AY187" s="104"/>
      <c r="AZ187" s="101"/>
    </row>
    <row r="188" spans="3:52" ht="12.75" hidden="1" customHeight="1" outlineLevel="1" x14ac:dyDescent="0.25">
      <c r="C188" s="142">
        <f>IFERROR(YEAR(C187),"")</f>
        <v>1900</v>
      </c>
      <c r="D188" s="142">
        <f>IFERROR(MONTH(C187),"")</f>
        <v>1</v>
      </c>
      <c r="E188" s="142">
        <f>INDEX(g_sc_1_assets_years,G187)</f>
        <v>0</v>
      </c>
      <c r="N188" s="99"/>
      <c r="O188" s="104"/>
      <c r="P188" s="104"/>
      <c r="Q188" s="129" t="str">
        <f>INDEX(g_lang_val,MATCH("tb_2_4_2",g_lang_key,0))</f>
        <v>Afskrivninger</v>
      </c>
      <c r="R188" s="130"/>
      <c r="S188" s="133">
        <f ca="1">SUM(T188:BG188)</f>
        <v>0</v>
      </c>
      <c r="T188" s="128">
        <f t="shared" ref="T188" ca="1" si="639">IF(T186="","",IF(T186&lt;$C188,0,IF(T186=$C188,T187/$C189*$E189+S189/$C189*$E189,IF(AND(T186&gt;$C188,T186&lt;ROUNDDOWN(($C188+($D188+$C189-1)/12),0)),(T187/2+S189)/($C189-$E189-12*(T186-$C188-1))*12,IF(AND($D189&lt;0,T186=ROUNDDOWN(($C188+($D188+$C189-1)/12),0)),S189+T187,IF(T186=ROUNDDOWN(($C188+($D188+$C189-1)/12),0),(T187+S189)/$C189*($D189+(T186-$C188-1)*12+$E189),IF(T186&gt;ROUNDDOWN(($C188+($D188+$C189)/12),0),0,0)))))))</f>
        <v>0</v>
      </c>
      <c r="U188" s="128">
        <f t="shared" ref="U188" ca="1" si="640">IF(U186="","",IF(U186&lt;$C188,0,IF(U186=$C188,U187/$C189*$E189+T189/$C189*$E189,IF(AND(U186&gt;$C188,U186&lt;ROUNDDOWN(($C188+($D188+$C189-1)/12),0)),(U187/2+T189)/($C189-$E189-12*(U186-$C188-1))*12,IF(AND($D189&lt;0,U186=ROUNDDOWN(($C188+($D188+$C189-1)/12),0)),T189+U187,IF(U186=ROUNDDOWN(($C188+($D188+$C189-1)/12),0),(U187+T189)/$C189*($D189+(U186-$C188-1)*12+$E189),IF(U186&gt;ROUNDDOWN(($C188+($D188+$C189)/12),0),0,0)))))))</f>
        <v>0</v>
      </c>
      <c r="V188" s="128">
        <f t="shared" ref="V188" ca="1" si="641">IF(V186="","",IF(V186&lt;$C188,0,IF(V186=$C188,V187/$C189*$E189+U189/$C189*$E189,IF(AND(V186&gt;$C188,V186&lt;ROUNDDOWN(($C188+($D188+$C189-1)/12),0)),(V187/2+U189)/($C189-$E189-12*(V186-$C188-1))*12,IF(AND($D189&lt;0,V186=ROUNDDOWN(($C188+($D188+$C189-1)/12),0)),U189+V187,IF(V186=ROUNDDOWN(($C188+($D188+$C189-1)/12),0),(V187+U189)/$C189*($D189+(V186-$C188-1)*12+$E189),IF(V186&gt;ROUNDDOWN(($C188+($D188+$C189)/12),0),0,0)))))))</f>
        <v>0</v>
      </c>
      <c r="W188" s="128">
        <f t="shared" ref="W188" ca="1" si="642">IF(W186="","",IF(W186&lt;$C188,0,IF(W186=$C188,W187/$C189*$E189+V189/$C189*$E189,IF(AND(W186&gt;$C188,W186&lt;ROUNDDOWN(($C188+($D188+$C189-1)/12),0)),(W187/2+V189)/($C189-$E189-12*(W186-$C188-1))*12,IF(AND($D189&lt;0,W186=ROUNDDOWN(($C188+($D188+$C189-1)/12),0)),V189+W187,IF(W186=ROUNDDOWN(($C188+($D188+$C189-1)/12),0),(W187+V189)/$C189*($D189+(W186-$C188-1)*12+$E189),IF(W186&gt;ROUNDDOWN(($C188+($D188+$C189)/12),0),0,0)))))))</f>
        <v>0</v>
      </c>
      <c r="X188" s="128" t="str">
        <f t="shared" ref="X188" ca="1" si="643">IF(X186="","",IF(X186&lt;$C188,0,IF(X186=$C188,X187/$C189*$E189+W189/$C189*$E189,IF(AND(X186&gt;$C188,X186&lt;ROUNDDOWN(($C188+($D188+$C189-1)/12),0)),(X187/2+W189)/($C189-$E189-12*(X186-$C188-1))*12,IF(AND($D189&lt;0,X186=ROUNDDOWN(($C188+($D188+$C189-1)/12),0)),W189+X187,IF(X186=ROUNDDOWN(($C188+($D188+$C189-1)/12),0),(X187+W189)/$C189*($D189+(X186-$C188-1)*12+$E189),IF(X186&gt;ROUNDDOWN(($C188+($D188+$C189)/12),0),0,0)))))))</f>
        <v/>
      </c>
      <c r="Y188" s="128" t="str">
        <f t="shared" ref="Y188" ca="1" si="644">IF(Y186="","",IF(Y186&lt;$C188,0,IF(Y186=$C188,Y187/$C189*$E189+X189/$C189*$E189,IF(AND(Y186&gt;$C188,Y186&lt;ROUNDDOWN(($C188+($D188+$C189-1)/12),0)),(Y187/2+X189)/($C189-$E189-12*(Y186-$C188-1))*12,IF(AND($D189&lt;0,Y186=ROUNDDOWN(($C188+($D188+$C189-1)/12),0)),X189+Y187,IF(Y186=ROUNDDOWN(($C188+($D188+$C189-1)/12),0),(Y187+X189)/$C189*($D189+(Y186-$C188-1)*12+$E189),IF(Y186&gt;ROUNDDOWN(($C188+($D188+$C189)/12),0),0,0)))))))</f>
        <v/>
      </c>
      <c r="Z188" s="128" t="str">
        <f ca="1">IF(Z186="","",IF(Z186&lt;$C188,0,IF(Z186=$C188,Z187/$C189*$E189+Y189/$C189*$E189,IF(AND(Z186&gt;$C188,Z186&lt;ROUNDDOWN(($C188+($D188+$C189-1)/12),0)),(Z187/2+Y189)/($C189-$E189-12*(Z186-$C188-1))*12,IF(AND($D189&lt;0,Z186=ROUNDDOWN(($C188+($D188+$C189-1)/12),0)),Y189+Z187,IF(Z186=ROUNDDOWN(($C188+($D188+$C189-1)/12),0),(Z187+Y189)/$C189*($D189+(Z186-$C188-1)*12+$E189),IF(Z186&gt;ROUNDDOWN(($C188+($D188+$C189)/12),0),0,0)))))))</f>
        <v/>
      </c>
      <c r="AA188" s="128" t="str">
        <f t="shared" ref="AA188" ca="1" si="645">IF(AA186="","",IF(AA186&lt;$C188,0,IF(AA186=$C188,AA187/$C189*$E189+Z189/$C189*$E189,IF(AND(AA186&gt;$C188,AA186&lt;ROUNDDOWN(($C188+($D188+$C189-1)/12),0)),(AA187/2+Z189)/($C189-$E189-12*(AA186-$C188-1))*12,IF(AND($D189&lt;0,AA186=ROUNDDOWN(($C188+($D188+$C189-1)/12),0)),Z189+AA187,IF(AA186=ROUNDDOWN(($C188+($D188+$C189-1)/12),0),(AA187+Z189)/$C189*($D189+(AA186-$C188-1)*12+$E189),IF(AA186&gt;ROUNDDOWN(($C188+($D188+$C189)/12),0),0,0)))))))</f>
        <v/>
      </c>
      <c r="AB188" s="128" t="str">
        <f t="shared" ref="AB188" ca="1" si="646">IF(AB186="","",IF(AB186&lt;$C188,0,IF(AB186=$C188,AB187/$C189*$E189+AA189/$C189*$E189,IF(AND(AB186&gt;$C188,AB186&lt;ROUNDDOWN(($C188+($D188+$C189-1)/12),0)),(AB187/2+AA189)/($C189-$E189-12*(AB186-$C188-1))*12,IF(AND($D189&lt;0,AB186=ROUNDDOWN(($C188+($D188+$C189-1)/12),0)),AA189+AB187,IF(AB186=ROUNDDOWN(($C188+($D188+$C189-1)/12),0),(AB187+AA189)/$C189*($D189+(AB186-$C188-1)*12+$E189),IF(AB186&gt;ROUNDDOWN(($C188+($D188+$C189)/12),0),0,0)))))))</f>
        <v/>
      </c>
      <c r="AC188" s="128" t="str">
        <f t="shared" ref="AC188" ca="1" si="647">IF(AC186="","",IF(AC186&lt;$C188,0,IF(AC186=$C188,AC187/$C189*$E189+AB189/$C189*$E189,IF(AND(AC186&gt;$C188,AC186&lt;ROUNDDOWN(($C188+($D188+$C189-1)/12),0)),(AC187/2+AB189)/($C189-$E189-12*(AC186-$C188-1))*12,IF(AND($D189&lt;0,AC186=ROUNDDOWN(($C188+($D188+$C189-1)/12),0)),AB189+AC187,IF(AC186=ROUNDDOWN(($C188+($D188+$C189-1)/12),0),(AC187+AB189)/$C189*($D189+(AC186-$C188-1)*12+$E189),IF(AC186&gt;ROUNDDOWN(($C188+($D188+$C189)/12),0),0,0)))))))</f>
        <v/>
      </c>
      <c r="AD188" s="128" t="str">
        <f t="shared" ref="AD188" ca="1" si="648">IF(AD186="","",IF(AD186&lt;$C188,0,IF(AD186=$C188,AD187/$C189*$E189+AC189/$C189*$E189,IF(AND(AD186&gt;$C188,AD186&lt;ROUNDDOWN(($C188+($D188+$C189-1)/12),0)),(AD187/2+AC189)/($C189-$E189-12*(AD186-$C188-1))*12,IF(AND($D189&lt;0,AD186=ROUNDDOWN(($C188+($D188+$C189-1)/12),0)),AC189+AD187,IF(AD186=ROUNDDOWN(($C188+($D188+$C189-1)/12),0),(AD187+AC189)/$C189*($D189+(AD186-$C188-1)*12+$E189),IF(AD186&gt;ROUNDDOWN(($C188+($D188+$C189)/12),0),0,0)))))))</f>
        <v/>
      </c>
      <c r="AE188" s="128" t="str">
        <f t="shared" ref="AE188" ca="1" si="649">IF(AE186="","",IF(AE186&lt;$C188,0,IF(AE186=$C188,AE187/$C189*$E189+AD189/$C189*$E189,IF(AND(AE186&gt;$C188,AE186&lt;ROUNDDOWN(($C188+($D188+$C189-1)/12),0)),(AE187/2+AD189)/($C189-$E189-12*(AE186-$C188-1))*12,IF(AND($D189&lt;0,AE186=ROUNDDOWN(($C188+($D188+$C189-1)/12),0)),AD189+AE187,IF(AE186=ROUNDDOWN(($C188+($D188+$C189-1)/12),0),(AE187+AD189)/$C189*($D189+(AE186-$C188-1)*12+$E189),IF(AE186&gt;ROUNDDOWN(($C188+($D188+$C189)/12),0),0,0)))))))</f>
        <v/>
      </c>
      <c r="AF188" s="128" t="str">
        <f t="shared" ref="AF188" ca="1" si="650">IF(AF186="","",IF(AF186&lt;$C188,0,IF(AF186=$C188,AF187/$C189*$E189+AE189/$C189*$E189,IF(AND(AF186&gt;$C188,AF186&lt;ROUNDDOWN(($C188+($D188+$C189-1)/12),0)),(AF187/2+AE189)/($C189-$E189-12*(AF186-$C188-1))*12,IF(AND($D189&lt;0,AF186=ROUNDDOWN(($C188+($D188+$C189-1)/12),0)),AE189+AF187,IF(AF186=ROUNDDOWN(($C188+($D188+$C189-1)/12),0),(AF187+AE189)/$C189*($D189+(AF186-$C188-1)*12+$E189),IF(AF186&gt;ROUNDDOWN(($C188+($D188+$C189)/12),0),0,0)))))))</f>
        <v/>
      </c>
      <c r="AG188" s="128" t="str">
        <f t="shared" ref="AG188" ca="1" si="651">IF(AG186="","",IF(AG186&lt;$C188,0,IF(AG186=$C188,AG187/$C189*$E189+AF189/$C189*$E189,IF(AND(AG186&gt;$C188,AG186&lt;ROUNDDOWN(($C188+($D188+$C189-1)/12),0)),(AG187/2+AF189)/($C189-$E189-12*(AG186-$C188-1))*12,IF(AND($D189&lt;0,AG186=ROUNDDOWN(($C188+($D188+$C189-1)/12),0)),AF189+AG187,IF(AG186=ROUNDDOWN(($C188+($D188+$C189-1)/12),0),(AG187+AF189)/$C189*($D189+(AG186-$C188-1)*12+$E189),IF(AG186&gt;ROUNDDOWN(($C188+($D188+$C189)/12),0),0,0)))))))</f>
        <v/>
      </c>
      <c r="AH188" s="128" t="str">
        <f t="shared" ref="AH188" ca="1" si="652">IF(AH186="","",IF(AH186&lt;$C188,0,IF(AH186=$C188,AH187/$C189*$E189+AG189/$C189*$E189,IF(AND(AH186&gt;$C188,AH186&lt;ROUNDDOWN(($C188+($D188+$C189-1)/12),0)),(AH187/2+AG189)/($C189-$E189-12*(AH186-$C188-1))*12,IF(AND($D189&lt;0,AH186=ROUNDDOWN(($C188+($D188+$C189-1)/12),0)),AG189+AH187,IF(AH186=ROUNDDOWN(($C188+($D188+$C189-1)/12),0),(AH187+AG189)/$C189*($D189+(AH186-$C188-1)*12+$E189),IF(AH186&gt;ROUNDDOWN(($C188+($D188+$C189)/12),0),0,0)))))))</f>
        <v/>
      </c>
      <c r="AI188" s="128" t="str">
        <f t="shared" ref="AI188" ca="1" si="653">IF(AI186="","",IF(AI186&lt;$C188,0,IF(AI186=$C188,AI187/$C189*$E189+AH189/$C189*$E189,IF(AND(AI186&gt;$C188,AI186&lt;ROUNDDOWN(($C188+($D188+$C189-1)/12),0)),(AI187/2+AH189)/($C189-$E189-12*(AI186-$C188-1))*12,IF(AND($D189&lt;0,AI186=ROUNDDOWN(($C188+($D188+$C189-1)/12),0)),AH189+AI187,IF(AI186=ROUNDDOWN(($C188+($D188+$C189-1)/12),0),(AI187+AH189)/$C189*($D189+(AI186-$C188-1)*12+$E189),IF(AI186&gt;ROUNDDOWN(($C188+($D188+$C189)/12),0),0,0)))))))</f>
        <v/>
      </c>
      <c r="AJ188" s="128" t="str">
        <f t="shared" ref="AJ188" ca="1" si="654">IF(AJ186="","",IF(AJ186&lt;$C188,0,IF(AJ186=$C188,AJ187/$C189*$E189+AI189/$C189*$E189,IF(AND(AJ186&gt;$C188,AJ186&lt;ROUNDDOWN(($C188+($D188+$C189-1)/12),0)),(AJ187/2+AI189)/($C189-$E189-12*(AJ186-$C188-1))*12,IF(AND($D189&lt;0,AJ186=ROUNDDOWN(($C188+($D188+$C189-1)/12),0)),AI189+AJ187,IF(AJ186=ROUNDDOWN(($C188+($D188+$C189-1)/12),0),(AJ187+AI189)/$C189*($D189+(AJ186-$C188-1)*12+$E189),IF(AJ186&gt;ROUNDDOWN(($C188+($D188+$C189)/12),0),0,0)))))))</f>
        <v/>
      </c>
      <c r="AK188" s="128" t="str">
        <f t="shared" ref="AK188" ca="1" si="655">IF(AK186="","",IF(AK186&lt;$C188,0,IF(AK186=$C188,AK187/$C189*$E189+AJ189/$C189*$E189,IF(AND(AK186&gt;$C188,AK186&lt;ROUNDDOWN(($C188+($D188+$C189-1)/12),0)),(AK187/2+AJ189)/($C189-$E189-12*(AK186-$C188-1))*12,IF(AND($D189&lt;0,AK186=ROUNDDOWN(($C188+($D188+$C189-1)/12),0)),AJ189+AK187,IF(AK186=ROUNDDOWN(($C188+($D188+$C189-1)/12),0),(AK187+AJ189)/$C189*($D189+(AK186-$C188-1)*12+$E189),IF(AK186&gt;ROUNDDOWN(($C188+($D188+$C189)/12),0),0,0)))))))</f>
        <v/>
      </c>
      <c r="AL188" s="128" t="str">
        <f t="shared" ref="AL188" ca="1" si="656">IF(AL186="","",IF(AL186&lt;$C188,0,IF(AL186=$C188,AL187/$C189*$E189+AK189/$C189*$E189,IF(AND(AL186&gt;$C188,AL186&lt;ROUNDDOWN(($C188+($D188+$C189-1)/12),0)),(AL187/2+AK189)/($C189-$E189-12*(AL186-$C188-1))*12,IF(AND($D189&lt;0,AL186=ROUNDDOWN(($C188+($D188+$C189-1)/12),0)),AK189+AL187,IF(AL186=ROUNDDOWN(($C188+($D188+$C189-1)/12),0),(AL187+AK189)/$C189*($D189+(AL186-$C188-1)*12+$E189),IF(AL186&gt;ROUNDDOWN(($C188+($D188+$C189)/12),0),0,0)))))))</f>
        <v/>
      </c>
      <c r="AM188" s="128" t="str">
        <f t="shared" ref="AM188" ca="1" si="657">IF(AM186="","",IF(AM186&lt;$C188,0,IF(AM186=$C188,AM187/$C189*$E189+AL189/$C189*$E189,IF(AND(AM186&gt;$C188,AM186&lt;ROUNDDOWN(($C188+($D188+$C189-1)/12),0)),(AM187/2+AL189)/($C189-$E189-12*(AM186-$C188-1))*12,IF(AND($D189&lt;0,AM186=ROUNDDOWN(($C188+($D188+$C189-1)/12),0)),AL189+AM187,IF(AM186=ROUNDDOWN(($C188+($D188+$C189-1)/12),0),(AM187+AL189)/$C189*($D189+(AM186-$C188-1)*12+$E189),IF(AM186&gt;ROUNDDOWN(($C188+($D188+$C189)/12),0),0,0)))))))</f>
        <v/>
      </c>
      <c r="AN188" s="128" t="str">
        <f t="shared" ref="AN188" ca="1" si="658">IF(AN186="","",IF(AN186&lt;$C188,0,IF(AN186=$C188,AN187/$C189*$E189+AM189/$C189*$E189,IF(AND(AN186&gt;$C188,AN186&lt;ROUNDDOWN(($C188+($D188+$C189-1)/12),0)),(AN187/2+AM189)/($C189-$E189-12*(AN186-$C188-1))*12,IF(AND($D189&lt;0,AN186=ROUNDDOWN(($C188+($D188+$C189-1)/12),0)),AM189+AN187,IF(AN186=ROUNDDOWN(($C188+($D188+$C189-1)/12),0),(AN187+AM189)/$C189*($D189+(AN186-$C188-1)*12+$E189),IF(AN186&gt;ROUNDDOWN(($C188+($D188+$C189)/12),0),0,0)))))))</f>
        <v/>
      </c>
      <c r="AO188" s="128" t="str">
        <f t="shared" ref="AO188" ca="1" si="659">IF(AO186="","",IF(AO186&lt;$C188,0,IF(AO186=$C188,AO187/$C189*$E189+AN189/$C189*$E189,IF(AND(AO186&gt;$C188,AO186&lt;ROUNDDOWN(($C188+($D188+$C189-1)/12),0)),(AO187/2+AN189)/($C189-$E189-12*(AO186-$C188-1))*12,IF(AND($D189&lt;0,AO186=ROUNDDOWN(($C188+($D188+$C189-1)/12),0)),AN189+AO187,IF(AO186=ROUNDDOWN(($C188+($D188+$C189-1)/12),0),(AO187+AN189)/$C189*($D189+(AO186-$C188-1)*12+$E189),IF(AO186&gt;ROUNDDOWN(($C188+($D188+$C189)/12),0),0,0)))))))</f>
        <v/>
      </c>
      <c r="AP188" s="128" t="str">
        <f t="shared" ref="AP188" ca="1" si="660">IF(AP186="","",IF(AP186&lt;$C188,0,IF(AP186=$C188,AP187/$C189*$E189+AO189/$C189*$E189,IF(AND(AP186&gt;$C188,AP186&lt;ROUNDDOWN(($C188+($D188+$C189-1)/12),0)),(AP187/2+AO189)/($C189-$E189-12*(AP186-$C188-1))*12,IF(AND($D189&lt;0,AP186=ROUNDDOWN(($C188+($D188+$C189-1)/12),0)),AO189+AP187,IF(AP186=ROUNDDOWN(($C188+($D188+$C189-1)/12),0),(AP187+AO189)/$C189*($D189+(AP186-$C188-1)*12+$E189),IF(AP186&gt;ROUNDDOWN(($C188+($D188+$C189)/12),0),0,0)))))))</f>
        <v/>
      </c>
      <c r="AQ188" s="128" t="str">
        <f t="shared" ref="AQ188" ca="1" si="661">IF(AQ186="","",IF(AQ186&lt;$C188,0,IF(AQ186=$C188,AQ187/$C189*$E189+AP189/$C189*$E189,IF(AND(AQ186&gt;$C188,AQ186&lt;ROUNDDOWN(($C188+($D188+$C189-1)/12),0)),(AQ187/2+AP189)/($C189-$E189-12*(AQ186-$C188-1))*12,IF(AND($D189&lt;0,AQ186=ROUNDDOWN(($C188+($D188+$C189-1)/12),0)),AP189+AQ187,IF(AQ186=ROUNDDOWN(($C188+($D188+$C189-1)/12),0),(AQ187+AP189)/$C189*($D189+(AQ186-$C188-1)*12+$E189),IF(AQ186&gt;ROUNDDOWN(($C188+($D188+$C189)/12),0),0,0)))))))</f>
        <v/>
      </c>
      <c r="AR188" s="128" t="str">
        <f t="shared" ref="AR188" ca="1" si="662">IF(AR186="","",IF(AR186&lt;$C188,0,IF(AR186=$C188,AR187/$C189*$E189+AQ189/$C189*$E189,IF(AND(AR186&gt;$C188,AR186&lt;ROUNDDOWN(($C188+($D188+$C189-1)/12),0)),(AR187/2+AQ189)/($C189-$E189-12*(AR186-$C188-1))*12,IF(AND($D189&lt;0,AR186=ROUNDDOWN(($C188+($D188+$C189-1)/12),0)),AQ189+AR187,IF(AR186=ROUNDDOWN(($C188+($D188+$C189-1)/12),0),(AR187+AQ189)/$C189*($D189+(AR186-$C188-1)*12+$E189),IF(AR186&gt;ROUNDDOWN(($C188+($D188+$C189)/12),0),0,0)))))))</f>
        <v/>
      </c>
      <c r="AS188" s="128" t="str">
        <f t="shared" ref="AS188" ca="1" si="663">IF(AS186="","",IF(AS186&lt;$C188,0,IF(AS186=$C188,AS187/$C189*$E189+AR189/$C189*$E189,IF(AND(AS186&gt;$C188,AS186&lt;ROUNDDOWN(($C188+($D188+$C189-1)/12),0)),(AS187/2+AR189)/($C189-$E189-12*(AS186-$C188-1))*12,IF(AND($D189&lt;0,AS186=ROUNDDOWN(($C188+($D188+$C189-1)/12),0)),AR189+AS187,IF(AS186=ROUNDDOWN(($C188+($D188+$C189-1)/12),0),(AS187+AR189)/$C189*($D189+(AS186-$C188-1)*12+$E189),IF(AS186&gt;ROUNDDOWN(($C188+($D188+$C189)/12),0),0,0)))))))</f>
        <v/>
      </c>
      <c r="AT188" s="128" t="str">
        <f t="shared" ref="AT188" ca="1" si="664">IF(AT186="","",IF(AT186&lt;$C188,0,IF(AT186=$C188,AT187/$C189*$E189+AS189/$C189*$E189,IF(AND(AT186&gt;$C188,AT186&lt;ROUNDDOWN(($C188+($D188+$C189-1)/12),0)),(AT187/2+AS189)/($C189-$E189-12*(AT186-$C188-1))*12,IF(AND($D189&lt;0,AT186=ROUNDDOWN(($C188+($D188+$C189-1)/12),0)),AS189+AT187,IF(AT186=ROUNDDOWN(($C188+($D188+$C189-1)/12),0),(AT187+AS189)/$C189*($D189+(AT186-$C188-1)*12+$E189),IF(AT186&gt;ROUNDDOWN(($C188+($D188+$C189)/12),0),0,0)))))))</f>
        <v/>
      </c>
      <c r="AU188" s="128" t="str">
        <f t="shared" ref="AU188" ca="1" si="665">IF(AU186="","",IF(AU186&lt;$C188,0,IF(AU186=$C188,AU187/$C189*$E189+AT189/$C189*$E189,IF(AND(AU186&gt;$C188,AU186&lt;ROUNDDOWN(($C188+($D188+$C189-1)/12),0)),(AU187/2+AT189)/($C189-$E189-12*(AU186-$C188-1))*12,IF(AND($D189&lt;0,AU186=ROUNDDOWN(($C188+($D188+$C189-1)/12),0)),AT189+AU187,IF(AU186=ROUNDDOWN(($C188+($D188+$C189-1)/12),0),(AU187+AT189)/$C189*($D189+(AU186-$C188-1)*12+$E189),IF(AU186&gt;ROUNDDOWN(($C188+($D188+$C189)/12),0),0,0)))))))</f>
        <v/>
      </c>
      <c r="AV188" s="128" t="str">
        <f t="shared" ref="AV188" ca="1" si="666">IF(AV186="","",IF(AV186&lt;$C188,0,IF(AV186=$C188,AV187/$C189*$E189+AU189/$C189*$E189,IF(AND(AV186&gt;$C188,AV186&lt;ROUNDDOWN(($C188+($D188+$C189-1)/12),0)),(AV187/2+AU189)/($C189-$E189-12*(AV186-$C188-1))*12,IF(AND($D189&lt;0,AV186=ROUNDDOWN(($C188+($D188+$C189-1)/12),0)),AU189+AV187,IF(AV186=ROUNDDOWN(($C188+($D188+$C189-1)/12),0),(AV187+AU189)/$C189*($D189+(AV186-$C188-1)*12+$E189),IF(AV186&gt;ROUNDDOWN(($C188+($D188+$C189)/12),0),0,0)))))))</f>
        <v/>
      </c>
      <c r="AW188" s="128" t="str">
        <f t="shared" ref="AW188" ca="1" si="667">IF(AW186="","",IF(AW186&lt;$C188,0,IF(AW186=$C188,AW187/$C189*$E189+AV189/$C189*$E189,IF(AND(AW186&gt;$C188,AW186&lt;ROUNDDOWN(($C188+($D188+$C189-1)/12),0)),(AW187/2+AV189)/($C189-$E189-12*(AW186-$C188-1))*12,IF(AND($D189&lt;0,AW186=ROUNDDOWN(($C188+($D188+$C189-1)/12),0)),AV189+AW187,IF(AW186=ROUNDDOWN(($C188+($D188+$C189-1)/12),0),(AW187+AV189)/$C189*($D189+(AW186-$C188-1)*12+$E189),IF(AW186&gt;ROUNDDOWN(($C188+($D188+$C189)/12),0),0,0)))))))</f>
        <v/>
      </c>
      <c r="AX188" s="104"/>
      <c r="AY188" s="104"/>
      <c r="AZ188" s="101"/>
    </row>
    <row r="189" spans="3:52" ht="12.75" hidden="1" customHeight="1" outlineLevel="1" x14ac:dyDescent="0.25">
      <c r="C189" s="142">
        <f>ROUNDUP((E188-ROUNDDOWN(E188,0))*12,0)+ROUNDDOWN(E188,0)*12</f>
        <v>0</v>
      </c>
      <c r="D189" s="142">
        <f>C189-E189-ROUNDDOWN(E188,0)*12</f>
        <v>-12</v>
      </c>
      <c r="E189" s="142">
        <f>13-MONTH(C187)</f>
        <v>12</v>
      </c>
      <c r="N189" s="99"/>
      <c r="O189" s="104"/>
      <c r="P189" s="104"/>
      <c r="Q189" s="129" t="str">
        <f>INDEX(g_lang_val,MATCH("tb_2_4_3",g_lang_key,0))</f>
        <v>FF4-gæld, ultimo året</v>
      </c>
      <c r="R189" s="130"/>
      <c r="S189" s="133"/>
      <c r="T189" s="128">
        <f t="shared" ref="T189" ca="1" si="668">IF(T186="","",S189+T187-T188)</f>
        <v>0</v>
      </c>
      <c r="U189" s="128">
        <f t="shared" ref="U189" ca="1" si="669">IF(U186="","",T189+U187-U188)</f>
        <v>0</v>
      </c>
      <c r="V189" s="128">
        <f t="shared" ref="V189" ca="1" si="670">IF(V186="","",U189+V187-V188)</f>
        <v>0</v>
      </c>
      <c r="W189" s="128">
        <f t="shared" ref="W189" ca="1" si="671">IF(W186="","",V189+W187-W188)</f>
        <v>0</v>
      </c>
      <c r="X189" s="128" t="str">
        <f t="shared" ref="X189" ca="1" si="672">IF(X186="","",W189+X187-X188)</f>
        <v/>
      </c>
      <c r="Y189" s="128" t="str">
        <f t="shared" ref="Y189" ca="1" si="673">IF(Y186="","",X189+Y187-Y188)</f>
        <v/>
      </c>
      <c r="Z189" s="128" t="str">
        <f t="shared" ref="Z189" ca="1" si="674">IF(Z186="","",Y189+Z187-Z188)</f>
        <v/>
      </c>
      <c r="AA189" s="128" t="str">
        <f t="shared" ref="AA189" ca="1" si="675">IF(AA186="","",Z189+AA187-AA188)</f>
        <v/>
      </c>
      <c r="AB189" s="128" t="str">
        <f t="shared" ref="AB189" ca="1" si="676">IF(AB186="","",AA189+AB187-AB188)</f>
        <v/>
      </c>
      <c r="AC189" s="128" t="str">
        <f t="shared" ref="AC189" ca="1" si="677">IF(AC186="","",AB189+AC187-AC188)</f>
        <v/>
      </c>
      <c r="AD189" s="128" t="str">
        <f t="shared" ref="AD189" ca="1" si="678">IF(AD186="","",AC189+AD187-AD188)</f>
        <v/>
      </c>
      <c r="AE189" s="128" t="str">
        <f t="shared" ref="AE189" ca="1" si="679">IF(AE186="","",AD189+AE187-AE188)</f>
        <v/>
      </c>
      <c r="AF189" s="128" t="str">
        <f t="shared" ref="AF189" ca="1" si="680">IF(AF186="","",AE189+AF187-AF188)</f>
        <v/>
      </c>
      <c r="AG189" s="128" t="str">
        <f t="shared" ref="AG189" ca="1" si="681">IF(AG186="","",AF189+AG187-AG188)</f>
        <v/>
      </c>
      <c r="AH189" s="128" t="str">
        <f t="shared" ref="AH189" ca="1" si="682">IF(AH186="","",AG189+AH187-AH188)</f>
        <v/>
      </c>
      <c r="AI189" s="128" t="str">
        <f t="shared" ref="AI189" ca="1" si="683">IF(AI186="","",AH189+AI187-AI188)</f>
        <v/>
      </c>
      <c r="AJ189" s="128" t="str">
        <f t="shared" ref="AJ189" ca="1" si="684">IF(AJ186="","",AI189+AJ187-AJ188)</f>
        <v/>
      </c>
      <c r="AK189" s="128" t="str">
        <f t="shared" ref="AK189" ca="1" si="685">IF(AK186="","",AJ189+AK187-AK188)</f>
        <v/>
      </c>
      <c r="AL189" s="128" t="str">
        <f t="shared" ref="AL189" ca="1" si="686">IF(AL186="","",AK189+AL187-AL188)</f>
        <v/>
      </c>
      <c r="AM189" s="128" t="str">
        <f t="shared" ref="AM189" ca="1" si="687">IF(AM186="","",AL189+AM187-AM188)</f>
        <v/>
      </c>
      <c r="AN189" s="128" t="str">
        <f t="shared" ref="AN189" ca="1" si="688">IF(AN186="","",AM189+AN187-AN188)</f>
        <v/>
      </c>
      <c r="AO189" s="128" t="str">
        <f t="shared" ref="AO189" ca="1" si="689">IF(AO186="","",AN189+AO187-AO188)</f>
        <v/>
      </c>
      <c r="AP189" s="128" t="str">
        <f t="shared" ref="AP189" ca="1" si="690">IF(AP186="","",AO189+AP187-AP188)</f>
        <v/>
      </c>
      <c r="AQ189" s="128" t="str">
        <f t="shared" ref="AQ189" ca="1" si="691">IF(AQ186="","",AP189+AQ187-AQ188)</f>
        <v/>
      </c>
      <c r="AR189" s="128" t="str">
        <f t="shared" ref="AR189" ca="1" si="692">IF(AR186="","",AQ189+AR187-AR188)</f>
        <v/>
      </c>
      <c r="AS189" s="128" t="str">
        <f t="shared" ref="AS189" ca="1" si="693">IF(AS186="","",AR189+AS187-AS188)</f>
        <v/>
      </c>
      <c r="AT189" s="128" t="str">
        <f t="shared" ref="AT189" ca="1" si="694">IF(AT186="","",AS189+AT187-AT188)</f>
        <v/>
      </c>
      <c r="AU189" s="128" t="str">
        <f t="shared" ref="AU189" ca="1" si="695">IF(AU186="","",AT189+AU187-AU188)</f>
        <v/>
      </c>
      <c r="AV189" s="128" t="str">
        <f t="shared" ref="AV189" ca="1" si="696">IF(AV186="","",AU189+AV187-AV188)</f>
        <v/>
      </c>
      <c r="AW189" s="128" t="str">
        <f t="shared" ref="AW189" ca="1" si="697">IF(AW186="","",AV189+AW187-AW188)</f>
        <v/>
      </c>
      <c r="AX189" s="104"/>
      <c r="AY189" s="104"/>
      <c r="AZ189" s="101"/>
    </row>
    <row r="190" spans="3:52" ht="12.75" hidden="1" customHeight="1" outlineLevel="1" x14ac:dyDescent="0.25">
      <c r="N190" s="99"/>
      <c r="O190" s="104"/>
      <c r="P190" s="104"/>
      <c r="Q190" s="129" t="str">
        <f>INDEX(g_lang_val,MATCH("tb_2_4_4",g_lang_key,0))</f>
        <v>Renter (FF4)</v>
      </c>
      <c r="R190" s="130"/>
      <c r="S190" s="133">
        <f ca="1">SUM(T190:BG190)</f>
        <v>0</v>
      </c>
      <c r="T190" s="128">
        <f t="shared" ref="T190" ca="1" si="698">IF(T186="","",g_interest_FF4*(S189+(T187/2)-(T188/2)))</f>
        <v>0</v>
      </c>
      <c r="U190" s="128">
        <f t="shared" ref="U190" ca="1" si="699">IF(U186="","",g_interest_FF4*(T189+(U187/2)-(U188/2)))</f>
        <v>0</v>
      </c>
      <c r="V190" s="128">
        <f t="shared" ref="V190" ca="1" si="700">IF(V186="","",g_interest_FF4*(U189+(V187/2)-(V188/2)))</f>
        <v>0</v>
      </c>
      <c r="W190" s="128">
        <f t="shared" ref="W190" ca="1" si="701">IF(W186="","",g_interest_FF4*(V189+(W187/2)-(W188/2)))</f>
        <v>0</v>
      </c>
      <c r="X190" s="128" t="str">
        <f t="shared" ref="X190" ca="1" si="702">IF(X186="","",g_interest_FF4*(W189+(X187/2)-(X188/2)))</f>
        <v/>
      </c>
      <c r="Y190" s="128" t="str">
        <f t="shared" ref="Y190" ca="1" si="703">IF(Y186="","",g_interest_FF4*(X189+(Y187/2)-(Y188/2)))</f>
        <v/>
      </c>
      <c r="Z190" s="128" t="str">
        <f t="shared" ref="Z190" ca="1" si="704">IF(Z186="","",g_interest_FF4*(Y189+(Z187/2)-(Z188/2)))</f>
        <v/>
      </c>
      <c r="AA190" s="128" t="str">
        <f t="shared" ref="AA190" ca="1" si="705">IF(AA186="","",g_interest_FF4*(Z189+(AA187/2)-(AA188/2)))</f>
        <v/>
      </c>
      <c r="AB190" s="128" t="str">
        <f t="shared" ref="AB190" ca="1" si="706">IF(AB186="","",g_interest_FF4*(AA189+(AB187/2)-(AB188/2)))</f>
        <v/>
      </c>
      <c r="AC190" s="128" t="str">
        <f t="shared" ref="AC190" ca="1" si="707">IF(AC186="","",g_interest_FF4*(AB189+(AC187/2)-(AC188/2)))</f>
        <v/>
      </c>
      <c r="AD190" s="128" t="str">
        <f t="shared" ref="AD190" ca="1" si="708">IF(AD186="","",g_interest_FF4*(AC189+(AD187/2)-(AD188/2)))</f>
        <v/>
      </c>
      <c r="AE190" s="128" t="str">
        <f t="shared" ref="AE190" ca="1" si="709">IF(AE186="","",g_interest_FF4*(AD189+(AE187/2)-(AE188/2)))</f>
        <v/>
      </c>
      <c r="AF190" s="128" t="str">
        <f t="shared" ref="AF190" ca="1" si="710">IF(AF186="","",g_interest_FF4*(AE189+(AF187/2)-(AF188/2)))</f>
        <v/>
      </c>
      <c r="AG190" s="128" t="str">
        <f t="shared" ref="AG190" ca="1" si="711">IF(AG186="","",g_interest_FF4*(AF189+(AG187/2)-(AG188/2)))</f>
        <v/>
      </c>
      <c r="AH190" s="128" t="str">
        <f t="shared" ref="AH190" ca="1" si="712">IF(AH186="","",g_interest_FF4*(AG189+(AH187/2)-(AH188/2)))</f>
        <v/>
      </c>
      <c r="AI190" s="128" t="str">
        <f t="shared" ref="AI190" ca="1" si="713">IF(AI186="","",g_interest_FF4*(AH189+(AI187/2)-(AI188/2)))</f>
        <v/>
      </c>
      <c r="AJ190" s="128" t="str">
        <f t="shared" ref="AJ190" ca="1" si="714">IF(AJ186="","",g_interest_FF4*(AI189+(AJ187/2)-(AJ188/2)))</f>
        <v/>
      </c>
      <c r="AK190" s="128" t="str">
        <f t="shared" ref="AK190" ca="1" si="715">IF(AK186="","",g_interest_FF4*(AJ189+(AK187/2)-(AK188/2)))</f>
        <v/>
      </c>
      <c r="AL190" s="128" t="str">
        <f t="shared" ref="AL190" ca="1" si="716">IF(AL186="","",g_interest_FF4*(AK189+(AL187/2)-(AL188/2)))</f>
        <v/>
      </c>
      <c r="AM190" s="128" t="str">
        <f t="shared" ref="AM190" ca="1" si="717">IF(AM186="","",g_interest_FF4*(AL189+(AM187/2)-(AM188/2)))</f>
        <v/>
      </c>
      <c r="AN190" s="128" t="str">
        <f t="shared" ref="AN190" ca="1" si="718">IF(AN186="","",g_interest_FF4*(AM189+(AN187/2)-(AN188/2)))</f>
        <v/>
      </c>
      <c r="AO190" s="128" t="str">
        <f t="shared" ref="AO190" ca="1" si="719">IF(AO186="","",g_interest_FF4*(AN189+(AO187/2)-(AO188/2)))</f>
        <v/>
      </c>
      <c r="AP190" s="128" t="str">
        <f t="shared" ref="AP190" ca="1" si="720">IF(AP186="","",g_interest_FF4*(AO189+(AP187/2)-(AP188/2)))</f>
        <v/>
      </c>
      <c r="AQ190" s="128" t="str">
        <f t="shared" ref="AQ190" ca="1" si="721">IF(AQ186="","",g_interest_FF4*(AP189+(AQ187/2)-(AQ188/2)))</f>
        <v/>
      </c>
      <c r="AR190" s="128" t="str">
        <f t="shared" ref="AR190" ca="1" si="722">IF(AR186="","",g_interest_FF4*(AQ189+(AR187/2)-(AR188/2)))</f>
        <v/>
      </c>
      <c r="AS190" s="128" t="str">
        <f t="shared" ref="AS190" ca="1" si="723">IF(AS186="","",g_interest_FF4*(AR189+(AS187/2)-(AS188/2)))</f>
        <v/>
      </c>
      <c r="AT190" s="128" t="str">
        <f t="shared" ref="AT190" ca="1" si="724">IF(AT186="","",g_interest_FF4*(AS189+(AT187/2)-(AT188/2)))</f>
        <v/>
      </c>
      <c r="AU190" s="128" t="str">
        <f t="shared" ref="AU190" ca="1" si="725">IF(AU186="","",g_interest_FF4*(AT189+(AU187/2)-(AU188/2)))</f>
        <v/>
      </c>
      <c r="AV190" s="128" t="str">
        <f t="shared" ref="AV190" ca="1" si="726">IF(AV186="","",g_interest_FF4*(AU189+(AV187/2)-(AV188/2)))</f>
        <v/>
      </c>
      <c r="AW190" s="128" t="str">
        <f t="shared" ref="AW190" ca="1" si="727">IF(AW186="","",g_interest_FF4*(AV189+(AW187/2)-(AW188/2)))</f>
        <v/>
      </c>
      <c r="AX190" s="104"/>
      <c r="AY190" s="104"/>
      <c r="AZ190" s="101"/>
    </row>
    <row r="191" spans="3:52" ht="12.75" hidden="1" customHeight="1" outlineLevel="1" x14ac:dyDescent="0.25">
      <c r="N191" s="99"/>
      <c r="O191" s="104"/>
      <c r="P191" s="104"/>
      <c r="Q191" s="132" t="str">
        <f>INDEX(g_assets_sc_1,11)</f>
        <v/>
      </c>
      <c r="R191" s="132"/>
      <c r="S191" s="127"/>
      <c r="T191" s="139">
        <f ca="1">T$150</f>
        <v>2025</v>
      </c>
      <c r="U191" s="139">
        <f t="shared" ref="U191:AW191" ca="1" si="728">U$150</f>
        <v>2026</v>
      </c>
      <c r="V191" s="139">
        <f t="shared" ca="1" si="728"/>
        <v>2027</v>
      </c>
      <c r="W191" s="139">
        <f t="shared" ca="1" si="728"/>
        <v>2028</v>
      </c>
      <c r="X191" s="139" t="str">
        <f t="shared" ca="1" si="728"/>
        <v/>
      </c>
      <c r="Y191" s="139" t="str">
        <f t="shared" ca="1" si="728"/>
        <v/>
      </c>
      <c r="Z191" s="139" t="str">
        <f t="shared" ca="1" si="728"/>
        <v/>
      </c>
      <c r="AA191" s="139" t="str">
        <f t="shared" ca="1" si="728"/>
        <v/>
      </c>
      <c r="AB191" s="139" t="str">
        <f t="shared" ca="1" si="728"/>
        <v/>
      </c>
      <c r="AC191" s="139" t="str">
        <f t="shared" ca="1" si="728"/>
        <v/>
      </c>
      <c r="AD191" s="139" t="str">
        <f t="shared" ca="1" si="728"/>
        <v/>
      </c>
      <c r="AE191" s="139" t="str">
        <f t="shared" ca="1" si="728"/>
        <v/>
      </c>
      <c r="AF191" s="139" t="str">
        <f t="shared" ca="1" si="728"/>
        <v/>
      </c>
      <c r="AG191" s="139" t="str">
        <f t="shared" ca="1" si="728"/>
        <v/>
      </c>
      <c r="AH191" s="139" t="str">
        <f t="shared" ca="1" si="728"/>
        <v/>
      </c>
      <c r="AI191" s="139" t="str">
        <f t="shared" ca="1" si="728"/>
        <v/>
      </c>
      <c r="AJ191" s="139" t="str">
        <f t="shared" ca="1" si="728"/>
        <v/>
      </c>
      <c r="AK191" s="139" t="str">
        <f t="shared" ca="1" si="728"/>
        <v/>
      </c>
      <c r="AL191" s="139" t="str">
        <f t="shared" ca="1" si="728"/>
        <v/>
      </c>
      <c r="AM191" s="139" t="str">
        <f t="shared" ca="1" si="728"/>
        <v/>
      </c>
      <c r="AN191" s="139" t="str">
        <f t="shared" ca="1" si="728"/>
        <v/>
      </c>
      <c r="AO191" s="139" t="str">
        <f t="shared" ca="1" si="728"/>
        <v/>
      </c>
      <c r="AP191" s="139" t="str">
        <f t="shared" ca="1" si="728"/>
        <v/>
      </c>
      <c r="AQ191" s="139" t="str">
        <f t="shared" ca="1" si="728"/>
        <v/>
      </c>
      <c r="AR191" s="139" t="str">
        <f t="shared" ca="1" si="728"/>
        <v/>
      </c>
      <c r="AS191" s="139" t="str">
        <f t="shared" ca="1" si="728"/>
        <v/>
      </c>
      <c r="AT191" s="139" t="str">
        <f t="shared" ca="1" si="728"/>
        <v/>
      </c>
      <c r="AU191" s="139" t="str">
        <f t="shared" ca="1" si="728"/>
        <v/>
      </c>
      <c r="AV191" s="139" t="str">
        <f t="shared" ca="1" si="728"/>
        <v/>
      </c>
      <c r="AW191" s="139" t="str">
        <f t="shared" ca="1" si="728"/>
        <v/>
      </c>
      <c r="AX191" s="104"/>
      <c r="AY191" s="104"/>
      <c r="AZ191" s="101"/>
    </row>
    <row r="192" spans="3:52" ht="12.75" hidden="1" customHeight="1" outlineLevel="1" x14ac:dyDescent="0.25">
      <c r="C192" s="140">
        <f>INDEX(g_sc_1_assets_dates,G192)</f>
        <v>0</v>
      </c>
      <c r="G192" s="141">
        <v>9</v>
      </c>
      <c r="N192" s="99"/>
      <c r="O192" s="104"/>
      <c r="P192" s="104"/>
      <c r="Q192" s="129" t="str">
        <f>INDEX(g_lang_val,MATCH("tb_2_4_1",g_lang_key,0))</f>
        <v>Køb af anlægsaktiver</v>
      </c>
      <c r="R192" s="130"/>
      <c r="S192" s="133">
        <f ca="1">SUM(T192:BG192)</f>
        <v>0</v>
      </c>
      <c r="T192" s="128">
        <f ca="1">IF(T191="","",SUMPRODUCT(--(Leverancer!$C$28:$C$88=($G192+2)),Leverancer!D$28:D$88)/1000)</f>
        <v>0</v>
      </c>
      <c r="U192" s="128">
        <f ca="1">IF(U191="","",SUMPRODUCT(--(Leverancer!$C$28:$C$88=($G192+2)),Leverancer!E$28:E$88)/1000)</f>
        <v>0</v>
      </c>
      <c r="V192" s="128">
        <f ca="1">IF(V191="","",SUMPRODUCT(--(Leverancer!$C$28:$C$88=($G192+2)),Leverancer!F$28:F$88)/1000)</f>
        <v>0</v>
      </c>
      <c r="W192" s="128">
        <f ca="1">IF(W191="","",SUMPRODUCT(--(Leverancer!$C$28:$C$88=($G192+2)),Leverancer!G$28:G$88)/1000)</f>
        <v>0</v>
      </c>
      <c r="X192" s="128" t="str">
        <f ca="1">IF(X191="","",SUMPRODUCT(--(Leverancer!$C$28:$C$88=($G192+2)),Leverancer!H$28:H$88)/1000)</f>
        <v/>
      </c>
      <c r="Y192" s="128" t="str">
        <f ca="1">IF(Y191="","",SUMPRODUCT(--(Leverancer!$C$28:$C$88=($G192+2)),Leverancer!I$28:I$88)/1000)</f>
        <v/>
      </c>
      <c r="Z192" s="128" t="str">
        <f ca="1">IF(Z191="","",SUMPRODUCT(--(Leverancer!$C$28:$C$88=($G192+2)),Leverancer!J$28:J$88)/1000)</f>
        <v/>
      </c>
      <c r="AA192" s="128" t="str">
        <f ca="1">IF(AA191="","",SUMPRODUCT(--(Leverancer!$C$28:$C$88=($G192+2)),Leverancer!K$28:K$88)/1000)</f>
        <v/>
      </c>
      <c r="AB192" s="128" t="str">
        <f ca="1">IF(AB191="","",SUMPRODUCT(--(Leverancer!$C$28:$C$88=($G192+2)),Leverancer!L$28:L$88)/1000)</f>
        <v/>
      </c>
      <c r="AC192" s="128" t="str">
        <f ca="1">IF(AC191="","",SUMPRODUCT(--(Leverancer!$C$28:$C$88=($G192+2)),Leverancer!M$28:M$88)/1000)</f>
        <v/>
      </c>
      <c r="AD192" s="128" t="str">
        <f ca="1">IF(AD191="","",SUMPRODUCT(--(Leverancer!$C$28:$C$88=($G192+2)),Leverancer!N$28:N$88)/1000)</f>
        <v/>
      </c>
      <c r="AE192" s="128" t="str">
        <f ca="1">IF(AE191="","",SUMPRODUCT(--(Leverancer!$C$28:$C$88=($G192+2)),Leverancer!O$28:O$88)/1000)</f>
        <v/>
      </c>
      <c r="AF192" s="128" t="str">
        <f ca="1">IF(AF191="","",SUMPRODUCT(--(Leverancer!$C$28:$C$88=($G192+2)),Leverancer!P$28:P$88)/1000)</f>
        <v/>
      </c>
      <c r="AG192" s="128" t="str">
        <f ca="1">IF(AG191="","",SUMPRODUCT(--(Leverancer!$C$28:$C$88=($G192+2)),Leverancer!Q$28:Q$88)/1000)</f>
        <v/>
      </c>
      <c r="AH192" s="128" t="str">
        <f ca="1">IF(AH191="","",SUMPRODUCT(--(Leverancer!$C$28:$C$88=($G192+2)),Leverancer!R$28:R$88)/1000)</f>
        <v/>
      </c>
      <c r="AI192" s="128" t="str">
        <f ca="1">IF(AI191="","",SUMPRODUCT(--(Leverancer!$C$28:$C$88=($G192+2)),Leverancer!S$28:S$88)/1000)</f>
        <v/>
      </c>
      <c r="AJ192" s="128" t="str">
        <f ca="1">IF(AJ191="","",SUMPRODUCT(--(Leverancer!$C$28:$C$88=($G192+2)),Leverancer!T$28:T$88)/1000)</f>
        <v/>
      </c>
      <c r="AK192" s="128" t="str">
        <f ca="1">IF(AK191="","",SUMPRODUCT(--(Leverancer!$C$28:$C$88=($G192+2)),Leverancer!U$28:U$88)/1000)</f>
        <v/>
      </c>
      <c r="AL192" s="128" t="str">
        <f ca="1">IF(AL191="","",SUMPRODUCT(--(Leverancer!$C$28:$C$88=($G192+2)),Leverancer!V$28:V$88)/1000)</f>
        <v/>
      </c>
      <c r="AM192" s="128" t="str">
        <f ca="1">IF(AM191="","",SUMPRODUCT(--(Leverancer!$C$28:$C$88=($G192+2)),Leverancer!W$28:W$88)/1000)</f>
        <v/>
      </c>
      <c r="AN192" s="128" t="str">
        <f ca="1">IF(AN191="","",SUMPRODUCT(--(Leverancer!$C$28:$C$88=($G192+2)),Leverancer!X$28:X$88)/1000)</f>
        <v/>
      </c>
      <c r="AO192" s="128" t="str">
        <f ca="1">IF(AO191="","",SUMPRODUCT(--(Leverancer!$C$28:$C$88=($G192+2)),Leverancer!Y$28:Y$88)/1000)</f>
        <v/>
      </c>
      <c r="AP192" s="128" t="str">
        <f ca="1">IF(AP191="","",SUMPRODUCT(--(Leverancer!$C$28:$C$88=($G192+2)),Leverancer!Z$28:Z$88)/1000)</f>
        <v/>
      </c>
      <c r="AQ192" s="128" t="str">
        <f ca="1">IF(AQ191="","",SUMPRODUCT(--(Leverancer!$C$28:$C$88=($G192+2)),Leverancer!AA$28:AA$88)/1000)</f>
        <v/>
      </c>
      <c r="AR192" s="128" t="str">
        <f ca="1">IF(AR191="","",SUMPRODUCT(--(Leverancer!$C$28:$C$88=($G192+2)),Leverancer!AB$28:AB$88)/1000)</f>
        <v/>
      </c>
      <c r="AS192" s="128" t="str">
        <f ca="1">IF(AS191="","",SUMPRODUCT(--(Leverancer!$C$28:$C$88=($G192+2)),Leverancer!AC$28:AC$88)/1000)</f>
        <v/>
      </c>
      <c r="AT192" s="128" t="str">
        <f ca="1">IF(AT191="","",SUMPRODUCT(--(Leverancer!$C$28:$C$88=($G192+2)),Leverancer!AD$28:AD$88)/1000)</f>
        <v/>
      </c>
      <c r="AU192" s="128" t="str">
        <f ca="1">IF(AU191="","",SUMPRODUCT(--(Leverancer!$C$28:$C$88=($G192+2)),Leverancer!AE$28:AE$88)/1000)</f>
        <v/>
      </c>
      <c r="AV192" s="128" t="str">
        <f ca="1">IF(AV191="","",SUMPRODUCT(--(Leverancer!$C$28:$C$88=($G192+2)),Leverancer!AF$28:AF$88)/1000)</f>
        <v/>
      </c>
      <c r="AW192" s="128" t="str">
        <f ca="1">IF(AW191="","",SUMPRODUCT(--(Leverancer!$C$28:$C$88=($G192+2)),Leverancer!AG$28:AG$88)/1000)</f>
        <v/>
      </c>
      <c r="AX192" s="128"/>
      <c r="AY192" s="104"/>
      <c r="AZ192" s="101"/>
    </row>
    <row r="193" spans="3:52" ht="12.75" hidden="1" customHeight="1" outlineLevel="1" x14ac:dyDescent="0.25">
      <c r="C193" s="142">
        <f>IFERROR(YEAR(C192),"")</f>
        <v>1900</v>
      </c>
      <c r="D193" s="142">
        <f>IFERROR(MONTH(C192),"")</f>
        <v>1</v>
      </c>
      <c r="E193" s="142">
        <f>INDEX(g_sc_1_assets_years,G192)</f>
        <v>0</v>
      </c>
      <c r="N193" s="99"/>
      <c r="O193" s="104"/>
      <c r="P193" s="104"/>
      <c r="Q193" s="129" t="str">
        <f>INDEX(g_lang_val,MATCH("tb_2_4_2",g_lang_key,0))</f>
        <v>Afskrivninger</v>
      </c>
      <c r="R193" s="130"/>
      <c r="S193" s="133">
        <f ca="1">SUM(T193:BG193)</f>
        <v>0</v>
      </c>
      <c r="T193" s="128">
        <f t="shared" ref="T193" ca="1" si="729">IF(T191="","",IF(T191&lt;$C193,0,IF(T191=$C193,T192/$C194*$E194+S194/$C194*$E194,IF(AND(T191&gt;$C193,T191&lt;ROUNDDOWN(($C193+($D193+$C194-1)/12),0)),(T192/2+S194)/($C194-$E194-12*(T191-$C193-1))*12,IF(AND($D194&lt;0,T191=ROUNDDOWN(($C193+($D193+$C194-1)/12),0)),S194+T192,IF(T191=ROUNDDOWN(($C193+($D193+$C194-1)/12),0),(T192+S194)/$C194*($D194+(T191-$C193-1)*12+$E194),IF(T191&gt;ROUNDDOWN(($C193+($D193+$C194)/12),0),0,0)))))))</f>
        <v>0</v>
      </c>
      <c r="U193" s="128">
        <f t="shared" ref="U193" ca="1" si="730">IF(U191="","",IF(U191&lt;$C193,0,IF(U191=$C193,U192/$C194*$E194+T194/$C194*$E194,IF(AND(U191&gt;$C193,U191&lt;ROUNDDOWN(($C193+($D193+$C194-1)/12),0)),(U192/2+T194)/($C194-$E194-12*(U191-$C193-1))*12,IF(AND($D194&lt;0,U191=ROUNDDOWN(($C193+($D193+$C194-1)/12),0)),T194+U192,IF(U191=ROUNDDOWN(($C193+($D193+$C194-1)/12),0),(U192+T194)/$C194*($D194+(U191-$C193-1)*12+$E194),IF(U191&gt;ROUNDDOWN(($C193+($D193+$C194)/12),0),0,0)))))))</f>
        <v>0</v>
      </c>
      <c r="V193" s="128">
        <f t="shared" ref="V193" ca="1" si="731">IF(V191="","",IF(V191&lt;$C193,0,IF(V191=$C193,V192/$C194*$E194+U194/$C194*$E194,IF(AND(V191&gt;$C193,V191&lt;ROUNDDOWN(($C193+($D193+$C194-1)/12),0)),(V192/2+U194)/($C194-$E194-12*(V191-$C193-1))*12,IF(AND($D194&lt;0,V191=ROUNDDOWN(($C193+($D193+$C194-1)/12),0)),U194+V192,IF(V191=ROUNDDOWN(($C193+($D193+$C194-1)/12),0),(V192+U194)/$C194*($D194+(V191-$C193-1)*12+$E194),IF(V191&gt;ROUNDDOWN(($C193+($D193+$C194)/12),0),0,0)))))))</f>
        <v>0</v>
      </c>
      <c r="W193" s="128">
        <f t="shared" ref="W193" ca="1" si="732">IF(W191="","",IF(W191&lt;$C193,0,IF(W191=$C193,W192/$C194*$E194+V194/$C194*$E194,IF(AND(W191&gt;$C193,W191&lt;ROUNDDOWN(($C193+($D193+$C194-1)/12),0)),(W192/2+V194)/($C194-$E194-12*(W191-$C193-1))*12,IF(AND($D194&lt;0,W191=ROUNDDOWN(($C193+($D193+$C194-1)/12),0)),V194+W192,IF(W191=ROUNDDOWN(($C193+($D193+$C194-1)/12),0),(W192+V194)/$C194*($D194+(W191-$C193-1)*12+$E194),IF(W191&gt;ROUNDDOWN(($C193+($D193+$C194)/12),0),0,0)))))))</f>
        <v>0</v>
      </c>
      <c r="X193" s="128" t="str">
        <f t="shared" ref="X193" ca="1" si="733">IF(X191="","",IF(X191&lt;$C193,0,IF(X191=$C193,X192/$C194*$E194+W194/$C194*$E194,IF(AND(X191&gt;$C193,X191&lt;ROUNDDOWN(($C193+($D193+$C194-1)/12),0)),(X192/2+W194)/($C194-$E194-12*(X191-$C193-1))*12,IF(AND($D194&lt;0,X191=ROUNDDOWN(($C193+($D193+$C194-1)/12),0)),W194+X192,IF(X191=ROUNDDOWN(($C193+($D193+$C194-1)/12),0),(X192+W194)/$C194*($D194+(X191-$C193-1)*12+$E194),IF(X191&gt;ROUNDDOWN(($C193+($D193+$C194)/12),0),0,0)))))))</f>
        <v/>
      </c>
      <c r="Y193" s="128" t="str">
        <f t="shared" ref="Y193" ca="1" si="734">IF(Y191="","",IF(Y191&lt;$C193,0,IF(Y191=$C193,Y192/$C194*$E194+X194/$C194*$E194,IF(AND(Y191&gt;$C193,Y191&lt;ROUNDDOWN(($C193+($D193+$C194-1)/12),0)),(Y192/2+X194)/($C194-$E194-12*(Y191-$C193-1))*12,IF(AND($D194&lt;0,Y191=ROUNDDOWN(($C193+($D193+$C194-1)/12),0)),X194+Y192,IF(Y191=ROUNDDOWN(($C193+($D193+$C194-1)/12),0),(Y192+X194)/$C194*($D194+(Y191-$C193-1)*12+$E194),IF(Y191&gt;ROUNDDOWN(($C193+($D193+$C194)/12),0),0,0)))))))</f>
        <v/>
      </c>
      <c r="Z193" s="128" t="str">
        <f ca="1">IF(Z191="","",IF(Z191&lt;$C193,0,IF(Z191=$C193,Z192/$C194*$E194+Y194/$C194*$E194,IF(AND(Z191&gt;$C193,Z191&lt;ROUNDDOWN(($C193+($D193+$C194-1)/12),0)),(Z192/2+Y194)/($C194-$E194-12*(Z191-$C193-1))*12,IF(AND($D194&lt;0,Z191=ROUNDDOWN(($C193+($D193+$C194-1)/12),0)),Y194+Z192,IF(Z191=ROUNDDOWN(($C193+($D193+$C194-1)/12),0),(Z192+Y194)/$C194*($D194+(Z191-$C193-1)*12+$E194),IF(Z191&gt;ROUNDDOWN(($C193+($D193+$C194)/12),0),0,0)))))))</f>
        <v/>
      </c>
      <c r="AA193" s="128" t="str">
        <f t="shared" ref="AA193" ca="1" si="735">IF(AA191="","",IF(AA191&lt;$C193,0,IF(AA191=$C193,AA192/$C194*$E194+Z194/$C194*$E194,IF(AND(AA191&gt;$C193,AA191&lt;ROUNDDOWN(($C193+($D193+$C194-1)/12),0)),(AA192/2+Z194)/($C194-$E194-12*(AA191-$C193-1))*12,IF(AND($D194&lt;0,AA191=ROUNDDOWN(($C193+($D193+$C194-1)/12),0)),Z194+AA192,IF(AA191=ROUNDDOWN(($C193+($D193+$C194-1)/12),0),(AA192+Z194)/$C194*($D194+(AA191-$C193-1)*12+$E194),IF(AA191&gt;ROUNDDOWN(($C193+($D193+$C194)/12),0),0,0)))))))</f>
        <v/>
      </c>
      <c r="AB193" s="128" t="str">
        <f t="shared" ref="AB193" ca="1" si="736">IF(AB191="","",IF(AB191&lt;$C193,0,IF(AB191=$C193,AB192/$C194*$E194+AA194/$C194*$E194,IF(AND(AB191&gt;$C193,AB191&lt;ROUNDDOWN(($C193+($D193+$C194-1)/12),0)),(AB192/2+AA194)/($C194-$E194-12*(AB191-$C193-1))*12,IF(AND($D194&lt;0,AB191=ROUNDDOWN(($C193+($D193+$C194-1)/12),0)),AA194+AB192,IF(AB191=ROUNDDOWN(($C193+($D193+$C194-1)/12),0),(AB192+AA194)/$C194*($D194+(AB191-$C193-1)*12+$E194),IF(AB191&gt;ROUNDDOWN(($C193+($D193+$C194)/12),0),0,0)))))))</f>
        <v/>
      </c>
      <c r="AC193" s="128" t="str">
        <f t="shared" ref="AC193" ca="1" si="737">IF(AC191="","",IF(AC191&lt;$C193,0,IF(AC191=$C193,AC192/$C194*$E194+AB194/$C194*$E194,IF(AND(AC191&gt;$C193,AC191&lt;ROUNDDOWN(($C193+($D193+$C194-1)/12),0)),(AC192/2+AB194)/($C194-$E194-12*(AC191-$C193-1))*12,IF(AND($D194&lt;0,AC191=ROUNDDOWN(($C193+($D193+$C194-1)/12),0)),AB194+AC192,IF(AC191=ROUNDDOWN(($C193+($D193+$C194-1)/12),0),(AC192+AB194)/$C194*($D194+(AC191-$C193-1)*12+$E194),IF(AC191&gt;ROUNDDOWN(($C193+($D193+$C194)/12),0),0,0)))))))</f>
        <v/>
      </c>
      <c r="AD193" s="128" t="str">
        <f t="shared" ref="AD193" ca="1" si="738">IF(AD191="","",IF(AD191&lt;$C193,0,IF(AD191=$C193,AD192/$C194*$E194+AC194/$C194*$E194,IF(AND(AD191&gt;$C193,AD191&lt;ROUNDDOWN(($C193+($D193+$C194-1)/12),0)),(AD192/2+AC194)/($C194-$E194-12*(AD191-$C193-1))*12,IF(AND($D194&lt;0,AD191=ROUNDDOWN(($C193+($D193+$C194-1)/12),0)),AC194+AD192,IF(AD191=ROUNDDOWN(($C193+($D193+$C194-1)/12),0),(AD192+AC194)/$C194*($D194+(AD191-$C193-1)*12+$E194),IF(AD191&gt;ROUNDDOWN(($C193+($D193+$C194)/12),0),0,0)))))))</f>
        <v/>
      </c>
      <c r="AE193" s="128" t="str">
        <f t="shared" ref="AE193" ca="1" si="739">IF(AE191="","",IF(AE191&lt;$C193,0,IF(AE191=$C193,AE192/$C194*$E194+AD194/$C194*$E194,IF(AND(AE191&gt;$C193,AE191&lt;ROUNDDOWN(($C193+($D193+$C194-1)/12),0)),(AE192/2+AD194)/($C194-$E194-12*(AE191-$C193-1))*12,IF(AND($D194&lt;0,AE191=ROUNDDOWN(($C193+($D193+$C194-1)/12),0)),AD194+AE192,IF(AE191=ROUNDDOWN(($C193+($D193+$C194-1)/12),0),(AE192+AD194)/$C194*($D194+(AE191-$C193-1)*12+$E194),IF(AE191&gt;ROUNDDOWN(($C193+($D193+$C194)/12),0),0,0)))))))</f>
        <v/>
      </c>
      <c r="AF193" s="128" t="str">
        <f t="shared" ref="AF193" ca="1" si="740">IF(AF191="","",IF(AF191&lt;$C193,0,IF(AF191=$C193,AF192/$C194*$E194+AE194/$C194*$E194,IF(AND(AF191&gt;$C193,AF191&lt;ROUNDDOWN(($C193+($D193+$C194-1)/12),0)),(AF192/2+AE194)/($C194-$E194-12*(AF191-$C193-1))*12,IF(AND($D194&lt;0,AF191=ROUNDDOWN(($C193+($D193+$C194-1)/12),0)),AE194+AF192,IF(AF191=ROUNDDOWN(($C193+($D193+$C194-1)/12),0),(AF192+AE194)/$C194*($D194+(AF191-$C193-1)*12+$E194),IF(AF191&gt;ROUNDDOWN(($C193+($D193+$C194)/12),0),0,0)))))))</f>
        <v/>
      </c>
      <c r="AG193" s="128" t="str">
        <f t="shared" ref="AG193" ca="1" si="741">IF(AG191="","",IF(AG191&lt;$C193,0,IF(AG191=$C193,AG192/$C194*$E194+AF194/$C194*$E194,IF(AND(AG191&gt;$C193,AG191&lt;ROUNDDOWN(($C193+($D193+$C194-1)/12),0)),(AG192/2+AF194)/($C194-$E194-12*(AG191-$C193-1))*12,IF(AND($D194&lt;0,AG191=ROUNDDOWN(($C193+($D193+$C194-1)/12),0)),AF194+AG192,IF(AG191=ROUNDDOWN(($C193+($D193+$C194-1)/12),0),(AG192+AF194)/$C194*($D194+(AG191-$C193-1)*12+$E194),IF(AG191&gt;ROUNDDOWN(($C193+($D193+$C194)/12),0),0,0)))))))</f>
        <v/>
      </c>
      <c r="AH193" s="128" t="str">
        <f t="shared" ref="AH193" ca="1" si="742">IF(AH191="","",IF(AH191&lt;$C193,0,IF(AH191=$C193,AH192/$C194*$E194+AG194/$C194*$E194,IF(AND(AH191&gt;$C193,AH191&lt;ROUNDDOWN(($C193+($D193+$C194-1)/12),0)),(AH192/2+AG194)/($C194-$E194-12*(AH191-$C193-1))*12,IF(AND($D194&lt;0,AH191=ROUNDDOWN(($C193+($D193+$C194-1)/12),0)),AG194+AH192,IF(AH191=ROUNDDOWN(($C193+($D193+$C194-1)/12),0),(AH192+AG194)/$C194*($D194+(AH191-$C193-1)*12+$E194),IF(AH191&gt;ROUNDDOWN(($C193+($D193+$C194)/12),0),0,0)))))))</f>
        <v/>
      </c>
      <c r="AI193" s="128" t="str">
        <f t="shared" ref="AI193" ca="1" si="743">IF(AI191="","",IF(AI191&lt;$C193,0,IF(AI191=$C193,AI192/$C194*$E194+AH194/$C194*$E194,IF(AND(AI191&gt;$C193,AI191&lt;ROUNDDOWN(($C193+($D193+$C194-1)/12),0)),(AI192/2+AH194)/($C194-$E194-12*(AI191-$C193-1))*12,IF(AND($D194&lt;0,AI191=ROUNDDOWN(($C193+($D193+$C194-1)/12),0)),AH194+AI192,IF(AI191=ROUNDDOWN(($C193+($D193+$C194-1)/12),0),(AI192+AH194)/$C194*($D194+(AI191-$C193-1)*12+$E194),IF(AI191&gt;ROUNDDOWN(($C193+($D193+$C194)/12),0),0,0)))))))</f>
        <v/>
      </c>
      <c r="AJ193" s="128" t="str">
        <f t="shared" ref="AJ193" ca="1" si="744">IF(AJ191="","",IF(AJ191&lt;$C193,0,IF(AJ191=$C193,AJ192/$C194*$E194+AI194/$C194*$E194,IF(AND(AJ191&gt;$C193,AJ191&lt;ROUNDDOWN(($C193+($D193+$C194-1)/12),0)),(AJ192/2+AI194)/($C194-$E194-12*(AJ191-$C193-1))*12,IF(AND($D194&lt;0,AJ191=ROUNDDOWN(($C193+($D193+$C194-1)/12),0)),AI194+AJ192,IF(AJ191=ROUNDDOWN(($C193+($D193+$C194-1)/12),0),(AJ192+AI194)/$C194*($D194+(AJ191-$C193-1)*12+$E194),IF(AJ191&gt;ROUNDDOWN(($C193+($D193+$C194)/12),0),0,0)))))))</f>
        <v/>
      </c>
      <c r="AK193" s="128" t="str">
        <f t="shared" ref="AK193" ca="1" si="745">IF(AK191="","",IF(AK191&lt;$C193,0,IF(AK191=$C193,AK192/$C194*$E194+AJ194/$C194*$E194,IF(AND(AK191&gt;$C193,AK191&lt;ROUNDDOWN(($C193+($D193+$C194-1)/12),0)),(AK192/2+AJ194)/($C194-$E194-12*(AK191-$C193-1))*12,IF(AND($D194&lt;0,AK191=ROUNDDOWN(($C193+($D193+$C194-1)/12),0)),AJ194+AK192,IF(AK191=ROUNDDOWN(($C193+($D193+$C194-1)/12),0),(AK192+AJ194)/$C194*($D194+(AK191-$C193-1)*12+$E194),IF(AK191&gt;ROUNDDOWN(($C193+($D193+$C194)/12),0),0,0)))))))</f>
        <v/>
      </c>
      <c r="AL193" s="128" t="str">
        <f t="shared" ref="AL193" ca="1" si="746">IF(AL191="","",IF(AL191&lt;$C193,0,IF(AL191=$C193,AL192/$C194*$E194+AK194/$C194*$E194,IF(AND(AL191&gt;$C193,AL191&lt;ROUNDDOWN(($C193+($D193+$C194-1)/12),0)),(AL192/2+AK194)/($C194-$E194-12*(AL191-$C193-1))*12,IF(AND($D194&lt;0,AL191=ROUNDDOWN(($C193+($D193+$C194-1)/12),0)),AK194+AL192,IF(AL191=ROUNDDOWN(($C193+($D193+$C194-1)/12),0),(AL192+AK194)/$C194*($D194+(AL191-$C193-1)*12+$E194),IF(AL191&gt;ROUNDDOWN(($C193+($D193+$C194)/12),0),0,0)))))))</f>
        <v/>
      </c>
      <c r="AM193" s="128" t="str">
        <f t="shared" ref="AM193" ca="1" si="747">IF(AM191="","",IF(AM191&lt;$C193,0,IF(AM191=$C193,AM192/$C194*$E194+AL194/$C194*$E194,IF(AND(AM191&gt;$C193,AM191&lt;ROUNDDOWN(($C193+($D193+$C194-1)/12),0)),(AM192/2+AL194)/($C194-$E194-12*(AM191-$C193-1))*12,IF(AND($D194&lt;0,AM191=ROUNDDOWN(($C193+($D193+$C194-1)/12),0)),AL194+AM192,IF(AM191=ROUNDDOWN(($C193+($D193+$C194-1)/12),0),(AM192+AL194)/$C194*($D194+(AM191-$C193-1)*12+$E194),IF(AM191&gt;ROUNDDOWN(($C193+($D193+$C194)/12),0),0,0)))))))</f>
        <v/>
      </c>
      <c r="AN193" s="128" t="str">
        <f t="shared" ref="AN193" ca="1" si="748">IF(AN191="","",IF(AN191&lt;$C193,0,IF(AN191=$C193,AN192/$C194*$E194+AM194/$C194*$E194,IF(AND(AN191&gt;$C193,AN191&lt;ROUNDDOWN(($C193+($D193+$C194-1)/12),0)),(AN192/2+AM194)/($C194-$E194-12*(AN191-$C193-1))*12,IF(AND($D194&lt;0,AN191=ROUNDDOWN(($C193+($D193+$C194-1)/12),0)),AM194+AN192,IF(AN191=ROUNDDOWN(($C193+($D193+$C194-1)/12),0),(AN192+AM194)/$C194*($D194+(AN191-$C193-1)*12+$E194),IF(AN191&gt;ROUNDDOWN(($C193+($D193+$C194)/12),0),0,0)))))))</f>
        <v/>
      </c>
      <c r="AO193" s="128" t="str">
        <f t="shared" ref="AO193" ca="1" si="749">IF(AO191="","",IF(AO191&lt;$C193,0,IF(AO191=$C193,AO192/$C194*$E194+AN194/$C194*$E194,IF(AND(AO191&gt;$C193,AO191&lt;ROUNDDOWN(($C193+($D193+$C194-1)/12),0)),(AO192/2+AN194)/($C194-$E194-12*(AO191-$C193-1))*12,IF(AND($D194&lt;0,AO191=ROUNDDOWN(($C193+($D193+$C194-1)/12),0)),AN194+AO192,IF(AO191=ROUNDDOWN(($C193+($D193+$C194-1)/12),0),(AO192+AN194)/$C194*($D194+(AO191-$C193-1)*12+$E194),IF(AO191&gt;ROUNDDOWN(($C193+($D193+$C194)/12),0),0,0)))))))</f>
        <v/>
      </c>
      <c r="AP193" s="128" t="str">
        <f t="shared" ref="AP193" ca="1" si="750">IF(AP191="","",IF(AP191&lt;$C193,0,IF(AP191=$C193,AP192/$C194*$E194+AO194/$C194*$E194,IF(AND(AP191&gt;$C193,AP191&lt;ROUNDDOWN(($C193+($D193+$C194-1)/12),0)),(AP192/2+AO194)/($C194-$E194-12*(AP191-$C193-1))*12,IF(AND($D194&lt;0,AP191=ROUNDDOWN(($C193+($D193+$C194-1)/12),0)),AO194+AP192,IF(AP191=ROUNDDOWN(($C193+($D193+$C194-1)/12),0),(AP192+AO194)/$C194*($D194+(AP191-$C193-1)*12+$E194),IF(AP191&gt;ROUNDDOWN(($C193+($D193+$C194)/12),0),0,0)))))))</f>
        <v/>
      </c>
      <c r="AQ193" s="128" t="str">
        <f t="shared" ref="AQ193" ca="1" si="751">IF(AQ191="","",IF(AQ191&lt;$C193,0,IF(AQ191=$C193,AQ192/$C194*$E194+AP194/$C194*$E194,IF(AND(AQ191&gt;$C193,AQ191&lt;ROUNDDOWN(($C193+($D193+$C194-1)/12),0)),(AQ192/2+AP194)/($C194-$E194-12*(AQ191-$C193-1))*12,IF(AND($D194&lt;0,AQ191=ROUNDDOWN(($C193+($D193+$C194-1)/12),0)),AP194+AQ192,IF(AQ191=ROUNDDOWN(($C193+($D193+$C194-1)/12),0),(AQ192+AP194)/$C194*($D194+(AQ191-$C193-1)*12+$E194),IF(AQ191&gt;ROUNDDOWN(($C193+($D193+$C194)/12),0),0,0)))))))</f>
        <v/>
      </c>
      <c r="AR193" s="128" t="str">
        <f t="shared" ref="AR193" ca="1" si="752">IF(AR191="","",IF(AR191&lt;$C193,0,IF(AR191=$C193,AR192/$C194*$E194+AQ194/$C194*$E194,IF(AND(AR191&gt;$C193,AR191&lt;ROUNDDOWN(($C193+($D193+$C194-1)/12),0)),(AR192/2+AQ194)/($C194-$E194-12*(AR191-$C193-1))*12,IF(AND($D194&lt;0,AR191=ROUNDDOWN(($C193+($D193+$C194-1)/12),0)),AQ194+AR192,IF(AR191=ROUNDDOWN(($C193+($D193+$C194-1)/12),0),(AR192+AQ194)/$C194*($D194+(AR191-$C193-1)*12+$E194),IF(AR191&gt;ROUNDDOWN(($C193+($D193+$C194)/12),0),0,0)))))))</f>
        <v/>
      </c>
      <c r="AS193" s="128" t="str">
        <f t="shared" ref="AS193" ca="1" si="753">IF(AS191="","",IF(AS191&lt;$C193,0,IF(AS191=$C193,AS192/$C194*$E194+AR194/$C194*$E194,IF(AND(AS191&gt;$C193,AS191&lt;ROUNDDOWN(($C193+($D193+$C194-1)/12),0)),(AS192/2+AR194)/($C194-$E194-12*(AS191-$C193-1))*12,IF(AND($D194&lt;0,AS191=ROUNDDOWN(($C193+($D193+$C194-1)/12),0)),AR194+AS192,IF(AS191=ROUNDDOWN(($C193+($D193+$C194-1)/12),0),(AS192+AR194)/$C194*($D194+(AS191-$C193-1)*12+$E194),IF(AS191&gt;ROUNDDOWN(($C193+($D193+$C194)/12),0),0,0)))))))</f>
        <v/>
      </c>
      <c r="AT193" s="128" t="str">
        <f t="shared" ref="AT193" ca="1" si="754">IF(AT191="","",IF(AT191&lt;$C193,0,IF(AT191=$C193,AT192/$C194*$E194+AS194/$C194*$E194,IF(AND(AT191&gt;$C193,AT191&lt;ROUNDDOWN(($C193+($D193+$C194-1)/12),0)),(AT192/2+AS194)/($C194-$E194-12*(AT191-$C193-1))*12,IF(AND($D194&lt;0,AT191=ROUNDDOWN(($C193+($D193+$C194-1)/12),0)),AS194+AT192,IF(AT191=ROUNDDOWN(($C193+($D193+$C194-1)/12),0),(AT192+AS194)/$C194*($D194+(AT191-$C193-1)*12+$E194),IF(AT191&gt;ROUNDDOWN(($C193+($D193+$C194)/12),0),0,0)))))))</f>
        <v/>
      </c>
      <c r="AU193" s="128" t="str">
        <f t="shared" ref="AU193" ca="1" si="755">IF(AU191="","",IF(AU191&lt;$C193,0,IF(AU191=$C193,AU192/$C194*$E194+AT194/$C194*$E194,IF(AND(AU191&gt;$C193,AU191&lt;ROUNDDOWN(($C193+($D193+$C194-1)/12),0)),(AU192/2+AT194)/($C194-$E194-12*(AU191-$C193-1))*12,IF(AND($D194&lt;0,AU191=ROUNDDOWN(($C193+($D193+$C194-1)/12),0)),AT194+AU192,IF(AU191=ROUNDDOWN(($C193+($D193+$C194-1)/12),0),(AU192+AT194)/$C194*($D194+(AU191-$C193-1)*12+$E194),IF(AU191&gt;ROUNDDOWN(($C193+($D193+$C194)/12),0),0,0)))))))</f>
        <v/>
      </c>
      <c r="AV193" s="128" t="str">
        <f t="shared" ref="AV193" ca="1" si="756">IF(AV191="","",IF(AV191&lt;$C193,0,IF(AV191=$C193,AV192/$C194*$E194+AU194/$C194*$E194,IF(AND(AV191&gt;$C193,AV191&lt;ROUNDDOWN(($C193+($D193+$C194-1)/12),0)),(AV192/2+AU194)/($C194-$E194-12*(AV191-$C193-1))*12,IF(AND($D194&lt;0,AV191=ROUNDDOWN(($C193+($D193+$C194-1)/12),0)),AU194+AV192,IF(AV191=ROUNDDOWN(($C193+($D193+$C194-1)/12),0),(AV192+AU194)/$C194*($D194+(AV191-$C193-1)*12+$E194),IF(AV191&gt;ROUNDDOWN(($C193+($D193+$C194)/12),0),0,0)))))))</f>
        <v/>
      </c>
      <c r="AW193" s="128" t="str">
        <f t="shared" ref="AW193" ca="1" si="757">IF(AW191="","",IF(AW191&lt;$C193,0,IF(AW191=$C193,AW192/$C194*$E194+AV194/$C194*$E194,IF(AND(AW191&gt;$C193,AW191&lt;ROUNDDOWN(($C193+($D193+$C194-1)/12),0)),(AW192/2+AV194)/($C194-$E194-12*(AW191-$C193-1))*12,IF(AND($D194&lt;0,AW191=ROUNDDOWN(($C193+($D193+$C194-1)/12),0)),AV194+AW192,IF(AW191=ROUNDDOWN(($C193+($D193+$C194-1)/12),0),(AW192+AV194)/$C194*($D194+(AW191-$C193-1)*12+$E194),IF(AW191&gt;ROUNDDOWN(($C193+($D193+$C194)/12),0),0,0)))))))</f>
        <v/>
      </c>
      <c r="AX193" s="104"/>
      <c r="AY193" s="104"/>
      <c r="AZ193" s="101"/>
    </row>
    <row r="194" spans="3:52" ht="12.75" hidden="1" customHeight="1" outlineLevel="1" x14ac:dyDescent="0.25">
      <c r="C194" s="142">
        <f>ROUNDUP((E193-ROUNDDOWN(E193,0))*12,0)+ROUNDDOWN(E193,0)*12</f>
        <v>0</v>
      </c>
      <c r="D194" s="142">
        <f>C194-E194-ROUNDDOWN(E193,0)*12</f>
        <v>-12</v>
      </c>
      <c r="E194" s="142">
        <f>13-MONTH(C192)</f>
        <v>12</v>
      </c>
      <c r="N194" s="99"/>
      <c r="O194" s="104"/>
      <c r="P194" s="104"/>
      <c r="Q194" s="129" t="str">
        <f>INDEX(g_lang_val,MATCH("tb_2_4_3",g_lang_key,0))</f>
        <v>FF4-gæld, ultimo året</v>
      </c>
      <c r="R194" s="130"/>
      <c r="S194" s="133"/>
      <c r="T194" s="128">
        <f t="shared" ref="T194" ca="1" si="758">IF(T191="","",S194+T192-T193)</f>
        <v>0</v>
      </c>
      <c r="U194" s="128">
        <f t="shared" ref="U194" ca="1" si="759">IF(U191="","",T194+U192-U193)</f>
        <v>0</v>
      </c>
      <c r="V194" s="128">
        <f t="shared" ref="V194" ca="1" si="760">IF(V191="","",U194+V192-V193)</f>
        <v>0</v>
      </c>
      <c r="W194" s="128">
        <f t="shared" ref="W194" ca="1" si="761">IF(W191="","",V194+W192-W193)</f>
        <v>0</v>
      </c>
      <c r="X194" s="128" t="str">
        <f t="shared" ref="X194" ca="1" si="762">IF(X191="","",W194+X192-X193)</f>
        <v/>
      </c>
      <c r="Y194" s="128" t="str">
        <f t="shared" ref="Y194" ca="1" si="763">IF(Y191="","",X194+Y192-Y193)</f>
        <v/>
      </c>
      <c r="Z194" s="128" t="str">
        <f t="shared" ref="Z194" ca="1" si="764">IF(Z191="","",Y194+Z192-Z193)</f>
        <v/>
      </c>
      <c r="AA194" s="128" t="str">
        <f t="shared" ref="AA194" ca="1" si="765">IF(AA191="","",Z194+AA192-AA193)</f>
        <v/>
      </c>
      <c r="AB194" s="128" t="str">
        <f t="shared" ref="AB194" ca="1" si="766">IF(AB191="","",AA194+AB192-AB193)</f>
        <v/>
      </c>
      <c r="AC194" s="128" t="str">
        <f t="shared" ref="AC194" ca="1" si="767">IF(AC191="","",AB194+AC192-AC193)</f>
        <v/>
      </c>
      <c r="AD194" s="128" t="str">
        <f t="shared" ref="AD194" ca="1" si="768">IF(AD191="","",AC194+AD192-AD193)</f>
        <v/>
      </c>
      <c r="AE194" s="128" t="str">
        <f t="shared" ref="AE194" ca="1" si="769">IF(AE191="","",AD194+AE192-AE193)</f>
        <v/>
      </c>
      <c r="AF194" s="128" t="str">
        <f t="shared" ref="AF194" ca="1" si="770">IF(AF191="","",AE194+AF192-AF193)</f>
        <v/>
      </c>
      <c r="AG194" s="128" t="str">
        <f t="shared" ref="AG194" ca="1" si="771">IF(AG191="","",AF194+AG192-AG193)</f>
        <v/>
      </c>
      <c r="AH194" s="128" t="str">
        <f t="shared" ref="AH194" ca="1" si="772">IF(AH191="","",AG194+AH192-AH193)</f>
        <v/>
      </c>
      <c r="AI194" s="128" t="str">
        <f t="shared" ref="AI194" ca="1" si="773">IF(AI191="","",AH194+AI192-AI193)</f>
        <v/>
      </c>
      <c r="AJ194" s="128" t="str">
        <f t="shared" ref="AJ194" ca="1" si="774">IF(AJ191="","",AI194+AJ192-AJ193)</f>
        <v/>
      </c>
      <c r="AK194" s="128" t="str">
        <f t="shared" ref="AK194" ca="1" si="775">IF(AK191="","",AJ194+AK192-AK193)</f>
        <v/>
      </c>
      <c r="AL194" s="128" t="str">
        <f t="shared" ref="AL194" ca="1" si="776">IF(AL191="","",AK194+AL192-AL193)</f>
        <v/>
      </c>
      <c r="AM194" s="128" t="str">
        <f t="shared" ref="AM194" ca="1" si="777">IF(AM191="","",AL194+AM192-AM193)</f>
        <v/>
      </c>
      <c r="AN194" s="128" t="str">
        <f t="shared" ref="AN194" ca="1" si="778">IF(AN191="","",AM194+AN192-AN193)</f>
        <v/>
      </c>
      <c r="AO194" s="128" t="str">
        <f t="shared" ref="AO194" ca="1" si="779">IF(AO191="","",AN194+AO192-AO193)</f>
        <v/>
      </c>
      <c r="AP194" s="128" t="str">
        <f t="shared" ref="AP194" ca="1" si="780">IF(AP191="","",AO194+AP192-AP193)</f>
        <v/>
      </c>
      <c r="AQ194" s="128" t="str">
        <f t="shared" ref="AQ194" ca="1" si="781">IF(AQ191="","",AP194+AQ192-AQ193)</f>
        <v/>
      </c>
      <c r="AR194" s="128" t="str">
        <f t="shared" ref="AR194" ca="1" si="782">IF(AR191="","",AQ194+AR192-AR193)</f>
        <v/>
      </c>
      <c r="AS194" s="128" t="str">
        <f t="shared" ref="AS194" ca="1" si="783">IF(AS191="","",AR194+AS192-AS193)</f>
        <v/>
      </c>
      <c r="AT194" s="128" t="str">
        <f t="shared" ref="AT194" ca="1" si="784">IF(AT191="","",AS194+AT192-AT193)</f>
        <v/>
      </c>
      <c r="AU194" s="128" t="str">
        <f t="shared" ref="AU194" ca="1" si="785">IF(AU191="","",AT194+AU192-AU193)</f>
        <v/>
      </c>
      <c r="AV194" s="128" t="str">
        <f t="shared" ref="AV194" ca="1" si="786">IF(AV191="","",AU194+AV192-AV193)</f>
        <v/>
      </c>
      <c r="AW194" s="128" t="str">
        <f t="shared" ref="AW194" ca="1" si="787">IF(AW191="","",AV194+AW192-AW193)</f>
        <v/>
      </c>
      <c r="AX194" s="104"/>
      <c r="AY194" s="104"/>
      <c r="AZ194" s="101"/>
    </row>
    <row r="195" spans="3:52" ht="12.75" hidden="1" customHeight="1" outlineLevel="1" x14ac:dyDescent="0.25">
      <c r="N195" s="99"/>
      <c r="O195" s="104"/>
      <c r="P195" s="104"/>
      <c r="Q195" s="129" t="str">
        <f>INDEX(g_lang_val,MATCH("tb_2_4_4",g_lang_key,0))</f>
        <v>Renter (FF4)</v>
      </c>
      <c r="R195" s="130"/>
      <c r="S195" s="133">
        <f ca="1">SUM(T195:BG195)</f>
        <v>0</v>
      </c>
      <c r="T195" s="128">
        <f t="shared" ref="T195" ca="1" si="788">IF(T191="","",g_interest_FF4*(S194+(T192/2)-(T193/2)))</f>
        <v>0</v>
      </c>
      <c r="U195" s="128">
        <f t="shared" ref="U195" ca="1" si="789">IF(U191="","",g_interest_FF4*(T194+(U192/2)-(U193/2)))</f>
        <v>0</v>
      </c>
      <c r="V195" s="128">
        <f t="shared" ref="V195" ca="1" si="790">IF(V191="","",g_interest_FF4*(U194+(V192/2)-(V193/2)))</f>
        <v>0</v>
      </c>
      <c r="W195" s="128">
        <f t="shared" ref="W195" ca="1" si="791">IF(W191="","",g_interest_FF4*(V194+(W192/2)-(W193/2)))</f>
        <v>0</v>
      </c>
      <c r="X195" s="128" t="str">
        <f t="shared" ref="X195" ca="1" si="792">IF(X191="","",g_interest_FF4*(W194+(X192/2)-(X193/2)))</f>
        <v/>
      </c>
      <c r="Y195" s="128" t="str">
        <f t="shared" ref="Y195" ca="1" si="793">IF(Y191="","",g_interest_FF4*(X194+(Y192/2)-(Y193/2)))</f>
        <v/>
      </c>
      <c r="Z195" s="128" t="str">
        <f t="shared" ref="Z195" ca="1" si="794">IF(Z191="","",g_interest_FF4*(Y194+(Z192/2)-(Z193/2)))</f>
        <v/>
      </c>
      <c r="AA195" s="128" t="str">
        <f t="shared" ref="AA195" ca="1" si="795">IF(AA191="","",g_interest_FF4*(Z194+(AA192/2)-(AA193/2)))</f>
        <v/>
      </c>
      <c r="AB195" s="128" t="str">
        <f t="shared" ref="AB195" ca="1" si="796">IF(AB191="","",g_interest_FF4*(AA194+(AB192/2)-(AB193/2)))</f>
        <v/>
      </c>
      <c r="AC195" s="128" t="str">
        <f t="shared" ref="AC195" ca="1" si="797">IF(AC191="","",g_interest_FF4*(AB194+(AC192/2)-(AC193/2)))</f>
        <v/>
      </c>
      <c r="AD195" s="128" t="str">
        <f t="shared" ref="AD195" ca="1" si="798">IF(AD191="","",g_interest_FF4*(AC194+(AD192/2)-(AD193/2)))</f>
        <v/>
      </c>
      <c r="AE195" s="128" t="str">
        <f t="shared" ref="AE195" ca="1" si="799">IF(AE191="","",g_interest_FF4*(AD194+(AE192/2)-(AE193/2)))</f>
        <v/>
      </c>
      <c r="AF195" s="128" t="str">
        <f t="shared" ref="AF195" ca="1" si="800">IF(AF191="","",g_interest_FF4*(AE194+(AF192/2)-(AF193/2)))</f>
        <v/>
      </c>
      <c r="AG195" s="128" t="str">
        <f t="shared" ref="AG195" ca="1" si="801">IF(AG191="","",g_interest_FF4*(AF194+(AG192/2)-(AG193/2)))</f>
        <v/>
      </c>
      <c r="AH195" s="128" t="str">
        <f t="shared" ref="AH195" ca="1" si="802">IF(AH191="","",g_interest_FF4*(AG194+(AH192/2)-(AH193/2)))</f>
        <v/>
      </c>
      <c r="AI195" s="128" t="str">
        <f t="shared" ref="AI195" ca="1" si="803">IF(AI191="","",g_interest_FF4*(AH194+(AI192/2)-(AI193/2)))</f>
        <v/>
      </c>
      <c r="AJ195" s="128" t="str">
        <f t="shared" ref="AJ195" ca="1" si="804">IF(AJ191="","",g_interest_FF4*(AI194+(AJ192/2)-(AJ193/2)))</f>
        <v/>
      </c>
      <c r="AK195" s="128" t="str">
        <f t="shared" ref="AK195" ca="1" si="805">IF(AK191="","",g_interest_FF4*(AJ194+(AK192/2)-(AK193/2)))</f>
        <v/>
      </c>
      <c r="AL195" s="128" t="str">
        <f t="shared" ref="AL195" ca="1" si="806">IF(AL191="","",g_interest_FF4*(AK194+(AL192/2)-(AL193/2)))</f>
        <v/>
      </c>
      <c r="AM195" s="128" t="str">
        <f t="shared" ref="AM195" ca="1" si="807">IF(AM191="","",g_interest_FF4*(AL194+(AM192/2)-(AM193/2)))</f>
        <v/>
      </c>
      <c r="AN195" s="128" t="str">
        <f t="shared" ref="AN195" ca="1" si="808">IF(AN191="","",g_interest_FF4*(AM194+(AN192/2)-(AN193/2)))</f>
        <v/>
      </c>
      <c r="AO195" s="128" t="str">
        <f t="shared" ref="AO195" ca="1" si="809">IF(AO191="","",g_interest_FF4*(AN194+(AO192/2)-(AO193/2)))</f>
        <v/>
      </c>
      <c r="AP195" s="128" t="str">
        <f t="shared" ref="AP195" ca="1" si="810">IF(AP191="","",g_interest_FF4*(AO194+(AP192/2)-(AP193/2)))</f>
        <v/>
      </c>
      <c r="AQ195" s="128" t="str">
        <f t="shared" ref="AQ195" ca="1" si="811">IF(AQ191="","",g_interest_FF4*(AP194+(AQ192/2)-(AQ193/2)))</f>
        <v/>
      </c>
      <c r="AR195" s="128" t="str">
        <f t="shared" ref="AR195" ca="1" si="812">IF(AR191="","",g_interest_FF4*(AQ194+(AR192/2)-(AR193/2)))</f>
        <v/>
      </c>
      <c r="AS195" s="128" t="str">
        <f t="shared" ref="AS195" ca="1" si="813">IF(AS191="","",g_interest_FF4*(AR194+(AS192/2)-(AS193/2)))</f>
        <v/>
      </c>
      <c r="AT195" s="128" t="str">
        <f t="shared" ref="AT195" ca="1" si="814">IF(AT191="","",g_interest_FF4*(AS194+(AT192/2)-(AT193/2)))</f>
        <v/>
      </c>
      <c r="AU195" s="128" t="str">
        <f t="shared" ref="AU195" ca="1" si="815">IF(AU191="","",g_interest_FF4*(AT194+(AU192/2)-(AU193/2)))</f>
        <v/>
      </c>
      <c r="AV195" s="128" t="str">
        <f t="shared" ref="AV195" ca="1" si="816">IF(AV191="","",g_interest_FF4*(AU194+(AV192/2)-(AV193/2)))</f>
        <v/>
      </c>
      <c r="AW195" s="128" t="str">
        <f t="shared" ref="AW195" ca="1" si="817">IF(AW191="","",g_interest_FF4*(AV194+(AW192/2)-(AW193/2)))</f>
        <v/>
      </c>
      <c r="AX195" s="104"/>
      <c r="AY195" s="104"/>
      <c r="AZ195" s="101"/>
    </row>
    <row r="196" spans="3:52" ht="12.75" hidden="1" customHeight="1" outlineLevel="1" x14ac:dyDescent="0.25">
      <c r="N196" s="99"/>
      <c r="O196" s="104"/>
      <c r="P196" s="104"/>
      <c r="Q196" s="132" t="str">
        <f>INDEX(g_assets_sc_1,12)</f>
        <v/>
      </c>
      <c r="R196" s="132"/>
      <c r="S196" s="127"/>
      <c r="T196" s="139">
        <f ca="1">T$150</f>
        <v>2025</v>
      </c>
      <c r="U196" s="139">
        <f t="shared" ref="U196:AW196" ca="1" si="818">U$150</f>
        <v>2026</v>
      </c>
      <c r="V196" s="139">
        <f t="shared" ca="1" si="818"/>
        <v>2027</v>
      </c>
      <c r="W196" s="139">
        <f t="shared" ca="1" si="818"/>
        <v>2028</v>
      </c>
      <c r="X196" s="139" t="str">
        <f t="shared" ca="1" si="818"/>
        <v/>
      </c>
      <c r="Y196" s="139" t="str">
        <f t="shared" ca="1" si="818"/>
        <v/>
      </c>
      <c r="Z196" s="139" t="str">
        <f t="shared" ca="1" si="818"/>
        <v/>
      </c>
      <c r="AA196" s="139" t="str">
        <f t="shared" ca="1" si="818"/>
        <v/>
      </c>
      <c r="AB196" s="139" t="str">
        <f t="shared" ca="1" si="818"/>
        <v/>
      </c>
      <c r="AC196" s="139" t="str">
        <f t="shared" ca="1" si="818"/>
        <v/>
      </c>
      <c r="AD196" s="139" t="str">
        <f t="shared" ca="1" si="818"/>
        <v/>
      </c>
      <c r="AE196" s="139" t="str">
        <f t="shared" ca="1" si="818"/>
        <v/>
      </c>
      <c r="AF196" s="139" t="str">
        <f t="shared" ca="1" si="818"/>
        <v/>
      </c>
      <c r="AG196" s="139" t="str">
        <f t="shared" ca="1" si="818"/>
        <v/>
      </c>
      <c r="AH196" s="139" t="str">
        <f t="shared" ca="1" si="818"/>
        <v/>
      </c>
      <c r="AI196" s="139" t="str">
        <f t="shared" ca="1" si="818"/>
        <v/>
      </c>
      <c r="AJ196" s="139" t="str">
        <f t="shared" ca="1" si="818"/>
        <v/>
      </c>
      <c r="AK196" s="139" t="str">
        <f t="shared" ca="1" si="818"/>
        <v/>
      </c>
      <c r="AL196" s="139" t="str">
        <f t="shared" ca="1" si="818"/>
        <v/>
      </c>
      <c r="AM196" s="139" t="str">
        <f t="shared" ca="1" si="818"/>
        <v/>
      </c>
      <c r="AN196" s="139" t="str">
        <f t="shared" ca="1" si="818"/>
        <v/>
      </c>
      <c r="AO196" s="139" t="str">
        <f t="shared" ca="1" si="818"/>
        <v/>
      </c>
      <c r="AP196" s="139" t="str">
        <f t="shared" ca="1" si="818"/>
        <v/>
      </c>
      <c r="AQ196" s="139" t="str">
        <f t="shared" ca="1" si="818"/>
        <v/>
      </c>
      <c r="AR196" s="139" t="str">
        <f t="shared" ca="1" si="818"/>
        <v/>
      </c>
      <c r="AS196" s="139" t="str">
        <f t="shared" ca="1" si="818"/>
        <v/>
      </c>
      <c r="AT196" s="139" t="str">
        <f t="shared" ca="1" si="818"/>
        <v/>
      </c>
      <c r="AU196" s="139" t="str">
        <f t="shared" ca="1" si="818"/>
        <v/>
      </c>
      <c r="AV196" s="139" t="str">
        <f t="shared" ca="1" si="818"/>
        <v/>
      </c>
      <c r="AW196" s="139" t="str">
        <f t="shared" ca="1" si="818"/>
        <v/>
      </c>
      <c r="AX196" s="104"/>
      <c r="AY196" s="104"/>
      <c r="AZ196" s="101"/>
    </row>
    <row r="197" spans="3:52" ht="12.75" hidden="1" customHeight="1" outlineLevel="1" x14ac:dyDescent="0.25">
      <c r="C197" s="140">
        <f>INDEX(g_sc_1_assets_dates,G197)</f>
        <v>0</v>
      </c>
      <c r="G197" s="141">
        <v>10</v>
      </c>
      <c r="N197" s="99"/>
      <c r="O197" s="104"/>
      <c r="P197" s="104"/>
      <c r="Q197" s="129" t="str">
        <f>INDEX(g_lang_val,MATCH("tb_2_4_1",g_lang_key,0))</f>
        <v>Køb af anlægsaktiver</v>
      </c>
      <c r="R197" s="130"/>
      <c r="S197" s="133">
        <f ca="1">SUM(T197:BG197)</f>
        <v>0</v>
      </c>
      <c r="T197" s="128">
        <f ca="1">IF(T196="","",SUMPRODUCT(--(Leverancer!$C$28:$C$88=($G197+2)),Leverancer!D$28:D$88)/1000)</f>
        <v>0</v>
      </c>
      <c r="U197" s="128">
        <f ca="1">IF(U196="","",SUMPRODUCT(--(Leverancer!$C$28:$C$88=($G197+2)),Leverancer!E$28:E$88)/1000)</f>
        <v>0</v>
      </c>
      <c r="V197" s="128">
        <f ca="1">IF(V196="","",SUMPRODUCT(--(Leverancer!$C$28:$C$88=($G197+2)),Leverancer!F$28:F$88)/1000)</f>
        <v>0</v>
      </c>
      <c r="W197" s="128">
        <f ca="1">IF(W196="","",SUMPRODUCT(--(Leverancer!$C$28:$C$88=($G197+2)),Leverancer!G$28:G$88)/1000)</f>
        <v>0</v>
      </c>
      <c r="X197" s="128" t="str">
        <f ca="1">IF(X196="","",SUMPRODUCT(--(Leverancer!$C$28:$C$88=($G197+2)),Leverancer!H$28:H$88)/1000)</f>
        <v/>
      </c>
      <c r="Y197" s="128" t="str">
        <f ca="1">IF(Y196="","",SUMPRODUCT(--(Leverancer!$C$28:$C$88=($G197+2)),Leverancer!I$28:I$88)/1000)</f>
        <v/>
      </c>
      <c r="Z197" s="128" t="str">
        <f ca="1">IF(Z196="","",SUMPRODUCT(--(Leverancer!$C$28:$C$88=($G197+2)),Leverancer!J$28:J$88)/1000)</f>
        <v/>
      </c>
      <c r="AA197" s="128" t="str">
        <f ca="1">IF(AA196="","",SUMPRODUCT(--(Leverancer!$C$28:$C$88=($G197+2)),Leverancer!K$28:K$88)/1000)</f>
        <v/>
      </c>
      <c r="AB197" s="128" t="str">
        <f ca="1">IF(AB196="","",SUMPRODUCT(--(Leverancer!$C$28:$C$88=($G197+2)),Leverancer!L$28:L$88)/1000)</f>
        <v/>
      </c>
      <c r="AC197" s="128" t="str">
        <f ca="1">IF(AC196="","",SUMPRODUCT(--(Leverancer!$C$28:$C$88=($G197+2)),Leverancer!M$28:M$88)/1000)</f>
        <v/>
      </c>
      <c r="AD197" s="128" t="str">
        <f ca="1">IF(AD196="","",SUMPRODUCT(--(Leverancer!$C$28:$C$88=($G197+2)),Leverancer!N$28:N$88)/1000)</f>
        <v/>
      </c>
      <c r="AE197" s="128" t="str">
        <f ca="1">IF(AE196="","",SUMPRODUCT(--(Leverancer!$C$28:$C$88=($G197+2)),Leverancer!O$28:O$88)/1000)</f>
        <v/>
      </c>
      <c r="AF197" s="128" t="str">
        <f ca="1">IF(AF196="","",SUMPRODUCT(--(Leverancer!$C$28:$C$88=($G197+2)),Leverancer!P$28:P$88)/1000)</f>
        <v/>
      </c>
      <c r="AG197" s="128" t="str">
        <f ca="1">IF(AG196="","",SUMPRODUCT(--(Leverancer!$C$28:$C$88=($G197+2)),Leverancer!Q$28:Q$88)/1000)</f>
        <v/>
      </c>
      <c r="AH197" s="128" t="str">
        <f ca="1">IF(AH196="","",SUMPRODUCT(--(Leverancer!$C$28:$C$88=($G197+2)),Leverancer!R$28:R$88)/1000)</f>
        <v/>
      </c>
      <c r="AI197" s="128" t="str">
        <f ca="1">IF(AI196="","",SUMPRODUCT(--(Leverancer!$C$28:$C$88=($G197+2)),Leverancer!S$28:S$88)/1000)</f>
        <v/>
      </c>
      <c r="AJ197" s="128" t="str">
        <f ca="1">IF(AJ196="","",SUMPRODUCT(--(Leverancer!$C$28:$C$88=($G197+2)),Leverancer!T$28:T$88)/1000)</f>
        <v/>
      </c>
      <c r="AK197" s="128" t="str">
        <f ca="1">IF(AK196="","",SUMPRODUCT(--(Leverancer!$C$28:$C$88=($G197+2)),Leverancer!U$28:U$88)/1000)</f>
        <v/>
      </c>
      <c r="AL197" s="128" t="str">
        <f ca="1">IF(AL196="","",SUMPRODUCT(--(Leverancer!$C$28:$C$88=($G197+2)),Leverancer!V$28:V$88)/1000)</f>
        <v/>
      </c>
      <c r="AM197" s="128" t="str">
        <f ca="1">IF(AM196="","",SUMPRODUCT(--(Leverancer!$C$28:$C$88=($G197+2)),Leverancer!W$28:W$88)/1000)</f>
        <v/>
      </c>
      <c r="AN197" s="128" t="str">
        <f ca="1">IF(AN196="","",SUMPRODUCT(--(Leverancer!$C$28:$C$88=($G197+2)),Leverancer!X$28:X$88)/1000)</f>
        <v/>
      </c>
      <c r="AO197" s="128" t="str">
        <f ca="1">IF(AO196="","",SUMPRODUCT(--(Leverancer!$C$28:$C$88=($G197+2)),Leverancer!Y$28:Y$88)/1000)</f>
        <v/>
      </c>
      <c r="AP197" s="128" t="str">
        <f ca="1">IF(AP196="","",SUMPRODUCT(--(Leverancer!$C$28:$C$88=($G197+2)),Leverancer!Z$28:Z$88)/1000)</f>
        <v/>
      </c>
      <c r="AQ197" s="128" t="str">
        <f ca="1">IF(AQ196="","",SUMPRODUCT(--(Leverancer!$C$28:$C$88=($G197+2)),Leverancer!AA$28:AA$88)/1000)</f>
        <v/>
      </c>
      <c r="AR197" s="128" t="str">
        <f ca="1">IF(AR196="","",SUMPRODUCT(--(Leverancer!$C$28:$C$88=($G197+2)),Leverancer!AB$28:AB$88)/1000)</f>
        <v/>
      </c>
      <c r="AS197" s="128" t="str">
        <f ca="1">IF(AS196="","",SUMPRODUCT(--(Leverancer!$C$28:$C$88=($G197+2)),Leverancer!AC$28:AC$88)/1000)</f>
        <v/>
      </c>
      <c r="AT197" s="128" t="str">
        <f ca="1">IF(AT196="","",SUMPRODUCT(--(Leverancer!$C$28:$C$88=($G197+2)),Leverancer!AD$28:AD$88)/1000)</f>
        <v/>
      </c>
      <c r="AU197" s="128" t="str">
        <f ca="1">IF(AU196="","",SUMPRODUCT(--(Leverancer!$C$28:$C$88=($G197+2)),Leverancer!AE$28:AE$88)/1000)</f>
        <v/>
      </c>
      <c r="AV197" s="128" t="str">
        <f ca="1">IF(AV196="","",SUMPRODUCT(--(Leverancer!$C$28:$C$88=($G197+2)),Leverancer!AF$28:AF$88)/1000)</f>
        <v/>
      </c>
      <c r="AW197" s="128" t="str">
        <f ca="1">IF(AW196="","",SUMPRODUCT(--(Leverancer!$C$28:$C$88=($G197+2)),Leverancer!AG$28:AG$88)/1000)</f>
        <v/>
      </c>
      <c r="AX197" s="104"/>
      <c r="AY197" s="104"/>
      <c r="AZ197" s="101"/>
    </row>
    <row r="198" spans="3:52" ht="12.75" hidden="1" customHeight="1" outlineLevel="1" x14ac:dyDescent="0.25">
      <c r="C198" s="142">
        <f>IFERROR(YEAR(C197),"")</f>
        <v>1900</v>
      </c>
      <c r="D198" s="142">
        <f>IFERROR(MONTH(C197),"")</f>
        <v>1</v>
      </c>
      <c r="E198" s="142">
        <f>INDEX(g_sc_1_assets_years,G197)</f>
        <v>0</v>
      </c>
      <c r="N198" s="99"/>
      <c r="O198" s="104"/>
      <c r="P198" s="104"/>
      <c r="Q198" s="129" t="str">
        <f>INDEX(g_lang_val,MATCH("tb_2_4_2",g_lang_key,0))</f>
        <v>Afskrivninger</v>
      </c>
      <c r="R198" s="130"/>
      <c r="S198" s="133">
        <f ca="1">SUM(T198:BG198)</f>
        <v>0</v>
      </c>
      <c r="T198" s="128">
        <f t="shared" ref="T198" ca="1" si="819">IF(T196="","",IF(T196&lt;$C198,0,IF(T196=$C198,T197/$C199*$E199+S199/$C199*$E199,IF(AND(T196&gt;$C198,T196&lt;ROUNDDOWN(($C198+($D198+$C199-1)/12),0)),(T197/2+S199)/($C199-$E199-12*(T196-$C198-1))*12,IF(AND($D199&lt;0,T196=ROUNDDOWN(($C198+($D198+$C199-1)/12),0)),S199+T197,IF(T196=ROUNDDOWN(($C198+($D198+$C199-1)/12),0),(T197+S199)/$C199*($D199+(T196-$C198-1)*12+$E199),IF(T196&gt;ROUNDDOWN(($C198+($D198+$C199)/12),0),0,0)))))))</f>
        <v>0</v>
      </c>
      <c r="U198" s="128">
        <f t="shared" ref="U198" ca="1" si="820">IF(U196="","",IF(U196&lt;$C198,0,IF(U196=$C198,U197/$C199*$E199+T199/$C199*$E199,IF(AND(U196&gt;$C198,U196&lt;ROUNDDOWN(($C198+($D198+$C199-1)/12),0)),(U197/2+T199)/($C199-$E199-12*(U196-$C198-1))*12,IF(AND($D199&lt;0,U196=ROUNDDOWN(($C198+($D198+$C199-1)/12),0)),T199+U197,IF(U196=ROUNDDOWN(($C198+($D198+$C199-1)/12),0),(U197+T199)/$C199*($D199+(U196-$C198-1)*12+$E199),IF(U196&gt;ROUNDDOWN(($C198+($D198+$C199)/12),0),0,0)))))))</f>
        <v>0</v>
      </c>
      <c r="V198" s="128">
        <f t="shared" ref="V198" ca="1" si="821">IF(V196="","",IF(V196&lt;$C198,0,IF(V196=$C198,V197/$C199*$E199+U199/$C199*$E199,IF(AND(V196&gt;$C198,V196&lt;ROUNDDOWN(($C198+($D198+$C199-1)/12),0)),(V197/2+U199)/($C199-$E199-12*(V196-$C198-1))*12,IF(AND($D199&lt;0,V196=ROUNDDOWN(($C198+($D198+$C199-1)/12),0)),U199+V197,IF(V196=ROUNDDOWN(($C198+($D198+$C199-1)/12),0),(V197+U199)/$C199*($D199+(V196-$C198-1)*12+$E199),IF(V196&gt;ROUNDDOWN(($C198+($D198+$C199)/12),0),0,0)))))))</f>
        <v>0</v>
      </c>
      <c r="W198" s="128">
        <f t="shared" ref="W198" ca="1" si="822">IF(W196="","",IF(W196&lt;$C198,0,IF(W196=$C198,W197/$C199*$E199+V199/$C199*$E199,IF(AND(W196&gt;$C198,W196&lt;ROUNDDOWN(($C198+($D198+$C199-1)/12),0)),(W197/2+V199)/($C199-$E199-12*(W196-$C198-1))*12,IF(AND($D199&lt;0,W196=ROUNDDOWN(($C198+($D198+$C199-1)/12),0)),V199+W197,IF(W196=ROUNDDOWN(($C198+($D198+$C199-1)/12),0),(W197+V199)/$C199*($D199+(W196-$C198-1)*12+$E199),IF(W196&gt;ROUNDDOWN(($C198+($D198+$C199)/12),0),0,0)))))))</f>
        <v>0</v>
      </c>
      <c r="X198" s="128" t="str">
        <f t="shared" ref="X198" ca="1" si="823">IF(X196="","",IF(X196&lt;$C198,0,IF(X196=$C198,X197/$C199*$E199+W199/$C199*$E199,IF(AND(X196&gt;$C198,X196&lt;ROUNDDOWN(($C198+($D198+$C199-1)/12),0)),(X197/2+W199)/($C199-$E199-12*(X196-$C198-1))*12,IF(AND($D199&lt;0,X196=ROUNDDOWN(($C198+($D198+$C199-1)/12),0)),W199+X197,IF(X196=ROUNDDOWN(($C198+($D198+$C199-1)/12),0),(X197+W199)/$C199*($D199+(X196-$C198-1)*12+$E199),IF(X196&gt;ROUNDDOWN(($C198+($D198+$C199)/12),0),0,0)))))))</f>
        <v/>
      </c>
      <c r="Y198" s="128" t="str">
        <f t="shared" ref="Y198" ca="1" si="824">IF(Y196="","",IF(Y196&lt;$C198,0,IF(Y196=$C198,Y197/$C199*$E199+X199/$C199*$E199,IF(AND(Y196&gt;$C198,Y196&lt;ROUNDDOWN(($C198+($D198+$C199-1)/12),0)),(Y197/2+X199)/($C199-$E199-12*(Y196-$C198-1))*12,IF(AND($D199&lt;0,Y196=ROUNDDOWN(($C198+($D198+$C199-1)/12),0)),X199+Y197,IF(Y196=ROUNDDOWN(($C198+($D198+$C199-1)/12),0),(Y197+X199)/$C199*($D199+(Y196-$C198-1)*12+$E199),IF(Y196&gt;ROUNDDOWN(($C198+($D198+$C199)/12),0),0,0)))))))</f>
        <v/>
      </c>
      <c r="Z198" s="128" t="str">
        <f ca="1">IF(Z196="","",IF(Z196&lt;$C198,0,IF(Z196=$C198,Z197/$C199*$E199+Y199/$C199*$E199,IF(AND(Z196&gt;$C198,Z196&lt;ROUNDDOWN(($C198+($D198+$C199-1)/12),0)),(Z197/2+Y199)/($C199-$E199-12*(Z196-$C198-1))*12,IF(AND($D199&lt;0,Z196=ROUNDDOWN(($C198+($D198+$C199-1)/12),0)),Y199+Z197,IF(Z196=ROUNDDOWN(($C198+($D198+$C199-1)/12),0),(Z197+Y199)/$C199*($D199+(Z196-$C198-1)*12+$E199),IF(Z196&gt;ROUNDDOWN(($C198+($D198+$C199)/12),0),0,0)))))))</f>
        <v/>
      </c>
      <c r="AA198" s="128" t="str">
        <f t="shared" ref="AA198" ca="1" si="825">IF(AA196="","",IF(AA196&lt;$C198,0,IF(AA196=$C198,AA197/$C199*$E199+Z199/$C199*$E199,IF(AND(AA196&gt;$C198,AA196&lt;ROUNDDOWN(($C198+($D198+$C199-1)/12),0)),(AA197/2+Z199)/($C199-$E199-12*(AA196-$C198-1))*12,IF(AND($D199&lt;0,AA196=ROUNDDOWN(($C198+($D198+$C199-1)/12),0)),Z199+AA197,IF(AA196=ROUNDDOWN(($C198+($D198+$C199-1)/12),0),(AA197+Z199)/$C199*($D199+(AA196-$C198-1)*12+$E199),IF(AA196&gt;ROUNDDOWN(($C198+($D198+$C199)/12),0),0,0)))))))</f>
        <v/>
      </c>
      <c r="AB198" s="128" t="str">
        <f t="shared" ref="AB198" ca="1" si="826">IF(AB196="","",IF(AB196&lt;$C198,0,IF(AB196=$C198,AB197/$C199*$E199+AA199/$C199*$E199,IF(AND(AB196&gt;$C198,AB196&lt;ROUNDDOWN(($C198+($D198+$C199-1)/12),0)),(AB197/2+AA199)/($C199-$E199-12*(AB196-$C198-1))*12,IF(AND($D199&lt;0,AB196=ROUNDDOWN(($C198+($D198+$C199-1)/12),0)),AA199+AB197,IF(AB196=ROUNDDOWN(($C198+($D198+$C199-1)/12),0),(AB197+AA199)/$C199*($D199+(AB196-$C198-1)*12+$E199),IF(AB196&gt;ROUNDDOWN(($C198+($D198+$C199)/12),0),0,0)))))))</f>
        <v/>
      </c>
      <c r="AC198" s="128" t="str">
        <f t="shared" ref="AC198" ca="1" si="827">IF(AC196="","",IF(AC196&lt;$C198,0,IF(AC196=$C198,AC197/$C199*$E199+AB199/$C199*$E199,IF(AND(AC196&gt;$C198,AC196&lt;ROUNDDOWN(($C198+($D198+$C199-1)/12),0)),(AC197/2+AB199)/($C199-$E199-12*(AC196-$C198-1))*12,IF(AND($D199&lt;0,AC196=ROUNDDOWN(($C198+($D198+$C199-1)/12),0)),AB199+AC197,IF(AC196=ROUNDDOWN(($C198+($D198+$C199-1)/12),0),(AC197+AB199)/$C199*($D199+(AC196-$C198-1)*12+$E199),IF(AC196&gt;ROUNDDOWN(($C198+($D198+$C199)/12),0),0,0)))))))</f>
        <v/>
      </c>
      <c r="AD198" s="128" t="str">
        <f t="shared" ref="AD198" ca="1" si="828">IF(AD196="","",IF(AD196&lt;$C198,0,IF(AD196=$C198,AD197/$C199*$E199+AC199/$C199*$E199,IF(AND(AD196&gt;$C198,AD196&lt;ROUNDDOWN(($C198+($D198+$C199-1)/12),0)),(AD197/2+AC199)/($C199-$E199-12*(AD196-$C198-1))*12,IF(AND($D199&lt;0,AD196=ROUNDDOWN(($C198+($D198+$C199-1)/12),0)),AC199+AD197,IF(AD196=ROUNDDOWN(($C198+($D198+$C199-1)/12),0),(AD197+AC199)/$C199*($D199+(AD196-$C198-1)*12+$E199),IF(AD196&gt;ROUNDDOWN(($C198+($D198+$C199)/12),0),0,0)))))))</f>
        <v/>
      </c>
      <c r="AE198" s="128" t="str">
        <f t="shared" ref="AE198" ca="1" si="829">IF(AE196="","",IF(AE196&lt;$C198,0,IF(AE196=$C198,AE197/$C199*$E199+AD199/$C199*$E199,IF(AND(AE196&gt;$C198,AE196&lt;ROUNDDOWN(($C198+($D198+$C199-1)/12),0)),(AE197/2+AD199)/($C199-$E199-12*(AE196-$C198-1))*12,IF(AND($D199&lt;0,AE196=ROUNDDOWN(($C198+($D198+$C199-1)/12),0)),AD199+AE197,IF(AE196=ROUNDDOWN(($C198+($D198+$C199-1)/12),0),(AE197+AD199)/$C199*($D199+(AE196-$C198-1)*12+$E199),IF(AE196&gt;ROUNDDOWN(($C198+($D198+$C199)/12),0),0,0)))))))</f>
        <v/>
      </c>
      <c r="AF198" s="128" t="str">
        <f t="shared" ref="AF198" ca="1" si="830">IF(AF196="","",IF(AF196&lt;$C198,0,IF(AF196=$C198,AF197/$C199*$E199+AE199/$C199*$E199,IF(AND(AF196&gt;$C198,AF196&lt;ROUNDDOWN(($C198+($D198+$C199-1)/12),0)),(AF197/2+AE199)/($C199-$E199-12*(AF196-$C198-1))*12,IF(AND($D199&lt;0,AF196=ROUNDDOWN(($C198+($D198+$C199-1)/12),0)),AE199+AF197,IF(AF196=ROUNDDOWN(($C198+($D198+$C199-1)/12),0),(AF197+AE199)/$C199*($D199+(AF196-$C198-1)*12+$E199),IF(AF196&gt;ROUNDDOWN(($C198+($D198+$C199)/12),0),0,0)))))))</f>
        <v/>
      </c>
      <c r="AG198" s="128" t="str">
        <f t="shared" ref="AG198" ca="1" si="831">IF(AG196="","",IF(AG196&lt;$C198,0,IF(AG196=$C198,AG197/$C199*$E199+AF199/$C199*$E199,IF(AND(AG196&gt;$C198,AG196&lt;ROUNDDOWN(($C198+($D198+$C199-1)/12),0)),(AG197/2+AF199)/($C199-$E199-12*(AG196-$C198-1))*12,IF(AND($D199&lt;0,AG196=ROUNDDOWN(($C198+($D198+$C199-1)/12),0)),AF199+AG197,IF(AG196=ROUNDDOWN(($C198+($D198+$C199-1)/12),0),(AG197+AF199)/$C199*($D199+(AG196-$C198-1)*12+$E199),IF(AG196&gt;ROUNDDOWN(($C198+($D198+$C199)/12),0),0,0)))))))</f>
        <v/>
      </c>
      <c r="AH198" s="128" t="str">
        <f t="shared" ref="AH198" ca="1" si="832">IF(AH196="","",IF(AH196&lt;$C198,0,IF(AH196=$C198,AH197/$C199*$E199+AG199/$C199*$E199,IF(AND(AH196&gt;$C198,AH196&lt;ROUNDDOWN(($C198+($D198+$C199-1)/12),0)),(AH197/2+AG199)/($C199-$E199-12*(AH196-$C198-1))*12,IF(AND($D199&lt;0,AH196=ROUNDDOWN(($C198+($D198+$C199-1)/12),0)),AG199+AH197,IF(AH196=ROUNDDOWN(($C198+($D198+$C199-1)/12),0),(AH197+AG199)/$C199*($D199+(AH196-$C198-1)*12+$E199),IF(AH196&gt;ROUNDDOWN(($C198+($D198+$C199)/12),0),0,0)))))))</f>
        <v/>
      </c>
      <c r="AI198" s="128" t="str">
        <f t="shared" ref="AI198" ca="1" si="833">IF(AI196="","",IF(AI196&lt;$C198,0,IF(AI196=$C198,AI197/$C199*$E199+AH199/$C199*$E199,IF(AND(AI196&gt;$C198,AI196&lt;ROUNDDOWN(($C198+($D198+$C199-1)/12),0)),(AI197/2+AH199)/($C199-$E199-12*(AI196-$C198-1))*12,IF(AND($D199&lt;0,AI196=ROUNDDOWN(($C198+($D198+$C199-1)/12),0)),AH199+AI197,IF(AI196=ROUNDDOWN(($C198+($D198+$C199-1)/12),0),(AI197+AH199)/$C199*($D199+(AI196-$C198-1)*12+$E199),IF(AI196&gt;ROUNDDOWN(($C198+($D198+$C199)/12),0),0,0)))))))</f>
        <v/>
      </c>
      <c r="AJ198" s="128" t="str">
        <f t="shared" ref="AJ198" ca="1" si="834">IF(AJ196="","",IF(AJ196&lt;$C198,0,IF(AJ196=$C198,AJ197/$C199*$E199+AI199/$C199*$E199,IF(AND(AJ196&gt;$C198,AJ196&lt;ROUNDDOWN(($C198+($D198+$C199-1)/12),0)),(AJ197/2+AI199)/($C199-$E199-12*(AJ196-$C198-1))*12,IF(AND($D199&lt;0,AJ196=ROUNDDOWN(($C198+($D198+$C199-1)/12),0)),AI199+AJ197,IF(AJ196=ROUNDDOWN(($C198+($D198+$C199-1)/12),0),(AJ197+AI199)/$C199*($D199+(AJ196-$C198-1)*12+$E199),IF(AJ196&gt;ROUNDDOWN(($C198+($D198+$C199)/12),0),0,0)))))))</f>
        <v/>
      </c>
      <c r="AK198" s="128" t="str">
        <f t="shared" ref="AK198" ca="1" si="835">IF(AK196="","",IF(AK196&lt;$C198,0,IF(AK196=$C198,AK197/$C199*$E199+AJ199/$C199*$E199,IF(AND(AK196&gt;$C198,AK196&lt;ROUNDDOWN(($C198+($D198+$C199-1)/12),0)),(AK197/2+AJ199)/($C199-$E199-12*(AK196-$C198-1))*12,IF(AND($D199&lt;0,AK196=ROUNDDOWN(($C198+($D198+$C199-1)/12),0)),AJ199+AK197,IF(AK196=ROUNDDOWN(($C198+($D198+$C199-1)/12),0),(AK197+AJ199)/$C199*($D199+(AK196-$C198-1)*12+$E199),IF(AK196&gt;ROUNDDOWN(($C198+($D198+$C199)/12),0),0,0)))))))</f>
        <v/>
      </c>
      <c r="AL198" s="128" t="str">
        <f t="shared" ref="AL198" ca="1" si="836">IF(AL196="","",IF(AL196&lt;$C198,0,IF(AL196=$C198,AL197/$C199*$E199+AK199/$C199*$E199,IF(AND(AL196&gt;$C198,AL196&lt;ROUNDDOWN(($C198+($D198+$C199-1)/12),0)),(AL197/2+AK199)/($C199-$E199-12*(AL196-$C198-1))*12,IF(AND($D199&lt;0,AL196=ROUNDDOWN(($C198+($D198+$C199-1)/12),0)),AK199+AL197,IF(AL196=ROUNDDOWN(($C198+($D198+$C199-1)/12),0),(AL197+AK199)/$C199*($D199+(AL196-$C198-1)*12+$E199),IF(AL196&gt;ROUNDDOWN(($C198+($D198+$C199)/12),0),0,0)))))))</f>
        <v/>
      </c>
      <c r="AM198" s="128" t="str">
        <f t="shared" ref="AM198" ca="1" si="837">IF(AM196="","",IF(AM196&lt;$C198,0,IF(AM196=$C198,AM197/$C199*$E199+AL199/$C199*$E199,IF(AND(AM196&gt;$C198,AM196&lt;ROUNDDOWN(($C198+($D198+$C199-1)/12),0)),(AM197/2+AL199)/($C199-$E199-12*(AM196-$C198-1))*12,IF(AND($D199&lt;0,AM196=ROUNDDOWN(($C198+($D198+$C199-1)/12),0)),AL199+AM197,IF(AM196=ROUNDDOWN(($C198+($D198+$C199-1)/12),0),(AM197+AL199)/$C199*($D199+(AM196-$C198-1)*12+$E199),IF(AM196&gt;ROUNDDOWN(($C198+($D198+$C199)/12),0),0,0)))))))</f>
        <v/>
      </c>
      <c r="AN198" s="128" t="str">
        <f t="shared" ref="AN198" ca="1" si="838">IF(AN196="","",IF(AN196&lt;$C198,0,IF(AN196=$C198,AN197/$C199*$E199+AM199/$C199*$E199,IF(AND(AN196&gt;$C198,AN196&lt;ROUNDDOWN(($C198+($D198+$C199-1)/12),0)),(AN197/2+AM199)/($C199-$E199-12*(AN196-$C198-1))*12,IF(AND($D199&lt;0,AN196=ROUNDDOWN(($C198+($D198+$C199-1)/12),0)),AM199+AN197,IF(AN196=ROUNDDOWN(($C198+($D198+$C199-1)/12),0),(AN197+AM199)/$C199*($D199+(AN196-$C198-1)*12+$E199),IF(AN196&gt;ROUNDDOWN(($C198+($D198+$C199)/12),0),0,0)))))))</f>
        <v/>
      </c>
      <c r="AO198" s="128" t="str">
        <f t="shared" ref="AO198" ca="1" si="839">IF(AO196="","",IF(AO196&lt;$C198,0,IF(AO196=$C198,AO197/$C199*$E199+AN199/$C199*$E199,IF(AND(AO196&gt;$C198,AO196&lt;ROUNDDOWN(($C198+($D198+$C199-1)/12),0)),(AO197/2+AN199)/($C199-$E199-12*(AO196-$C198-1))*12,IF(AND($D199&lt;0,AO196=ROUNDDOWN(($C198+($D198+$C199-1)/12),0)),AN199+AO197,IF(AO196=ROUNDDOWN(($C198+($D198+$C199-1)/12),0),(AO197+AN199)/$C199*($D199+(AO196-$C198-1)*12+$E199),IF(AO196&gt;ROUNDDOWN(($C198+($D198+$C199)/12),0),0,0)))))))</f>
        <v/>
      </c>
      <c r="AP198" s="128" t="str">
        <f t="shared" ref="AP198" ca="1" si="840">IF(AP196="","",IF(AP196&lt;$C198,0,IF(AP196=$C198,AP197/$C199*$E199+AO199/$C199*$E199,IF(AND(AP196&gt;$C198,AP196&lt;ROUNDDOWN(($C198+($D198+$C199-1)/12),0)),(AP197/2+AO199)/($C199-$E199-12*(AP196-$C198-1))*12,IF(AND($D199&lt;0,AP196=ROUNDDOWN(($C198+($D198+$C199-1)/12),0)),AO199+AP197,IF(AP196=ROUNDDOWN(($C198+($D198+$C199-1)/12),0),(AP197+AO199)/$C199*($D199+(AP196-$C198-1)*12+$E199),IF(AP196&gt;ROUNDDOWN(($C198+($D198+$C199)/12),0),0,0)))))))</f>
        <v/>
      </c>
      <c r="AQ198" s="128" t="str">
        <f t="shared" ref="AQ198" ca="1" si="841">IF(AQ196="","",IF(AQ196&lt;$C198,0,IF(AQ196=$C198,AQ197/$C199*$E199+AP199/$C199*$E199,IF(AND(AQ196&gt;$C198,AQ196&lt;ROUNDDOWN(($C198+($D198+$C199-1)/12),0)),(AQ197/2+AP199)/($C199-$E199-12*(AQ196-$C198-1))*12,IF(AND($D199&lt;0,AQ196=ROUNDDOWN(($C198+($D198+$C199-1)/12),0)),AP199+AQ197,IF(AQ196=ROUNDDOWN(($C198+($D198+$C199-1)/12),0),(AQ197+AP199)/$C199*($D199+(AQ196-$C198-1)*12+$E199),IF(AQ196&gt;ROUNDDOWN(($C198+($D198+$C199)/12),0),0,0)))))))</f>
        <v/>
      </c>
      <c r="AR198" s="128" t="str">
        <f t="shared" ref="AR198" ca="1" si="842">IF(AR196="","",IF(AR196&lt;$C198,0,IF(AR196=$C198,AR197/$C199*$E199+AQ199/$C199*$E199,IF(AND(AR196&gt;$C198,AR196&lt;ROUNDDOWN(($C198+($D198+$C199-1)/12),0)),(AR197/2+AQ199)/($C199-$E199-12*(AR196-$C198-1))*12,IF(AND($D199&lt;0,AR196=ROUNDDOWN(($C198+($D198+$C199-1)/12),0)),AQ199+AR197,IF(AR196=ROUNDDOWN(($C198+($D198+$C199-1)/12),0),(AR197+AQ199)/$C199*($D199+(AR196-$C198-1)*12+$E199),IF(AR196&gt;ROUNDDOWN(($C198+($D198+$C199)/12),0),0,0)))))))</f>
        <v/>
      </c>
      <c r="AS198" s="128" t="str">
        <f t="shared" ref="AS198" ca="1" si="843">IF(AS196="","",IF(AS196&lt;$C198,0,IF(AS196=$C198,AS197/$C199*$E199+AR199/$C199*$E199,IF(AND(AS196&gt;$C198,AS196&lt;ROUNDDOWN(($C198+($D198+$C199-1)/12),0)),(AS197/2+AR199)/($C199-$E199-12*(AS196-$C198-1))*12,IF(AND($D199&lt;0,AS196=ROUNDDOWN(($C198+($D198+$C199-1)/12),0)),AR199+AS197,IF(AS196=ROUNDDOWN(($C198+($D198+$C199-1)/12),0),(AS197+AR199)/$C199*($D199+(AS196-$C198-1)*12+$E199),IF(AS196&gt;ROUNDDOWN(($C198+($D198+$C199)/12),0),0,0)))))))</f>
        <v/>
      </c>
      <c r="AT198" s="128" t="str">
        <f t="shared" ref="AT198" ca="1" si="844">IF(AT196="","",IF(AT196&lt;$C198,0,IF(AT196=$C198,AT197/$C199*$E199+AS199/$C199*$E199,IF(AND(AT196&gt;$C198,AT196&lt;ROUNDDOWN(($C198+($D198+$C199-1)/12),0)),(AT197/2+AS199)/($C199-$E199-12*(AT196-$C198-1))*12,IF(AND($D199&lt;0,AT196=ROUNDDOWN(($C198+($D198+$C199-1)/12),0)),AS199+AT197,IF(AT196=ROUNDDOWN(($C198+($D198+$C199-1)/12),0),(AT197+AS199)/$C199*($D199+(AT196-$C198-1)*12+$E199),IF(AT196&gt;ROUNDDOWN(($C198+($D198+$C199)/12),0),0,0)))))))</f>
        <v/>
      </c>
      <c r="AU198" s="128" t="str">
        <f t="shared" ref="AU198" ca="1" si="845">IF(AU196="","",IF(AU196&lt;$C198,0,IF(AU196=$C198,AU197/$C199*$E199+AT199/$C199*$E199,IF(AND(AU196&gt;$C198,AU196&lt;ROUNDDOWN(($C198+($D198+$C199-1)/12),0)),(AU197/2+AT199)/($C199-$E199-12*(AU196-$C198-1))*12,IF(AND($D199&lt;0,AU196=ROUNDDOWN(($C198+($D198+$C199-1)/12),0)),AT199+AU197,IF(AU196=ROUNDDOWN(($C198+($D198+$C199-1)/12),0),(AU197+AT199)/$C199*($D199+(AU196-$C198-1)*12+$E199),IF(AU196&gt;ROUNDDOWN(($C198+($D198+$C199)/12),0),0,0)))))))</f>
        <v/>
      </c>
      <c r="AV198" s="128" t="str">
        <f t="shared" ref="AV198" ca="1" si="846">IF(AV196="","",IF(AV196&lt;$C198,0,IF(AV196=$C198,AV197/$C199*$E199+AU199/$C199*$E199,IF(AND(AV196&gt;$C198,AV196&lt;ROUNDDOWN(($C198+($D198+$C199-1)/12),0)),(AV197/2+AU199)/($C199-$E199-12*(AV196-$C198-1))*12,IF(AND($D199&lt;0,AV196=ROUNDDOWN(($C198+($D198+$C199-1)/12),0)),AU199+AV197,IF(AV196=ROUNDDOWN(($C198+($D198+$C199-1)/12),0),(AV197+AU199)/$C199*($D199+(AV196-$C198-1)*12+$E199),IF(AV196&gt;ROUNDDOWN(($C198+($D198+$C199)/12),0),0,0)))))))</f>
        <v/>
      </c>
      <c r="AW198" s="128" t="str">
        <f t="shared" ref="AW198" ca="1" si="847">IF(AW196="","",IF(AW196&lt;$C198,0,IF(AW196=$C198,AW197/$C199*$E199+AV199/$C199*$E199,IF(AND(AW196&gt;$C198,AW196&lt;ROUNDDOWN(($C198+($D198+$C199-1)/12),0)),(AW197/2+AV199)/($C199-$E199-12*(AW196-$C198-1))*12,IF(AND($D199&lt;0,AW196=ROUNDDOWN(($C198+($D198+$C199-1)/12),0)),AV199+AW197,IF(AW196=ROUNDDOWN(($C198+($D198+$C199-1)/12),0),(AW197+AV199)/$C199*($D199+(AW196-$C198-1)*12+$E199),IF(AW196&gt;ROUNDDOWN(($C198+($D198+$C199)/12),0),0,0)))))))</f>
        <v/>
      </c>
      <c r="AX198" s="104"/>
      <c r="AY198" s="104"/>
      <c r="AZ198" s="101"/>
    </row>
    <row r="199" spans="3:52" ht="12.75" hidden="1" customHeight="1" outlineLevel="1" x14ac:dyDescent="0.25">
      <c r="C199" s="142">
        <f>ROUNDUP((E198-ROUNDDOWN(E198,0))*12,0)+ROUNDDOWN(E198,0)*12</f>
        <v>0</v>
      </c>
      <c r="D199" s="142">
        <f>C199-E199-ROUNDDOWN(E198,0)*12</f>
        <v>-12</v>
      </c>
      <c r="E199" s="142">
        <f>13-MONTH(C197)</f>
        <v>12</v>
      </c>
      <c r="N199" s="99"/>
      <c r="O199" s="104"/>
      <c r="P199" s="104"/>
      <c r="Q199" s="129" t="str">
        <f>INDEX(g_lang_val,MATCH("tb_2_4_3",g_lang_key,0))</f>
        <v>FF4-gæld, ultimo året</v>
      </c>
      <c r="R199" s="130"/>
      <c r="S199" s="133"/>
      <c r="T199" s="128">
        <f t="shared" ref="T199" ca="1" si="848">IF(T196="","",S199+T197-T198)</f>
        <v>0</v>
      </c>
      <c r="U199" s="128">
        <f t="shared" ref="U199" ca="1" si="849">IF(U196="","",T199+U197-U198)</f>
        <v>0</v>
      </c>
      <c r="V199" s="128">
        <f t="shared" ref="V199" ca="1" si="850">IF(V196="","",U199+V197-V198)</f>
        <v>0</v>
      </c>
      <c r="W199" s="128">
        <f t="shared" ref="W199" ca="1" si="851">IF(W196="","",V199+W197-W198)</f>
        <v>0</v>
      </c>
      <c r="X199" s="128" t="str">
        <f t="shared" ref="X199" ca="1" si="852">IF(X196="","",W199+X197-X198)</f>
        <v/>
      </c>
      <c r="Y199" s="128" t="str">
        <f t="shared" ref="Y199" ca="1" si="853">IF(Y196="","",X199+Y197-Y198)</f>
        <v/>
      </c>
      <c r="Z199" s="128" t="str">
        <f t="shared" ref="Z199" ca="1" si="854">IF(Z196="","",Y199+Z197-Z198)</f>
        <v/>
      </c>
      <c r="AA199" s="128" t="str">
        <f t="shared" ref="AA199" ca="1" si="855">IF(AA196="","",Z199+AA197-AA198)</f>
        <v/>
      </c>
      <c r="AB199" s="128" t="str">
        <f t="shared" ref="AB199" ca="1" si="856">IF(AB196="","",AA199+AB197-AB198)</f>
        <v/>
      </c>
      <c r="AC199" s="128" t="str">
        <f t="shared" ref="AC199" ca="1" si="857">IF(AC196="","",AB199+AC197-AC198)</f>
        <v/>
      </c>
      <c r="AD199" s="128" t="str">
        <f t="shared" ref="AD199" ca="1" si="858">IF(AD196="","",AC199+AD197-AD198)</f>
        <v/>
      </c>
      <c r="AE199" s="128" t="str">
        <f t="shared" ref="AE199" ca="1" si="859">IF(AE196="","",AD199+AE197-AE198)</f>
        <v/>
      </c>
      <c r="AF199" s="128" t="str">
        <f t="shared" ref="AF199" ca="1" si="860">IF(AF196="","",AE199+AF197-AF198)</f>
        <v/>
      </c>
      <c r="AG199" s="128" t="str">
        <f t="shared" ref="AG199" ca="1" si="861">IF(AG196="","",AF199+AG197-AG198)</f>
        <v/>
      </c>
      <c r="AH199" s="128" t="str">
        <f t="shared" ref="AH199" ca="1" si="862">IF(AH196="","",AG199+AH197-AH198)</f>
        <v/>
      </c>
      <c r="AI199" s="128" t="str">
        <f t="shared" ref="AI199" ca="1" si="863">IF(AI196="","",AH199+AI197-AI198)</f>
        <v/>
      </c>
      <c r="AJ199" s="128" t="str">
        <f t="shared" ref="AJ199" ca="1" si="864">IF(AJ196="","",AI199+AJ197-AJ198)</f>
        <v/>
      </c>
      <c r="AK199" s="128" t="str">
        <f t="shared" ref="AK199" ca="1" si="865">IF(AK196="","",AJ199+AK197-AK198)</f>
        <v/>
      </c>
      <c r="AL199" s="128" t="str">
        <f t="shared" ref="AL199" ca="1" si="866">IF(AL196="","",AK199+AL197-AL198)</f>
        <v/>
      </c>
      <c r="AM199" s="128" t="str">
        <f t="shared" ref="AM199" ca="1" si="867">IF(AM196="","",AL199+AM197-AM198)</f>
        <v/>
      </c>
      <c r="AN199" s="128" t="str">
        <f t="shared" ref="AN199" ca="1" si="868">IF(AN196="","",AM199+AN197-AN198)</f>
        <v/>
      </c>
      <c r="AO199" s="128" t="str">
        <f t="shared" ref="AO199" ca="1" si="869">IF(AO196="","",AN199+AO197-AO198)</f>
        <v/>
      </c>
      <c r="AP199" s="128" t="str">
        <f t="shared" ref="AP199" ca="1" si="870">IF(AP196="","",AO199+AP197-AP198)</f>
        <v/>
      </c>
      <c r="AQ199" s="128" t="str">
        <f t="shared" ref="AQ199" ca="1" si="871">IF(AQ196="","",AP199+AQ197-AQ198)</f>
        <v/>
      </c>
      <c r="AR199" s="128" t="str">
        <f t="shared" ref="AR199" ca="1" si="872">IF(AR196="","",AQ199+AR197-AR198)</f>
        <v/>
      </c>
      <c r="AS199" s="128" t="str">
        <f t="shared" ref="AS199" ca="1" si="873">IF(AS196="","",AR199+AS197-AS198)</f>
        <v/>
      </c>
      <c r="AT199" s="128" t="str">
        <f t="shared" ref="AT199" ca="1" si="874">IF(AT196="","",AS199+AT197-AT198)</f>
        <v/>
      </c>
      <c r="AU199" s="128" t="str">
        <f t="shared" ref="AU199" ca="1" si="875">IF(AU196="","",AT199+AU197-AU198)</f>
        <v/>
      </c>
      <c r="AV199" s="128" t="str">
        <f t="shared" ref="AV199" ca="1" si="876">IF(AV196="","",AU199+AV197-AV198)</f>
        <v/>
      </c>
      <c r="AW199" s="128" t="str">
        <f t="shared" ref="AW199" ca="1" si="877">IF(AW196="","",AV199+AW197-AW198)</f>
        <v/>
      </c>
      <c r="AX199" s="104"/>
      <c r="AY199" s="104"/>
      <c r="AZ199" s="101"/>
    </row>
    <row r="200" spans="3:52" ht="12.75" hidden="1" customHeight="1" outlineLevel="1" x14ac:dyDescent="0.25">
      <c r="N200" s="99"/>
      <c r="O200" s="104"/>
      <c r="P200" s="104"/>
      <c r="Q200" s="129" t="str">
        <f>INDEX(g_lang_val,MATCH("tb_2_4_4",g_lang_key,0))</f>
        <v>Renter (FF4)</v>
      </c>
      <c r="R200" s="130"/>
      <c r="S200" s="133">
        <f ca="1">SUM(T200:BG200)</f>
        <v>0</v>
      </c>
      <c r="T200" s="128">
        <f t="shared" ref="T200" ca="1" si="878">IF(T196="","",g_interest_FF4*(S199+(T197/2)-(T198/2)))</f>
        <v>0</v>
      </c>
      <c r="U200" s="128">
        <f t="shared" ref="U200" ca="1" si="879">IF(U196="","",g_interest_FF4*(T199+(U197/2)-(U198/2)))</f>
        <v>0</v>
      </c>
      <c r="V200" s="128">
        <f t="shared" ref="V200" ca="1" si="880">IF(V196="","",g_interest_FF4*(U199+(V197/2)-(V198/2)))</f>
        <v>0</v>
      </c>
      <c r="W200" s="128">
        <f t="shared" ref="W200" ca="1" si="881">IF(W196="","",g_interest_FF4*(V199+(W197/2)-(W198/2)))</f>
        <v>0</v>
      </c>
      <c r="X200" s="128" t="str">
        <f t="shared" ref="X200" ca="1" si="882">IF(X196="","",g_interest_FF4*(W199+(X197/2)-(X198/2)))</f>
        <v/>
      </c>
      <c r="Y200" s="128" t="str">
        <f t="shared" ref="Y200" ca="1" si="883">IF(Y196="","",g_interest_FF4*(X199+(Y197/2)-(Y198/2)))</f>
        <v/>
      </c>
      <c r="Z200" s="128" t="str">
        <f t="shared" ref="Z200" ca="1" si="884">IF(Z196="","",g_interest_FF4*(Y199+(Z197/2)-(Z198/2)))</f>
        <v/>
      </c>
      <c r="AA200" s="128" t="str">
        <f t="shared" ref="AA200" ca="1" si="885">IF(AA196="","",g_interest_FF4*(Z199+(AA197/2)-(AA198/2)))</f>
        <v/>
      </c>
      <c r="AB200" s="128" t="str">
        <f t="shared" ref="AB200" ca="1" si="886">IF(AB196="","",g_interest_FF4*(AA199+(AB197/2)-(AB198/2)))</f>
        <v/>
      </c>
      <c r="AC200" s="128" t="str">
        <f t="shared" ref="AC200" ca="1" si="887">IF(AC196="","",g_interest_FF4*(AB199+(AC197/2)-(AC198/2)))</f>
        <v/>
      </c>
      <c r="AD200" s="128" t="str">
        <f t="shared" ref="AD200" ca="1" si="888">IF(AD196="","",g_interest_FF4*(AC199+(AD197/2)-(AD198/2)))</f>
        <v/>
      </c>
      <c r="AE200" s="128" t="str">
        <f t="shared" ref="AE200" ca="1" si="889">IF(AE196="","",g_interest_FF4*(AD199+(AE197/2)-(AE198/2)))</f>
        <v/>
      </c>
      <c r="AF200" s="128" t="str">
        <f t="shared" ref="AF200" ca="1" si="890">IF(AF196="","",g_interest_FF4*(AE199+(AF197/2)-(AF198/2)))</f>
        <v/>
      </c>
      <c r="AG200" s="128" t="str">
        <f t="shared" ref="AG200" ca="1" si="891">IF(AG196="","",g_interest_FF4*(AF199+(AG197/2)-(AG198/2)))</f>
        <v/>
      </c>
      <c r="AH200" s="128" t="str">
        <f t="shared" ref="AH200" ca="1" si="892">IF(AH196="","",g_interest_FF4*(AG199+(AH197/2)-(AH198/2)))</f>
        <v/>
      </c>
      <c r="AI200" s="128" t="str">
        <f t="shared" ref="AI200" ca="1" si="893">IF(AI196="","",g_interest_FF4*(AH199+(AI197/2)-(AI198/2)))</f>
        <v/>
      </c>
      <c r="AJ200" s="128" t="str">
        <f t="shared" ref="AJ200" ca="1" si="894">IF(AJ196="","",g_interest_FF4*(AI199+(AJ197/2)-(AJ198/2)))</f>
        <v/>
      </c>
      <c r="AK200" s="128" t="str">
        <f t="shared" ref="AK200" ca="1" si="895">IF(AK196="","",g_interest_FF4*(AJ199+(AK197/2)-(AK198/2)))</f>
        <v/>
      </c>
      <c r="AL200" s="128" t="str">
        <f t="shared" ref="AL200" ca="1" si="896">IF(AL196="","",g_interest_FF4*(AK199+(AL197/2)-(AL198/2)))</f>
        <v/>
      </c>
      <c r="AM200" s="128" t="str">
        <f t="shared" ref="AM200" ca="1" si="897">IF(AM196="","",g_interest_FF4*(AL199+(AM197/2)-(AM198/2)))</f>
        <v/>
      </c>
      <c r="AN200" s="128" t="str">
        <f t="shared" ref="AN200" ca="1" si="898">IF(AN196="","",g_interest_FF4*(AM199+(AN197/2)-(AN198/2)))</f>
        <v/>
      </c>
      <c r="AO200" s="128" t="str">
        <f t="shared" ref="AO200" ca="1" si="899">IF(AO196="","",g_interest_FF4*(AN199+(AO197/2)-(AO198/2)))</f>
        <v/>
      </c>
      <c r="AP200" s="128" t="str">
        <f t="shared" ref="AP200" ca="1" si="900">IF(AP196="","",g_interest_FF4*(AO199+(AP197/2)-(AP198/2)))</f>
        <v/>
      </c>
      <c r="AQ200" s="128" t="str">
        <f t="shared" ref="AQ200" ca="1" si="901">IF(AQ196="","",g_interest_FF4*(AP199+(AQ197/2)-(AQ198/2)))</f>
        <v/>
      </c>
      <c r="AR200" s="128" t="str">
        <f t="shared" ref="AR200" ca="1" si="902">IF(AR196="","",g_interest_FF4*(AQ199+(AR197/2)-(AR198/2)))</f>
        <v/>
      </c>
      <c r="AS200" s="128" t="str">
        <f t="shared" ref="AS200" ca="1" si="903">IF(AS196="","",g_interest_FF4*(AR199+(AS197/2)-(AS198/2)))</f>
        <v/>
      </c>
      <c r="AT200" s="128" t="str">
        <f t="shared" ref="AT200" ca="1" si="904">IF(AT196="","",g_interest_FF4*(AS199+(AT197/2)-(AT198/2)))</f>
        <v/>
      </c>
      <c r="AU200" s="128" t="str">
        <f t="shared" ref="AU200" ca="1" si="905">IF(AU196="","",g_interest_FF4*(AT199+(AU197/2)-(AU198/2)))</f>
        <v/>
      </c>
      <c r="AV200" s="128" t="str">
        <f t="shared" ref="AV200" ca="1" si="906">IF(AV196="","",g_interest_FF4*(AU199+(AV197/2)-(AV198/2)))</f>
        <v/>
      </c>
      <c r="AW200" s="128" t="str">
        <f t="shared" ref="AW200" ca="1" si="907">IF(AW196="","",g_interest_FF4*(AV199+(AW197/2)-(AW198/2)))</f>
        <v/>
      </c>
      <c r="AX200" s="104"/>
      <c r="AY200" s="104"/>
      <c r="AZ200" s="101"/>
    </row>
    <row r="201" spans="3:52" ht="12.75" hidden="1" customHeight="1" outlineLevel="1" x14ac:dyDescent="0.25">
      <c r="N201" s="99"/>
      <c r="O201" s="104"/>
      <c r="P201" s="104"/>
      <c r="Q201" s="132" t="str">
        <f>INDEX(g_assets_sc_1,13)</f>
        <v/>
      </c>
      <c r="R201" s="132"/>
      <c r="S201" s="127"/>
      <c r="T201" s="139">
        <f ca="1">T$150</f>
        <v>2025</v>
      </c>
      <c r="U201" s="139">
        <f t="shared" ref="U201:AW201" ca="1" si="908">U$150</f>
        <v>2026</v>
      </c>
      <c r="V201" s="139">
        <f t="shared" ca="1" si="908"/>
        <v>2027</v>
      </c>
      <c r="W201" s="139">
        <f t="shared" ca="1" si="908"/>
        <v>2028</v>
      </c>
      <c r="X201" s="139" t="str">
        <f t="shared" ca="1" si="908"/>
        <v/>
      </c>
      <c r="Y201" s="139" t="str">
        <f t="shared" ca="1" si="908"/>
        <v/>
      </c>
      <c r="Z201" s="139" t="str">
        <f t="shared" ca="1" si="908"/>
        <v/>
      </c>
      <c r="AA201" s="139" t="str">
        <f t="shared" ca="1" si="908"/>
        <v/>
      </c>
      <c r="AB201" s="139" t="str">
        <f t="shared" ca="1" si="908"/>
        <v/>
      </c>
      <c r="AC201" s="139" t="str">
        <f t="shared" ca="1" si="908"/>
        <v/>
      </c>
      <c r="AD201" s="139" t="str">
        <f t="shared" ca="1" si="908"/>
        <v/>
      </c>
      <c r="AE201" s="139" t="str">
        <f t="shared" ca="1" si="908"/>
        <v/>
      </c>
      <c r="AF201" s="139" t="str">
        <f t="shared" ca="1" si="908"/>
        <v/>
      </c>
      <c r="AG201" s="139" t="str">
        <f t="shared" ca="1" si="908"/>
        <v/>
      </c>
      <c r="AH201" s="139" t="str">
        <f t="shared" ca="1" si="908"/>
        <v/>
      </c>
      <c r="AI201" s="139" t="str">
        <f t="shared" ca="1" si="908"/>
        <v/>
      </c>
      <c r="AJ201" s="139" t="str">
        <f t="shared" ca="1" si="908"/>
        <v/>
      </c>
      <c r="AK201" s="139" t="str">
        <f t="shared" ca="1" si="908"/>
        <v/>
      </c>
      <c r="AL201" s="139" t="str">
        <f t="shared" ca="1" si="908"/>
        <v/>
      </c>
      <c r="AM201" s="139" t="str">
        <f t="shared" ca="1" si="908"/>
        <v/>
      </c>
      <c r="AN201" s="139" t="str">
        <f t="shared" ca="1" si="908"/>
        <v/>
      </c>
      <c r="AO201" s="139" t="str">
        <f t="shared" ca="1" si="908"/>
        <v/>
      </c>
      <c r="AP201" s="139" t="str">
        <f t="shared" ca="1" si="908"/>
        <v/>
      </c>
      <c r="AQ201" s="139" t="str">
        <f t="shared" ca="1" si="908"/>
        <v/>
      </c>
      <c r="AR201" s="139" t="str">
        <f t="shared" ca="1" si="908"/>
        <v/>
      </c>
      <c r="AS201" s="139" t="str">
        <f t="shared" ca="1" si="908"/>
        <v/>
      </c>
      <c r="AT201" s="139" t="str">
        <f t="shared" ca="1" si="908"/>
        <v/>
      </c>
      <c r="AU201" s="139" t="str">
        <f t="shared" ca="1" si="908"/>
        <v/>
      </c>
      <c r="AV201" s="139" t="str">
        <f t="shared" ca="1" si="908"/>
        <v/>
      </c>
      <c r="AW201" s="139" t="str">
        <f t="shared" ca="1" si="908"/>
        <v/>
      </c>
      <c r="AX201" s="104"/>
      <c r="AY201" s="104"/>
      <c r="AZ201" s="101"/>
    </row>
    <row r="202" spans="3:52" ht="12.75" hidden="1" customHeight="1" outlineLevel="1" x14ac:dyDescent="0.25">
      <c r="C202" s="140">
        <f>INDEX(g_sc_1_assets_dates,G202)</f>
        <v>0</v>
      </c>
      <c r="G202" s="141">
        <v>11</v>
      </c>
      <c r="N202" s="99"/>
      <c r="O202" s="104"/>
      <c r="P202" s="104"/>
      <c r="Q202" s="129" t="str">
        <f>INDEX(g_lang_val,MATCH("tb_2_4_1",g_lang_key,0))</f>
        <v>Køb af anlægsaktiver</v>
      </c>
      <c r="R202" s="130"/>
      <c r="S202" s="133">
        <f ca="1">SUM(T202:BG202)</f>
        <v>0</v>
      </c>
      <c r="T202" s="128">
        <f ca="1">IF(T201="","",SUMPRODUCT(--(Leverancer!$C$28:$C$88=($G202+2)),Leverancer!D$28:D$88)/1000)</f>
        <v>0</v>
      </c>
      <c r="U202" s="128">
        <f ca="1">IF(U201="","",SUMPRODUCT(--(Leverancer!$C$28:$C$88=($G202+2)),Leverancer!E$28:E$88)/1000)</f>
        <v>0</v>
      </c>
      <c r="V202" s="128">
        <f ca="1">IF(V201="","",SUMPRODUCT(--(Leverancer!$C$28:$C$88=($G202+2)),Leverancer!F$28:F$88)/1000)</f>
        <v>0</v>
      </c>
      <c r="W202" s="128">
        <f ca="1">IF(W201="","",SUMPRODUCT(--(Leverancer!$C$28:$C$88=($G202+2)),Leverancer!G$28:G$88)/1000)</f>
        <v>0</v>
      </c>
      <c r="X202" s="128" t="str">
        <f ca="1">IF(X201="","",SUMPRODUCT(--(Leverancer!$C$28:$C$88=($G202+2)),Leverancer!H$28:H$88)/1000)</f>
        <v/>
      </c>
      <c r="Y202" s="128" t="str">
        <f ca="1">IF(Y201="","",SUMPRODUCT(--(Leverancer!$C$28:$C$88=($G202+2)),Leverancer!I$28:I$88)/1000)</f>
        <v/>
      </c>
      <c r="Z202" s="128" t="str">
        <f ca="1">IF(Z201="","",SUMPRODUCT(--(Leverancer!$C$28:$C$88=($G202+2)),Leverancer!J$28:J$88)/1000)</f>
        <v/>
      </c>
      <c r="AA202" s="128" t="str">
        <f ca="1">IF(AA201="","",SUMPRODUCT(--(Leverancer!$C$28:$C$88=($G202+2)),Leverancer!K$28:K$88)/1000)</f>
        <v/>
      </c>
      <c r="AB202" s="128" t="str">
        <f ca="1">IF(AB201="","",SUMPRODUCT(--(Leverancer!$C$28:$C$88=($G202+2)),Leverancer!L$28:L$88)/1000)</f>
        <v/>
      </c>
      <c r="AC202" s="128" t="str">
        <f ca="1">IF(AC201="","",SUMPRODUCT(--(Leverancer!$C$28:$C$88=($G202+2)),Leverancer!M$28:M$88)/1000)</f>
        <v/>
      </c>
      <c r="AD202" s="128" t="str">
        <f ca="1">IF(AD201="","",SUMPRODUCT(--(Leverancer!$C$28:$C$88=($G202+2)),Leverancer!N$28:N$88)/1000)</f>
        <v/>
      </c>
      <c r="AE202" s="128" t="str">
        <f ca="1">IF(AE201="","",SUMPRODUCT(--(Leverancer!$C$28:$C$88=($G202+2)),Leverancer!O$28:O$88)/1000)</f>
        <v/>
      </c>
      <c r="AF202" s="128" t="str">
        <f ca="1">IF(AF201="","",SUMPRODUCT(--(Leverancer!$C$28:$C$88=($G202+2)),Leverancer!P$28:P$88)/1000)</f>
        <v/>
      </c>
      <c r="AG202" s="128" t="str">
        <f ca="1">IF(AG201="","",SUMPRODUCT(--(Leverancer!$C$28:$C$88=($G202+2)),Leverancer!Q$28:Q$88)/1000)</f>
        <v/>
      </c>
      <c r="AH202" s="128" t="str">
        <f ca="1">IF(AH201="","",SUMPRODUCT(--(Leverancer!$C$28:$C$88=($G202+2)),Leverancer!R$28:R$88)/1000)</f>
        <v/>
      </c>
      <c r="AI202" s="128" t="str">
        <f ca="1">IF(AI201="","",SUMPRODUCT(--(Leverancer!$C$28:$C$88=($G202+2)),Leverancer!S$28:S$88)/1000)</f>
        <v/>
      </c>
      <c r="AJ202" s="128" t="str">
        <f ca="1">IF(AJ201="","",SUMPRODUCT(--(Leverancer!$C$28:$C$88=($G202+2)),Leverancer!T$28:T$88)/1000)</f>
        <v/>
      </c>
      <c r="AK202" s="128" t="str">
        <f ca="1">IF(AK201="","",SUMPRODUCT(--(Leverancer!$C$28:$C$88=($G202+2)),Leverancer!U$28:U$88)/1000)</f>
        <v/>
      </c>
      <c r="AL202" s="128" t="str">
        <f ca="1">IF(AL201="","",SUMPRODUCT(--(Leverancer!$C$28:$C$88=($G202+2)),Leverancer!V$28:V$88)/1000)</f>
        <v/>
      </c>
      <c r="AM202" s="128" t="str">
        <f ca="1">IF(AM201="","",SUMPRODUCT(--(Leverancer!$C$28:$C$88=($G202+2)),Leverancer!W$28:W$88)/1000)</f>
        <v/>
      </c>
      <c r="AN202" s="128" t="str">
        <f ca="1">IF(AN201="","",SUMPRODUCT(--(Leverancer!$C$28:$C$88=($G202+2)),Leverancer!X$28:X$88)/1000)</f>
        <v/>
      </c>
      <c r="AO202" s="128" t="str">
        <f ca="1">IF(AO201="","",SUMPRODUCT(--(Leverancer!$C$28:$C$88=($G202+2)),Leverancer!Y$28:Y$88)/1000)</f>
        <v/>
      </c>
      <c r="AP202" s="128" t="str">
        <f ca="1">IF(AP201="","",SUMPRODUCT(--(Leverancer!$C$28:$C$88=($G202+2)),Leverancer!Z$28:Z$88)/1000)</f>
        <v/>
      </c>
      <c r="AQ202" s="128" t="str">
        <f ca="1">IF(AQ201="","",SUMPRODUCT(--(Leverancer!$C$28:$C$88=($G202+2)),Leverancer!AA$28:AA$88)/1000)</f>
        <v/>
      </c>
      <c r="AR202" s="128" t="str">
        <f ca="1">IF(AR201="","",SUMPRODUCT(--(Leverancer!$C$28:$C$88=($G202+2)),Leverancer!AB$28:AB$88)/1000)</f>
        <v/>
      </c>
      <c r="AS202" s="128" t="str">
        <f ca="1">IF(AS201="","",SUMPRODUCT(--(Leverancer!$C$28:$C$88=($G202+2)),Leverancer!AC$28:AC$88)/1000)</f>
        <v/>
      </c>
      <c r="AT202" s="128" t="str">
        <f ca="1">IF(AT201="","",SUMPRODUCT(--(Leverancer!$C$28:$C$88=($G202+2)),Leverancer!AD$28:AD$88)/1000)</f>
        <v/>
      </c>
      <c r="AU202" s="128" t="str">
        <f ca="1">IF(AU201="","",SUMPRODUCT(--(Leverancer!$C$28:$C$88=($G202+2)),Leverancer!AE$28:AE$88)/1000)</f>
        <v/>
      </c>
      <c r="AV202" s="128" t="str">
        <f ca="1">IF(AV201="","",SUMPRODUCT(--(Leverancer!$C$28:$C$88=($G202+2)),Leverancer!AF$28:AF$88)/1000)</f>
        <v/>
      </c>
      <c r="AW202" s="128" t="str">
        <f ca="1">IF(AW201="","",SUMPRODUCT(--(Leverancer!$C$28:$C$88=($G202+2)),Leverancer!AG$28:AG$88)/1000)</f>
        <v/>
      </c>
      <c r="AX202" s="104"/>
      <c r="AY202" s="104"/>
      <c r="AZ202" s="101"/>
    </row>
    <row r="203" spans="3:52" ht="12.75" hidden="1" customHeight="1" outlineLevel="1" x14ac:dyDescent="0.25">
      <c r="C203" s="142">
        <f>IFERROR(YEAR(C202),"")</f>
        <v>1900</v>
      </c>
      <c r="D203" s="142">
        <f>IFERROR(MONTH(C202),"")</f>
        <v>1</v>
      </c>
      <c r="E203" s="142">
        <f>INDEX(g_sc_1_assets_years,G202)</f>
        <v>0</v>
      </c>
      <c r="N203" s="99"/>
      <c r="O203" s="104"/>
      <c r="P203" s="104"/>
      <c r="Q203" s="129" t="str">
        <f>INDEX(g_lang_val,MATCH("tb_2_4_2",g_lang_key,0))</f>
        <v>Afskrivninger</v>
      </c>
      <c r="R203" s="130"/>
      <c r="S203" s="133">
        <f ca="1">SUM(T203:BG203)</f>
        <v>0</v>
      </c>
      <c r="T203" s="128">
        <f t="shared" ref="T203" ca="1" si="909">IF(T201="","",IF(T201&lt;$C203,0,IF(T201=$C203,T202/$C204*$E204+S204/$C204*$E204,IF(AND(T201&gt;$C203,T201&lt;ROUNDDOWN(($C203+($D203+$C204-1)/12),0)),(T202/2+S204)/($C204-$E204-12*(T201-$C203-1))*12,IF(AND($D204&lt;0,T201=ROUNDDOWN(($C203+($D203+$C204-1)/12),0)),S204+T202,IF(T201=ROUNDDOWN(($C203+($D203+$C204-1)/12),0),(T202+S204)/$C204*($D204+(T201-$C203-1)*12+$E204),IF(T201&gt;ROUNDDOWN(($C203+($D203+$C204)/12),0),0,0)))))))</f>
        <v>0</v>
      </c>
      <c r="U203" s="128">
        <f t="shared" ref="U203" ca="1" si="910">IF(U201="","",IF(U201&lt;$C203,0,IF(U201=$C203,U202/$C204*$E204+T204/$C204*$E204,IF(AND(U201&gt;$C203,U201&lt;ROUNDDOWN(($C203+($D203+$C204-1)/12),0)),(U202/2+T204)/($C204-$E204-12*(U201-$C203-1))*12,IF(AND($D204&lt;0,U201=ROUNDDOWN(($C203+($D203+$C204-1)/12),0)),T204+U202,IF(U201=ROUNDDOWN(($C203+($D203+$C204-1)/12),0),(U202+T204)/$C204*($D204+(U201-$C203-1)*12+$E204),IF(U201&gt;ROUNDDOWN(($C203+($D203+$C204)/12),0),0,0)))))))</f>
        <v>0</v>
      </c>
      <c r="V203" s="128">
        <f t="shared" ref="V203" ca="1" si="911">IF(V201="","",IF(V201&lt;$C203,0,IF(V201=$C203,V202/$C204*$E204+U204/$C204*$E204,IF(AND(V201&gt;$C203,V201&lt;ROUNDDOWN(($C203+($D203+$C204-1)/12),0)),(V202/2+U204)/($C204-$E204-12*(V201-$C203-1))*12,IF(AND($D204&lt;0,V201=ROUNDDOWN(($C203+($D203+$C204-1)/12),0)),U204+V202,IF(V201=ROUNDDOWN(($C203+($D203+$C204-1)/12),0),(V202+U204)/$C204*($D204+(V201-$C203-1)*12+$E204),IF(V201&gt;ROUNDDOWN(($C203+($D203+$C204)/12),0),0,0)))))))</f>
        <v>0</v>
      </c>
      <c r="W203" s="128">
        <f t="shared" ref="W203" ca="1" si="912">IF(W201="","",IF(W201&lt;$C203,0,IF(W201=$C203,W202/$C204*$E204+V204/$C204*$E204,IF(AND(W201&gt;$C203,W201&lt;ROUNDDOWN(($C203+($D203+$C204-1)/12),0)),(W202/2+V204)/($C204-$E204-12*(W201-$C203-1))*12,IF(AND($D204&lt;0,W201=ROUNDDOWN(($C203+($D203+$C204-1)/12),0)),V204+W202,IF(W201=ROUNDDOWN(($C203+($D203+$C204-1)/12),0),(W202+V204)/$C204*($D204+(W201-$C203-1)*12+$E204),IF(W201&gt;ROUNDDOWN(($C203+($D203+$C204)/12),0),0,0)))))))</f>
        <v>0</v>
      </c>
      <c r="X203" s="128" t="str">
        <f t="shared" ref="X203" ca="1" si="913">IF(X201="","",IF(X201&lt;$C203,0,IF(X201=$C203,X202/$C204*$E204+W204/$C204*$E204,IF(AND(X201&gt;$C203,X201&lt;ROUNDDOWN(($C203+($D203+$C204-1)/12),0)),(X202/2+W204)/($C204-$E204-12*(X201-$C203-1))*12,IF(AND($D204&lt;0,X201=ROUNDDOWN(($C203+($D203+$C204-1)/12),0)),W204+X202,IF(X201=ROUNDDOWN(($C203+($D203+$C204-1)/12),0),(X202+W204)/$C204*($D204+(X201-$C203-1)*12+$E204),IF(X201&gt;ROUNDDOWN(($C203+($D203+$C204)/12),0),0,0)))))))</f>
        <v/>
      </c>
      <c r="Y203" s="128" t="str">
        <f t="shared" ref="Y203" ca="1" si="914">IF(Y201="","",IF(Y201&lt;$C203,0,IF(Y201=$C203,Y202/$C204*$E204+X204/$C204*$E204,IF(AND(Y201&gt;$C203,Y201&lt;ROUNDDOWN(($C203+($D203+$C204-1)/12),0)),(Y202/2+X204)/($C204-$E204-12*(Y201-$C203-1))*12,IF(AND($D204&lt;0,Y201=ROUNDDOWN(($C203+($D203+$C204-1)/12),0)),X204+Y202,IF(Y201=ROUNDDOWN(($C203+($D203+$C204-1)/12),0),(Y202+X204)/$C204*($D204+(Y201-$C203-1)*12+$E204),IF(Y201&gt;ROUNDDOWN(($C203+($D203+$C204)/12),0),0,0)))))))</f>
        <v/>
      </c>
      <c r="Z203" s="128" t="str">
        <f ca="1">IF(Z201="","",IF(Z201&lt;$C203,0,IF(Z201=$C203,Z202/$C204*$E204+Y204/$C204*$E204,IF(AND(Z201&gt;$C203,Z201&lt;ROUNDDOWN(($C203+($D203+$C204-1)/12),0)),(Z202/2+Y204)/($C204-$E204-12*(Z201-$C203-1))*12,IF(AND($D204&lt;0,Z201=ROUNDDOWN(($C203+($D203+$C204-1)/12),0)),Y204+Z202,IF(Z201=ROUNDDOWN(($C203+($D203+$C204-1)/12),0),(Z202+Y204)/$C204*($D204+(Z201-$C203-1)*12+$E204),IF(Z201&gt;ROUNDDOWN(($C203+($D203+$C204)/12),0),0,0)))))))</f>
        <v/>
      </c>
      <c r="AA203" s="128" t="str">
        <f t="shared" ref="AA203" ca="1" si="915">IF(AA201="","",IF(AA201&lt;$C203,0,IF(AA201=$C203,AA202/$C204*$E204+Z204/$C204*$E204,IF(AND(AA201&gt;$C203,AA201&lt;ROUNDDOWN(($C203+($D203+$C204-1)/12),0)),(AA202/2+Z204)/($C204-$E204-12*(AA201-$C203-1))*12,IF(AND($D204&lt;0,AA201=ROUNDDOWN(($C203+($D203+$C204-1)/12),0)),Z204+AA202,IF(AA201=ROUNDDOWN(($C203+($D203+$C204-1)/12),0),(AA202+Z204)/$C204*($D204+(AA201-$C203-1)*12+$E204),IF(AA201&gt;ROUNDDOWN(($C203+($D203+$C204)/12),0),0,0)))))))</f>
        <v/>
      </c>
      <c r="AB203" s="128" t="str">
        <f t="shared" ref="AB203" ca="1" si="916">IF(AB201="","",IF(AB201&lt;$C203,0,IF(AB201=$C203,AB202/$C204*$E204+AA204/$C204*$E204,IF(AND(AB201&gt;$C203,AB201&lt;ROUNDDOWN(($C203+($D203+$C204-1)/12),0)),(AB202/2+AA204)/($C204-$E204-12*(AB201-$C203-1))*12,IF(AND($D204&lt;0,AB201=ROUNDDOWN(($C203+($D203+$C204-1)/12),0)),AA204+AB202,IF(AB201=ROUNDDOWN(($C203+($D203+$C204-1)/12),0),(AB202+AA204)/$C204*($D204+(AB201-$C203-1)*12+$E204),IF(AB201&gt;ROUNDDOWN(($C203+($D203+$C204)/12),0),0,0)))))))</f>
        <v/>
      </c>
      <c r="AC203" s="128" t="str">
        <f t="shared" ref="AC203" ca="1" si="917">IF(AC201="","",IF(AC201&lt;$C203,0,IF(AC201=$C203,AC202/$C204*$E204+AB204/$C204*$E204,IF(AND(AC201&gt;$C203,AC201&lt;ROUNDDOWN(($C203+($D203+$C204-1)/12),0)),(AC202/2+AB204)/($C204-$E204-12*(AC201-$C203-1))*12,IF(AND($D204&lt;0,AC201=ROUNDDOWN(($C203+($D203+$C204-1)/12),0)),AB204+AC202,IF(AC201=ROUNDDOWN(($C203+($D203+$C204-1)/12),0),(AC202+AB204)/$C204*($D204+(AC201-$C203-1)*12+$E204),IF(AC201&gt;ROUNDDOWN(($C203+($D203+$C204)/12),0),0,0)))))))</f>
        <v/>
      </c>
      <c r="AD203" s="128" t="str">
        <f t="shared" ref="AD203" ca="1" si="918">IF(AD201="","",IF(AD201&lt;$C203,0,IF(AD201=$C203,AD202/$C204*$E204+AC204/$C204*$E204,IF(AND(AD201&gt;$C203,AD201&lt;ROUNDDOWN(($C203+($D203+$C204-1)/12),0)),(AD202/2+AC204)/($C204-$E204-12*(AD201-$C203-1))*12,IF(AND($D204&lt;0,AD201=ROUNDDOWN(($C203+($D203+$C204-1)/12),0)),AC204+AD202,IF(AD201=ROUNDDOWN(($C203+($D203+$C204-1)/12),0),(AD202+AC204)/$C204*($D204+(AD201-$C203-1)*12+$E204),IF(AD201&gt;ROUNDDOWN(($C203+($D203+$C204)/12),0),0,0)))))))</f>
        <v/>
      </c>
      <c r="AE203" s="128" t="str">
        <f t="shared" ref="AE203" ca="1" si="919">IF(AE201="","",IF(AE201&lt;$C203,0,IF(AE201=$C203,AE202/$C204*$E204+AD204/$C204*$E204,IF(AND(AE201&gt;$C203,AE201&lt;ROUNDDOWN(($C203+($D203+$C204-1)/12),0)),(AE202/2+AD204)/($C204-$E204-12*(AE201-$C203-1))*12,IF(AND($D204&lt;0,AE201=ROUNDDOWN(($C203+($D203+$C204-1)/12),0)),AD204+AE202,IF(AE201=ROUNDDOWN(($C203+($D203+$C204-1)/12),0),(AE202+AD204)/$C204*($D204+(AE201-$C203-1)*12+$E204),IF(AE201&gt;ROUNDDOWN(($C203+($D203+$C204)/12),0),0,0)))))))</f>
        <v/>
      </c>
      <c r="AF203" s="128" t="str">
        <f t="shared" ref="AF203" ca="1" si="920">IF(AF201="","",IF(AF201&lt;$C203,0,IF(AF201=$C203,AF202/$C204*$E204+AE204/$C204*$E204,IF(AND(AF201&gt;$C203,AF201&lt;ROUNDDOWN(($C203+($D203+$C204-1)/12),0)),(AF202/2+AE204)/($C204-$E204-12*(AF201-$C203-1))*12,IF(AND($D204&lt;0,AF201=ROUNDDOWN(($C203+($D203+$C204-1)/12),0)),AE204+AF202,IF(AF201=ROUNDDOWN(($C203+($D203+$C204-1)/12),0),(AF202+AE204)/$C204*($D204+(AF201-$C203-1)*12+$E204),IF(AF201&gt;ROUNDDOWN(($C203+($D203+$C204)/12),0),0,0)))))))</f>
        <v/>
      </c>
      <c r="AG203" s="128" t="str">
        <f t="shared" ref="AG203" ca="1" si="921">IF(AG201="","",IF(AG201&lt;$C203,0,IF(AG201=$C203,AG202/$C204*$E204+AF204/$C204*$E204,IF(AND(AG201&gt;$C203,AG201&lt;ROUNDDOWN(($C203+($D203+$C204-1)/12),0)),(AG202/2+AF204)/($C204-$E204-12*(AG201-$C203-1))*12,IF(AND($D204&lt;0,AG201=ROUNDDOWN(($C203+($D203+$C204-1)/12),0)),AF204+AG202,IF(AG201=ROUNDDOWN(($C203+($D203+$C204-1)/12),0),(AG202+AF204)/$C204*($D204+(AG201-$C203-1)*12+$E204),IF(AG201&gt;ROUNDDOWN(($C203+($D203+$C204)/12),0),0,0)))))))</f>
        <v/>
      </c>
      <c r="AH203" s="128" t="str">
        <f t="shared" ref="AH203" ca="1" si="922">IF(AH201="","",IF(AH201&lt;$C203,0,IF(AH201=$C203,AH202/$C204*$E204+AG204/$C204*$E204,IF(AND(AH201&gt;$C203,AH201&lt;ROUNDDOWN(($C203+($D203+$C204-1)/12),0)),(AH202/2+AG204)/($C204-$E204-12*(AH201-$C203-1))*12,IF(AND($D204&lt;0,AH201=ROUNDDOWN(($C203+($D203+$C204-1)/12),0)),AG204+AH202,IF(AH201=ROUNDDOWN(($C203+($D203+$C204-1)/12),0),(AH202+AG204)/$C204*($D204+(AH201-$C203-1)*12+$E204),IF(AH201&gt;ROUNDDOWN(($C203+($D203+$C204)/12),0),0,0)))))))</f>
        <v/>
      </c>
      <c r="AI203" s="128" t="str">
        <f t="shared" ref="AI203" ca="1" si="923">IF(AI201="","",IF(AI201&lt;$C203,0,IF(AI201=$C203,AI202/$C204*$E204+AH204/$C204*$E204,IF(AND(AI201&gt;$C203,AI201&lt;ROUNDDOWN(($C203+($D203+$C204-1)/12),0)),(AI202/2+AH204)/($C204-$E204-12*(AI201-$C203-1))*12,IF(AND($D204&lt;0,AI201=ROUNDDOWN(($C203+($D203+$C204-1)/12),0)),AH204+AI202,IF(AI201=ROUNDDOWN(($C203+($D203+$C204-1)/12),0),(AI202+AH204)/$C204*($D204+(AI201-$C203-1)*12+$E204),IF(AI201&gt;ROUNDDOWN(($C203+($D203+$C204)/12),0),0,0)))))))</f>
        <v/>
      </c>
      <c r="AJ203" s="128" t="str">
        <f t="shared" ref="AJ203" ca="1" si="924">IF(AJ201="","",IF(AJ201&lt;$C203,0,IF(AJ201=$C203,AJ202/$C204*$E204+AI204/$C204*$E204,IF(AND(AJ201&gt;$C203,AJ201&lt;ROUNDDOWN(($C203+($D203+$C204-1)/12),0)),(AJ202/2+AI204)/($C204-$E204-12*(AJ201-$C203-1))*12,IF(AND($D204&lt;0,AJ201=ROUNDDOWN(($C203+($D203+$C204-1)/12),0)),AI204+AJ202,IF(AJ201=ROUNDDOWN(($C203+($D203+$C204-1)/12),0),(AJ202+AI204)/$C204*($D204+(AJ201-$C203-1)*12+$E204),IF(AJ201&gt;ROUNDDOWN(($C203+($D203+$C204)/12),0),0,0)))))))</f>
        <v/>
      </c>
      <c r="AK203" s="128" t="str">
        <f t="shared" ref="AK203" ca="1" si="925">IF(AK201="","",IF(AK201&lt;$C203,0,IF(AK201=$C203,AK202/$C204*$E204+AJ204/$C204*$E204,IF(AND(AK201&gt;$C203,AK201&lt;ROUNDDOWN(($C203+($D203+$C204-1)/12),0)),(AK202/2+AJ204)/($C204-$E204-12*(AK201-$C203-1))*12,IF(AND($D204&lt;0,AK201=ROUNDDOWN(($C203+($D203+$C204-1)/12),0)),AJ204+AK202,IF(AK201=ROUNDDOWN(($C203+($D203+$C204-1)/12),0),(AK202+AJ204)/$C204*($D204+(AK201-$C203-1)*12+$E204),IF(AK201&gt;ROUNDDOWN(($C203+($D203+$C204)/12),0),0,0)))))))</f>
        <v/>
      </c>
      <c r="AL203" s="128" t="str">
        <f t="shared" ref="AL203" ca="1" si="926">IF(AL201="","",IF(AL201&lt;$C203,0,IF(AL201=$C203,AL202/$C204*$E204+AK204/$C204*$E204,IF(AND(AL201&gt;$C203,AL201&lt;ROUNDDOWN(($C203+($D203+$C204-1)/12),0)),(AL202/2+AK204)/($C204-$E204-12*(AL201-$C203-1))*12,IF(AND($D204&lt;0,AL201=ROUNDDOWN(($C203+($D203+$C204-1)/12),0)),AK204+AL202,IF(AL201=ROUNDDOWN(($C203+($D203+$C204-1)/12),0),(AL202+AK204)/$C204*($D204+(AL201-$C203-1)*12+$E204),IF(AL201&gt;ROUNDDOWN(($C203+($D203+$C204)/12),0),0,0)))))))</f>
        <v/>
      </c>
      <c r="AM203" s="128" t="str">
        <f t="shared" ref="AM203" ca="1" si="927">IF(AM201="","",IF(AM201&lt;$C203,0,IF(AM201=$C203,AM202/$C204*$E204+AL204/$C204*$E204,IF(AND(AM201&gt;$C203,AM201&lt;ROUNDDOWN(($C203+($D203+$C204-1)/12),0)),(AM202/2+AL204)/($C204-$E204-12*(AM201-$C203-1))*12,IF(AND($D204&lt;0,AM201=ROUNDDOWN(($C203+($D203+$C204-1)/12),0)),AL204+AM202,IF(AM201=ROUNDDOWN(($C203+($D203+$C204-1)/12),0),(AM202+AL204)/$C204*($D204+(AM201-$C203-1)*12+$E204),IF(AM201&gt;ROUNDDOWN(($C203+($D203+$C204)/12),0),0,0)))))))</f>
        <v/>
      </c>
      <c r="AN203" s="128" t="str">
        <f t="shared" ref="AN203" ca="1" si="928">IF(AN201="","",IF(AN201&lt;$C203,0,IF(AN201=$C203,AN202/$C204*$E204+AM204/$C204*$E204,IF(AND(AN201&gt;$C203,AN201&lt;ROUNDDOWN(($C203+($D203+$C204-1)/12),0)),(AN202/2+AM204)/($C204-$E204-12*(AN201-$C203-1))*12,IF(AND($D204&lt;0,AN201=ROUNDDOWN(($C203+($D203+$C204-1)/12),0)),AM204+AN202,IF(AN201=ROUNDDOWN(($C203+($D203+$C204-1)/12),0),(AN202+AM204)/$C204*($D204+(AN201-$C203-1)*12+$E204),IF(AN201&gt;ROUNDDOWN(($C203+($D203+$C204)/12),0),0,0)))))))</f>
        <v/>
      </c>
      <c r="AO203" s="128" t="str">
        <f t="shared" ref="AO203" ca="1" si="929">IF(AO201="","",IF(AO201&lt;$C203,0,IF(AO201=$C203,AO202/$C204*$E204+AN204/$C204*$E204,IF(AND(AO201&gt;$C203,AO201&lt;ROUNDDOWN(($C203+($D203+$C204-1)/12),0)),(AO202/2+AN204)/($C204-$E204-12*(AO201-$C203-1))*12,IF(AND($D204&lt;0,AO201=ROUNDDOWN(($C203+($D203+$C204-1)/12),0)),AN204+AO202,IF(AO201=ROUNDDOWN(($C203+($D203+$C204-1)/12),0),(AO202+AN204)/$C204*($D204+(AO201-$C203-1)*12+$E204),IF(AO201&gt;ROUNDDOWN(($C203+($D203+$C204)/12),0),0,0)))))))</f>
        <v/>
      </c>
      <c r="AP203" s="128" t="str">
        <f t="shared" ref="AP203" ca="1" si="930">IF(AP201="","",IF(AP201&lt;$C203,0,IF(AP201=$C203,AP202/$C204*$E204+AO204/$C204*$E204,IF(AND(AP201&gt;$C203,AP201&lt;ROUNDDOWN(($C203+($D203+$C204-1)/12),0)),(AP202/2+AO204)/($C204-$E204-12*(AP201-$C203-1))*12,IF(AND($D204&lt;0,AP201=ROUNDDOWN(($C203+($D203+$C204-1)/12),0)),AO204+AP202,IF(AP201=ROUNDDOWN(($C203+($D203+$C204-1)/12),0),(AP202+AO204)/$C204*($D204+(AP201-$C203-1)*12+$E204),IF(AP201&gt;ROUNDDOWN(($C203+($D203+$C204)/12),0),0,0)))))))</f>
        <v/>
      </c>
      <c r="AQ203" s="128" t="str">
        <f t="shared" ref="AQ203" ca="1" si="931">IF(AQ201="","",IF(AQ201&lt;$C203,0,IF(AQ201=$C203,AQ202/$C204*$E204+AP204/$C204*$E204,IF(AND(AQ201&gt;$C203,AQ201&lt;ROUNDDOWN(($C203+($D203+$C204-1)/12),0)),(AQ202/2+AP204)/($C204-$E204-12*(AQ201-$C203-1))*12,IF(AND($D204&lt;0,AQ201=ROUNDDOWN(($C203+($D203+$C204-1)/12),0)),AP204+AQ202,IF(AQ201=ROUNDDOWN(($C203+($D203+$C204-1)/12),0),(AQ202+AP204)/$C204*($D204+(AQ201-$C203-1)*12+$E204),IF(AQ201&gt;ROUNDDOWN(($C203+($D203+$C204)/12),0),0,0)))))))</f>
        <v/>
      </c>
      <c r="AR203" s="128" t="str">
        <f t="shared" ref="AR203" ca="1" si="932">IF(AR201="","",IF(AR201&lt;$C203,0,IF(AR201=$C203,AR202/$C204*$E204+AQ204/$C204*$E204,IF(AND(AR201&gt;$C203,AR201&lt;ROUNDDOWN(($C203+($D203+$C204-1)/12),0)),(AR202/2+AQ204)/($C204-$E204-12*(AR201-$C203-1))*12,IF(AND($D204&lt;0,AR201=ROUNDDOWN(($C203+($D203+$C204-1)/12),0)),AQ204+AR202,IF(AR201=ROUNDDOWN(($C203+($D203+$C204-1)/12),0),(AR202+AQ204)/$C204*($D204+(AR201-$C203-1)*12+$E204),IF(AR201&gt;ROUNDDOWN(($C203+($D203+$C204)/12),0),0,0)))))))</f>
        <v/>
      </c>
      <c r="AS203" s="128" t="str">
        <f t="shared" ref="AS203" ca="1" si="933">IF(AS201="","",IF(AS201&lt;$C203,0,IF(AS201=$C203,AS202/$C204*$E204+AR204/$C204*$E204,IF(AND(AS201&gt;$C203,AS201&lt;ROUNDDOWN(($C203+($D203+$C204-1)/12),0)),(AS202/2+AR204)/($C204-$E204-12*(AS201-$C203-1))*12,IF(AND($D204&lt;0,AS201=ROUNDDOWN(($C203+($D203+$C204-1)/12),0)),AR204+AS202,IF(AS201=ROUNDDOWN(($C203+($D203+$C204-1)/12),0),(AS202+AR204)/$C204*($D204+(AS201-$C203-1)*12+$E204),IF(AS201&gt;ROUNDDOWN(($C203+($D203+$C204)/12),0),0,0)))))))</f>
        <v/>
      </c>
      <c r="AT203" s="128" t="str">
        <f t="shared" ref="AT203" ca="1" si="934">IF(AT201="","",IF(AT201&lt;$C203,0,IF(AT201=$C203,AT202/$C204*$E204+AS204/$C204*$E204,IF(AND(AT201&gt;$C203,AT201&lt;ROUNDDOWN(($C203+($D203+$C204-1)/12),0)),(AT202/2+AS204)/($C204-$E204-12*(AT201-$C203-1))*12,IF(AND($D204&lt;0,AT201=ROUNDDOWN(($C203+($D203+$C204-1)/12),0)),AS204+AT202,IF(AT201=ROUNDDOWN(($C203+($D203+$C204-1)/12),0),(AT202+AS204)/$C204*($D204+(AT201-$C203-1)*12+$E204),IF(AT201&gt;ROUNDDOWN(($C203+($D203+$C204)/12),0),0,0)))))))</f>
        <v/>
      </c>
      <c r="AU203" s="128" t="str">
        <f t="shared" ref="AU203" ca="1" si="935">IF(AU201="","",IF(AU201&lt;$C203,0,IF(AU201=$C203,AU202/$C204*$E204+AT204/$C204*$E204,IF(AND(AU201&gt;$C203,AU201&lt;ROUNDDOWN(($C203+($D203+$C204-1)/12),0)),(AU202/2+AT204)/($C204-$E204-12*(AU201-$C203-1))*12,IF(AND($D204&lt;0,AU201=ROUNDDOWN(($C203+($D203+$C204-1)/12),0)),AT204+AU202,IF(AU201=ROUNDDOWN(($C203+($D203+$C204-1)/12),0),(AU202+AT204)/$C204*($D204+(AU201-$C203-1)*12+$E204),IF(AU201&gt;ROUNDDOWN(($C203+($D203+$C204)/12),0),0,0)))))))</f>
        <v/>
      </c>
      <c r="AV203" s="128" t="str">
        <f t="shared" ref="AV203" ca="1" si="936">IF(AV201="","",IF(AV201&lt;$C203,0,IF(AV201=$C203,AV202/$C204*$E204+AU204/$C204*$E204,IF(AND(AV201&gt;$C203,AV201&lt;ROUNDDOWN(($C203+($D203+$C204-1)/12),0)),(AV202/2+AU204)/($C204-$E204-12*(AV201-$C203-1))*12,IF(AND($D204&lt;0,AV201=ROUNDDOWN(($C203+($D203+$C204-1)/12),0)),AU204+AV202,IF(AV201=ROUNDDOWN(($C203+($D203+$C204-1)/12),0),(AV202+AU204)/$C204*($D204+(AV201-$C203-1)*12+$E204),IF(AV201&gt;ROUNDDOWN(($C203+($D203+$C204)/12),0),0,0)))))))</f>
        <v/>
      </c>
      <c r="AW203" s="128" t="str">
        <f t="shared" ref="AW203" ca="1" si="937">IF(AW201="","",IF(AW201&lt;$C203,0,IF(AW201=$C203,AW202/$C204*$E204+AV204/$C204*$E204,IF(AND(AW201&gt;$C203,AW201&lt;ROUNDDOWN(($C203+($D203+$C204-1)/12),0)),(AW202/2+AV204)/($C204-$E204-12*(AW201-$C203-1))*12,IF(AND($D204&lt;0,AW201=ROUNDDOWN(($C203+($D203+$C204-1)/12),0)),AV204+AW202,IF(AW201=ROUNDDOWN(($C203+($D203+$C204-1)/12),0),(AW202+AV204)/$C204*($D204+(AW201-$C203-1)*12+$E204),IF(AW201&gt;ROUNDDOWN(($C203+($D203+$C204)/12),0),0,0)))))))</f>
        <v/>
      </c>
      <c r="AX203" s="104"/>
      <c r="AY203" s="104"/>
      <c r="AZ203" s="101"/>
    </row>
    <row r="204" spans="3:52" ht="12.75" hidden="1" customHeight="1" outlineLevel="1" x14ac:dyDescent="0.25">
      <c r="C204" s="142">
        <f>ROUNDUP((E203-ROUNDDOWN(E203,0))*12,0)+ROUNDDOWN(E203,0)*12</f>
        <v>0</v>
      </c>
      <c r="D204" s="142">
        <f>C204-E204-ROUNDDOWN(E203,0)*12</f>
        <v>-12</v>
      </c>
      <c r="E204" s="142">
        <f>13-MONTH(C202)</f>
        <v>12</v>
      </c>
      <c r="N204" s="99"/>
      <c r="O204" s="104"/>
      <c r="P204" s="104"/>
      <c r="Q204" s="129" t="str">
        <f>INDEX(g_lang_val,MATCH("tb_2_4_3",g_lang_key,0))</f>
        <v>FF4-gæld, ultimo året</v>
      </c>
      <c r="R204" s="130"/>
      <c r="S204" s="133"/>
      <c r="T204" s="128">
        <f t="shared" ref="T204" ca="1" si="938">IF(T201="","",S204+T202-T203)</f>
        <v>0</v>
      </c>
      <c r="U204" s="128">
        <f t="shared" ref="U204" ca="1" si="939">IF(U201="","",T204+U202-U203)</f>
        <v>0</v>
      </c>
      <c r="V204" s="128">
        <f t="shared" ref="V204" ca="1" si="940">IF(V201="","",U204+V202-V203)</f>
        <v>0</v>
      </c>
      <c r="W204" s="128">
        <f t="shared" ref="W204" ca="1" si="941">IF(W201="","",V204+W202-W203)</f>
        <v>0</v>
      </c>
      <c r="X204" s="128" t="str">
        <f t="shared" ref="X204" ca="1" si="942">IF(X201="","",W204+X202-X203)</f>
        <v/>
      </c>
      <c r="Y204" s="128" t="str">
        <f t="shared" ref="Y204" ca="1" si="943">IF(Y201="","",X204+Y202-Y203)</f>
        <v/>
      </c>
      <c r="Z204" s="128" t="str">
        <f t="shared" ref="Z204" ca="1" si="944">IF(Z201="","",Y204+Z202-Z203)</f>
        <v/>
      </c>
      <c r="AA204" s="128" t="str">
        <f t="shared" ref="AA204" ca="1" si="945">IF(AA201="","",Z204+AA202-AA203)</f>
        <v/>
      </c>
      <c r="AB204" s="128" t="str">
        <f t="shared" ref="AB204" ca="1" si="946">IF(AB201="","",AA204+AB202-AB203)</f>
        <v/>
      </c>
      <c r="AC204" s="128" t="str">
        <f t="shared" ref="AC204" ca="1" si="947">IF(AC201="","",AB204+AC202-AC203)</f>
        <v/>
      </c>
      <c r="AD204" s="128" t="str">
        <f t="shared" ref="AD204" ca="1" si="948">IF(AD201="","",AC204+AD202-AD203)</f>
        <v/>
      </c>
      <c r="AE204" s="128" t="str">
        <f t="shared" ref="AE204" ca="1" si="949">IF(AE201="","",AD204+AE202-AE203)</f>
        <v/>
      </c>
      <c r="AF204" s="128" t="str">
        <f t="shared" ref="AF204" ca="1" si="950">IF(AF201="","",AE204+AF202-AF203)</f>
        <v/>
      </c>
      <c r="AG204" s="128" t="str">
        <f t="shared" ref="AG204" ca="1" si="951">IF(AG201="","",AF204+AG202-AG203)</f>
        <v/>
      </c>
      <c r="AH204" s="128" t="str">
        <f t="shared" ref="AH204" ca="1" si="952">IF(AH201="","",AG204+AH202-AH203)</f>
        <v/>
      </c>
      <c r="AI204" s="128" t="str">
        <f t="shared" ref="AI204" ca="1" si="953">IF(AI201="","",AH204+AI202-AI203)</f>
        <v/>
      </c>
      <c r="AJ204" s="128" t="str">
        <f t="shared" ref="AJ204" ca="1" si="954">IF(AJ201="","",AI204+AJ202-AJ203)</f>
        <v/>
      </c>
      <c r="AK204" s="128" t="str">
        <f t="shared" ref="AK204" ca="1" si="955">IF(AK201="","",AJ204+AK202-AK203)</f>
        <v/>
      </c>
      <c r="AL204" s="128" t="str">
        <f t="shared" ref="AL204" ca="1" si="956">IF(AL201="","",AK204+AL202-AL203)</f>
        <v/>
      </c>
      <c r="AM204" s="128" t="str">
        <f t="shared" ref="AM204" ca="1" si="957">IF(AM201="","",AL204+AM202-AM203)</f>
        <v/>
      </c>
      <c r="AN204" s="128" t="str">
        <f t="shared" ref="AN204" ca="1" si="958">IF(AN201="","",AM204+AN202-AN203)</f>
        <v/>
      </c>
      <c r="AO204" s="128" t="str">
        <f t="shared" ref="AO204" ca="1" si="959">IF(AO201="","",AN204+AO202-AO203)</f>
        <v/>
      </c>
      <c r="AP204" s="128" t="str">
        <f t="shared" ref="AP204" ca="1" si="960">IF(AP201="","",AO204+AP202-AP203)</f>
        <v/>
      </c>
      <c r="AQ204" s="128" t="str">
        <f t="shared" ref="AQ204" ca="1" si="961">IF(AQ201="","",AP204+AQ202-AQ203)</f>
        <v/>
      </c>
      <c r="AR204" s="128" t="str">
        <f t="shared" ref="AR204" ca="1" si="962">IF(AR201="","",AQ204+AR202-AR203)</f>
        <v/>
      </c>
      <c r="AS204" s="128" t="str">
        <f t="shared" ref="AS204" ca="1" si="963">IF(AS201="","",AR204+AS202-AS203)</f>
        <v/>
      </c>
      <c r="AT204" s="128" t="str">
        <f t="shared" ref="AT204" ca="1" si="964">IF(AT201="","",AS204+AT202-AT203)</f>
        <v/>
      </c>
      <c r="AU204" s="128" t="str">
        <f t="shared" ref="AU204" ca="1" si="965">IF(AU201="","",AT204+AU202-AU203)</f>
        <v/>
      </c>
      <c r="AV204" s="128" t="str">
        <f t="shared" ref="AV204" ca="1" si="966">IF(AV201="","",AU204+AV202-AV203)</f>
        <v/>
      </c>
      <c r="AW204" s="128" t="str">
        <f t="shared" ref="AW204" ca="1" si="967">IF(AW201="","",AV204+AW202-AW203)</f>
        <v/>
      </c>
      <c r="AX204" s="104"/>
      <c r="AY204" s="104"/>
      <c r="AZ204" s="101"/>
    </row>
    <row r="205" spans="3:52" ht="12.75" hidden="1" customHeight="1" outlineLevel="1" x14ac:dyDescent="0.25">
      <c r="N205" s="99"/>
      <c r="O205" s="104"/>
      <c r="P205" s="104"/>
      <c r="Q205" s="129" t="str">
        <f>INDEX(g_lang_val,MATCH("tb_2_4_4",g_lang_key,0))</f>
        <v>Renter (FF4)</v>
      </c>
      <c r="R205" s="130"/>
      <c r="S205" s="133">
        <f ca="1">SUM(T205:BG205)</f>
        <v>0</v>
      </c>
      <c r="T205" s="128">
        <f t="shared" ref="T205" ca="1" si="968">IF(T201="","",g_interest_FF4*(S204+(T202/2)-(T203/2)))</f>
        <v>0</v>
      </c>
      <c r="U205" s="128">
        <f t="shared" ref="U205" ca="1" si="969">IF(U201="","",g_interest_FF4*(T204+(U202/2)-(U203/2)))</f>
        <v>0</v>
      </c>
      <c r="V205" s="128">
        <f t="shared" ref="V205" ca="1" si="970">IF(V201="","",g_interest_FF4*(U204+(V202/2)-(V203/2)))</f>
        <v>0</v>
      </c>
      <c r="W205" s="128">
        <f t="shared" ref="W205" ca="1" si="971">IF(W201="","",g_interest_FF4*(V204+(W202/2)-(W203/2)))</f>
        <v>0</v>
      </c>
      <c r="X205" s="128" t="str">
        <f t="shared" ref="X205" ca="1" si="972">IF(X201="","",g_interest_FF4*(W204+(X202/2)-(X203/2)))</f>
        <v/>
      </c>
      <c r="Y205" s="128" t="str">
        <f t="shared" ref="Y205" ca="1" si="973">IF(Y201="","",g_interest_FF4*(X204+(Y202/2)-(Y203/2)))</f>
        <v/>
      </c>
      <c r="Z205" s="128" t="str">
        <f t="shared" ref="Z205" ca="1" si="974">IF(Z201="","",g_interest_FF4*(Y204+(Z202/2)-(Z203/2)))</f>
        <v/>
      </c>
      <c r="AA205" s="128" t="str">
        <f t="shared" ref="AA205" ca="1" si="975">IF(AA201="","",g_interest_FF4*(Z204+(AA202/2)-(AA203/2)))</f>
        <v/>
      </c>
      <c r="AB205" s="128" t="str">
        <f t="shared" ref="AB205" ca="1" si="976">IF(AB201="","",g_interest_FF4*(AA204+(AB202/2)-(AB203/2)))</f>
        <v/>
      </c>
      <c r="AC205" s="128" t="str">
        <f t="shared" ref="AC205" ca="1" si="977">IF(AC201="","",g_interest_FF4*(AB204+(AC202/2)-(AC203/2)))</f>
        <v/>
      </c>
      <c r="AD205" s="128" t="str">
        <f t="shared" ref="AD205" ca="1" si="978">IF(AD201="","",g_interest_FF4*(AC204+(AD202/2)-(AD203/2)))</f>
        <v/>
      </c>
      <c r="AE205" s="128" t="str">
        <f t="shared" ref="AE205" ca="1" si="979">IF(AE201="","",g_interest_FF4*(AD204+(AE202/2)-(AE203/2)))</f>
        <v/>
      </c>
      <c r="AF205" s="128" t="str">
        <f t="shared" ref="AF205" ca="1" si="980">IF(AF201="","",g_interest_FF4*(AE204+(AF202/2)-(AF203/2)))</f>
        <v/>
      </c>
      <c r="AG205" s="128" t="str">
        <f t="shared" ref="AG205" ca="1" si="981">IF(AG201="","",g_interest_FF4*(AF204+(AG202/2)-(AG203/2)))</f>
        <v/>
      </c>
      <c r="AH205" s="128" t="str">
        <f t="shared" ref="AH205" ca="1" si="982">IF(AH201="","",g_interest_FF4*(AG204+(AH202/2)-(AH203/2)))</f>
        <v/>
      </c>
      <c r="AI205" s="128" t="str">
        <f t="shared" ref="AI205" ca="1" si="983">IF(AI201="","",g_interest_FF4*(AH204+(AI202/2)-(AI203/2)))</f>
        <v/>
      </c>
      <c r="AJ205" s="128" t="str">
        <f t="shared" ref="AJ205" ca="1" si="984">IF(AJ201="","",g_interest_FF4*(AI204+(AJ202/2)-(AJ203/2)))</f>
        <v/>
      </c>
      <c r="AK205" s="128" t="str">
        <f t="shared" ref="AK205" ca="1" si="985">IF(AK201="","",g_interest_FF4*(AJ204+(AK202/2)-(AK203/2)))</f>
        <v/>
      </c>
      <c r="AL205" s="128" t="str">
        <f t="shared" ref="AL205" ca="1" si="986">IF(AL201="","",g_interest_FF4*(AK204+(AL202/2)-(AL203/2)))</f>
        <v/>
      </c>
      <c r="AM205" s="128" t="str">
        <f t="shared" ref="AM205" ca="1" si="987">IF(AM201="","",g_interest_FF4*(AL204+(AM202/2)-(AM203/2)))</f>
        <v/>
      </c>
      <c r="AN205" s="128" t="str">
        <f t="shared" ref="AN205" ca="1" si="988">IF(AN201="","",g_interest_FF4*(AM204+(AN202/2)-(AN203/2)))</f>
        <v/>
      </c>
      <c r="AO205" s="128" t="str">
        <f t="shared" ref="AO205" ca="1" si="989">IF(AO201="","",g_interest_FF4*(AN204+(AO202/2)-(AO203/2)))</f>
        <v/>
      </c>
      <c r="AP205" s="128" t="str">
        <f t="shared" ref="AP205" ca="1" si="990">IF(AP201="","",g_interest_FF4*(AO204+(AP202/2)-(AP203/2)))</f>
        <v/>
      </c>
      <c r="AQ205" s="128" t="str">
        <f t="shared" ref="AQ205" ca="1" si="991">IF(AQ201="","",g_interest_FF4*(AP204+(AQ202/2)-(AQ203/2)))</f>
        <v/>
      </c>
      <c r="AR205" s="128" t="str">
        <f t="shared" ref="AR205" ca="1" si="992">IF(AR201="","",g_interest_FF4*(AQ204+(AR202/2)-(AR203/2)))</f>
        <v/>
      </c>
      <c r="AS205" s="128" t="str">
        <f t="shared" ref="AS205" ca="1" si="993">IF(AS201="","",g_interest_FF4*(AR204+(AS202/2)-(AS203/2)))</f>
        <v/>
      </c>
      <c r="AT205" s="128" t="str">
        <f t="shared" ref="AT205" ca="1" si="994">IF(AT201="","",g_interest_FF4*(AS204+(AT202/2)-(AT203/2)))</f>
        <v/>
      </c>
      <c r="AU205" s="128" t="str">
        <f t="shared" ref="AU205" ca="1" si="995">IF(AU201="","",g_interest_FF4*(AT204+(AU202/2)-(AU203/2)))</f>
        <v/>
      </c>
      <c r="AV205" s="128" t="str">
        <f t="shared" ref="AV205" ca="1" si="996">IF(AV201="","",g_interest_FF4*(AU204+(AV202/2)-(AV203/2)))</f>
        <v/>
      </c>
      <c r="AW205" s="128" t="str">
        <f t="shared" ref="AW205" ca="1" si="997">IF(AW201="","",g_interest_FF4*(AV204+(AW202/2)-(AW203/2)))</f>
        <v/>
      </c>
      <c r="AX205" s="104"/>
      <c r="AY205" s="104"/>
      <c r="AZ205" s="101"/>
    </row>
    <row r="206" spans="3:52" ht="12.75" hidden="1" customHeight="1" outlineLevel="1" x14ac:dyDescent="0.25">
      <c r="N206" s="99"/>
      <c r="O206" s="116"/>
      <c r="P206" s="116"/>
      <c r="Q206" s="132" t="str">
        <f>INDEX(g_assets_sc_1,14)</f>
        <v/>
      </c>
      <c r="R206" s="130"/>
      <c r="S206" s="133"/>
      <c r="T206" s="139">
        <f ca="1">T$150</f>
        <v>2025</v>
      </c>
      <c r="U206" s="139">
        <f t="shared" ref="U206:AW206" ca="1" si="998">U$150</f>
        <v>2026</v>
      </c>
      <c r="V206" s="139">
        <f t="shared" ca="1" si="998"/>
        <v>2027</v>
      </c>
      <c r="W206" s="139">
        <f t="shared" ca="1" si="998"/>
        <v>2028</v>
      </c>
      <c r="X206" s="139" t="str">
        <f t="shared" ca="1" si="998"/>
        <v/>
      </c>
      <c r="Y206" s="139" t="str">
        <f t="shared" ca="1" si="998"/>
        <v/>
      </c>
      <c r="Z206" s="139" t="str">
        <f t="shared" ca="1" si="998"/>
        <v/>
      </c>
      <c r="AA206" s="139" t="str">
        <f t="shared" ca="1" si="998"/>
        <v/>
      </c>
      <c r="AB206" s="139" t="str">
        <f t="shared" ca="1" si="998"/>
        <v/>
      </c>
      <c r="AC206" s="139" t="str">
        <f t="shared" ca="1" si="998"/>
        <v/>
      </c>
      <c r="AD206" s="139" t="str">
        <f t="shared" ca="1" si="998"/>
        <v/>
      </c>
      <c r="AE206" s="139" t="str">
        <f t="shared" ca="1" si="998"/>
        <v/>
      </c>
      <c r="AF206" s="139" t="str">
        <f t="shared" ca="1" si="998"/>
        <v/>
      </c>
      <c r="AG206" s="139" t="str">
        <f t="shared" ca="1" si="998"/>
        <v/>
      </c>
      <c r="AH206" s="139" t="str">
        <f t="shared" ca="1" si="998"/>
        <v/>
      </c>
      <c r="AI206" s="139" t="str">
        <f t="shared" ca="1" si="998"/>
        <v/>
      </c>
      <c r="AJ206" s="139" t="str">
        <f t="shared" ca="1" si="998"/>
        <v/>
      </c>
      <c r="AK206" s="139" t="str">
        <f t="shared" ca="1" si="998"/>
        <v/>
      </c>
      <c r="AL206" s="139" t="str">
        <f t="shared" ca="1" si="998"/>
        <v/>
      </c>
      <c r="AM206" s="139" t="str">
        <f t="shared" ca="1" si="998"/>
        <v/>
      </c>
      <c r="AN206" s="139" t="str">
        <f t="shared" ca="1" si="998"/>
        <v/>
      </c>
      <c r="AO206" s="139" t="str">
        <f t="shared" ca="1" si="998"/>
        <v/>
      </c>
      <c r="AP206" s="139" t="str">
        <f t="shared" ca="1" si="998"/>
        <v/>
      </c>
      <c r="AQ206" s="139" t="str">
        <f t="shared" ca="1" si="998"/>
        <v/>
      </c>
      <c r="AR206" s="139" t="str">
        <f t="shared" ca="1" si="998"/>
        <v/>
      </c>
      <c r="AS206" s="139" t="str">
        <f t="shared" ca="1" si="998"/>
        <v/>
      </c>
      <c r="AT206" s="139" t="str">
        <f t="shared" ca="1" si="998"/>
        <v/>
      </c>
      <c r="AU206" s="139" t="str">
        <f t="shared" ca="1" si="998"/>
        <v/>
      </c>
      <c r="AV206" s="139" t="str">
        <f t="shared" ca="1" si="998"/>
        <v/>
      </c>
      <c r="AW206" s="139" t="str">
        <f t="shared" ca="1" si="998"/>
        <v/>
      </c>
      <c r="AX206" s="116"/>
      <c r="AY206" s="116"/>
      <c r="AZ206" s="101"/>
    </row>
    <row r="207" spans="3:52" ht="12.75" hidden="1" customHeight="1" outlineLevel="1" x14ac:dyDescent="0.25">
      <c r="C207" s="140">
        <f>INDEX(g_sc_1_assets_dates,G207)</f>
        <v>0</v>
      </c>
      <c r="G207" s="141">
        <v>12</v>
      </c>
      <c r="N207" s="99"/>
      <c r="O207" s="104"/>
      <c r="P207" s="104"/>
      <c r="Q207" s="129" t="str">
        <f>INDEX(g_lang_val,MATCH("tb_2_4_1",g_lang_key,0))</f>
        <v>Køb af anlægsaktiver</v>
      </c>
      <c r="R207" s="130"/>
      <c r="S207" s="133">
        <f ca="1">SUM(T207:BG207)</f>
        <v>0</v>
      </c>
      <c r="T207" s="128">
        <f ca="1">IF(T206="","",SUMPRODUCT(--(Leverancer!$C$28:$C$88=($G207+2)),Leverancer!D$28:D$88)/1000)</f>
        <v>0</v>
      </c>
      <c r="U207" s="128">
        <f ca="1">IF(U206="","",SUMPRODUCT(--(Leverancer!$C$28:$C$88=($G207+2)),Leverancer!E$28:E$88)/1000)</f>
        <v>0</v>
      </c>
      <c r="V207" s="128">
        <f ca="1">IF(V206="","",SUMPRODUCT(--(Leverancer!$C$28:$C$88=($G207+2)),Leverancer!F$28:F$88)/1000)</f>
        <v>0</v>
      </c>
      <c r="W207" s="128">
        <f ca="1">IF(W206="","",SUMPRODUCT(--(Leverancer!$C$28:$C$88=($G207+2)),Leverancer!G$28:G$88)/1000)</f>
        <v>0</v>
      </c>
      <c r="X207" s="128" t="str">
        <f ca="1">IF(X206="","",SUMPRODUCT(--(Leverancer!$C$28:$C$88=($G207+2)),Leverancer!H$28:H$88)/1000)</f>
        <v/>
      </c>
      <c r="Y207" s="128" t="str">
        <f ca="1">IF(Y206="","",SUMPRODUCT(--(Leverancer!$C$28:$C$88=($G207+2)),Leverancer!I$28:I$88)/1000)</f>
        <v/>
      </c>
      <c r="Z207" s="128" t="str">
        <f ca="1">IF(Z206="","",SUMPRODUCT(--(Leverancer!$C$28:$C$88=($G207+2)),Leverancer!J$28:J$88)/1000)</f>
        <v/>
      </c>
      <c r="AA207" s="128" t="str">
        <f ca="1">IF(AA206="","",SUMPRODUCT(--(Leverancer!$C$28:$C$88=($G207+2)),Leverancer!K$28:K$88)/1000)</f>
        <v/>
      </c>
      <c r="AB207" s="128" t="str">
        <f ca="1">IF(AB206="","",SUMPRODUCT(--(Leverancer!$C$28:$C$88=($G207+2)),Leverancer!L$28:L$88)/1000)</f>
        <v/>
      </c>
      <c r="AC207" s="128" t="str">
        <f ca="1">IF(AC206="","",SUMPRODUCT(--(Leverancer!$C$28:$C$88=($G207+2)),Leverancer!M$28:M$88)/1000)</f>
        <v/>
      </c>
      <c r="AD207" s="128" t="str">
        <f ca="1">IF(AD206="","",SUMPRODUCT(--(Leverancer!$C$28:$C$88=($G207+2)),Leverancer!N$28:N$88)/1000)</f>
        <v/>
      </c>
      <c r="AE207" s="128" t="str">
        <f ca="1">IF(AE206="","",SUMPRODUCT(--(Leverancer!$C$28:$C$88=($G207+2)),Leverancer!O$28:O$88)/1000)</f>
        <v/>
      </c>
      <c r="AF207" s="128" t="str">
        <f ca="1">IF(AF206="","",SUMPRODUCT(--(Leverancer!$C$28:$C$88=($G207+2)),Leverancer!P$28:P$88)/1000)</f>
        <v/>
      </c>
      <c r="AG207" s="128" t="str">
        <f ca="1">IF(AG206="","",SUMPRODUCT(--(Leverancer!$C$28:$C$88=($G207+2)),Leverancer!Q$28:Q$88)/1000)</f>
        <v/>
      </c>
      <c r="AH207" s="128" t="str">
        <f ca="1">IF(AH206="","",SUMPRODUCT(--(Leverancer!$C$28:$C$88=($G207+2)),Leverancer!R$28:R$88)/1000)</f>
        <v/>
      </c>
      <c r="AI207" s="128" t="str">
        <f ca="1">IF(AI206="","",SUMPRODUCT(--(Leverancer!$C$28:$C$88=($G207+2)),Leverancer!S$28:S$88)/1000)</f>
        <v/>
      </c>
      <c r="AJ207" s="128" t="str">
        <f ca="1">IF(AJ206="","",SUMPRODUCT(--(Leverancer!$C$28:$C$88=($G207+2)),Leverancer!T$28:T$88)/1000)</f>
        <v/>
      </c>
      <c r="AK207" s="128" t="str">
        <f ca="1">IF(AK206="","",SUMPRODUCT(--(Leverancer!$C$28:$C$88=($G207+2)),Leverancer!U$28:U$88)/1000)</f>
        <v/>
      </c>
      <c r="AL207" s="128" t="str">
        <f ca="1">IF(AL206="","",SUMPRODUCT(--(Leverancer!$C$28:$C$88=($G207+2)),Leverancer!V$28:V$88)/1000)</f>
        <v/>
      </c>
      <c r="AM207" s="128" t="str">
        <f ca="1">IF(AM206="","",SUMPRODUCT(--(Leverancer!$C$28:$C$88=($G207+2)),Leverancer!W$28:W$88)/1000)</f>
        <v/>
      </c>
      <c r="AN207" s="128" t="str">
        <f ca="1">IF(AN206="","",SUMPRODUCT(--(Leverancer!$C$28:$C$88=($G207+2)),Leverancer!X$28:X$88)/1000)</f>
        <v/>
      </c>
      <c r="AO207" s="128" t="str">
        <f ca="1">IF(AO206="","",SUMPRODUCT(--(Leverancer!$C$28:$C$88=($G207+2)),Leverancer!Y$28:Y$88)/1000)</f>
        <v/>
      </c>
      <c r="AP207" s="128" t="str">
        <f ca="1">IF(AP206="","",SUMPRODUCT(--(Leverancer!$C$28:$C$88=($G207+2)),Leverancer!Z$28:Z$88)/1000)</f>
        <v/>
      </c>
      <c r="AQ207" s="128" t="str">
        <f ca="1">IF(AQ206="","",SUMPRODUCT(--(Leverancer!$C$28:$C$88=($G207+2)),Leverancer!AA$28:AA$88)/1000)</f>
        <v/>
      </c>
      <c r="AR207" s="128" t="str">
        <f ca="1">IF(AR206="","",SUMPRODUCT(--(Leverancer!$C$28:$C$88=($G207+2)),Leverancer!AB$28:AB$88)/1000)</f>
        <v/>
      </c>
      <c r="AS207" s="128" t="str">
        <f ca="1">IF(AS206="","",SUMPRODUCT(--(Leverancer!$C$28:$C$88=($G207+2)),Leverancer!AC$28:AC$88)/1000)</f>
        <v/>
      </c>
      <c r="AT207" s="128" t="str">
        <f ca="1">IF(AT206="","",SUMPRODUCT(--(Leverancer!$C$28:$C$88=($G207+2)),Leverancer!AD$28:AD$88)/1000)</f>
        <v/>
      </c>
      <c r="AU207" s="128" t="str">
        <f ca="1">IF(AU206="","",SUMPRODUCT(--(Leverancer!$C$28:$C$88=($G207+2)),Leverancer!AE$28:AE$88)/1000)</f>
        <v/>
      </c>
      <c r="AV207" s="128" t="str">
        <f ca="1">IF(AV206="","",SUMPRODUCT(--(Leverancer!$C$28:$C$88=($G207+2)),Leverancer!AF$28:AF$88)/1000)</f>
        <v/>
      </c>
      <c r="AW207" s="128" t="str">
        <f ca="1">IF(AW206="","",SUMPRODUCT(--(Leverancer!$C$28:$C$88=($G207+2)),Leverancer!AG$28:AG$88)/1000)</f>
        <v/>
      </c>
      <c r="AX207" s="104"/>
      <c r="AY207" s="104"/>
      <c r="AZ207" s="101"/>
    </row>
    <row r="208" spans="3:52" ht="12.75" hidden="1" customHeight="1" outlineLevel="1" x14ac:dyDescent="0.25">
      <c r="C208" s="142">
        <f>IFERROR(YEAR(C207),"")</f>
        <v>1900</v>
      </c>
      <c r="D208" s="142">
        <f>IFERROR(MONTH(C207),"")</f>
        <v>1</v>
      </c>
      <c r="E208" s="142">
        <f>INDEX(g_sc_1_assets_years,G207)</f>
        <v>0</v>
      </c>
      <c r="N208" s="99"/>
      <c r="O208" s="104"/>
      <c r="P208" s="104"/>
      <c r="Q208" s="129" t="str">
        <f>INDEX(g_lang_val,MATCH("tb_2_4_2",g_lang_key,0))</f>
        <v>Afskrivninger</v>
      </c>
      <c r="R208" s="130"/>
      <c r="S208" s="133">
        <f ca="1">SUM(T208:BG208)</f>
        <v>0</v>
      </c>
      <c r="T208" s="128">
        <f t="shared" ref="T208" ca="1" si="999">IF(T206="","",IF(T206&lt;$C208,0,IF(T206=$C208,T207/$C209*$E209+S209/$C209*$E209,IF(AND(T206&gt;$C208,T206&lt;ROUNDDOWN(($C208+($D208+$C209-1)/12),0)),(T207/2+S209)/($C209-$E209-12*(T206-$C208-1))*12,IF(AND($D209&lt;0,T206=ROUNDDOWN(($C208+($D208+$C209-1)/12),0)),S209+T207,IF(T206=ROUNDDOWN(($C208+($D208+$C209-1)/12),0),(T207+S209)/$C209*($D209+(T206-$C208-1)*12+$E209),IF(T206&gt;ROUNDDOWN(($C208+($D208+$C209)/12),0),0,0)))))))</f>
        <v>0</v>
      </c>
      <c r="U208" s="128">
        <f t="shared" ref="U208" ca="1" si="1000">IF(U206="","",IF(U206&lt;$C208,0,IF(U206=$C208,U207/$C209*$E209+T209/$C209*$E209,IF(AND(U206&gt;$C208,U206&lt;ROUNDDOWN(($C208+($D208+$C209-1)/12),0)),(U207/2+T209)/($C209-$E209-12*(U206-$C208-1))*12,IF(AND($D209&lt;0,U206=ROUNDDOWN(($C208+($D208+$C209-1)/12),0)),T209+U207,IF(U206=ROUNDDOWN(($C208+($D208+$C209-1)/12),0),(U207+T209)/$C209*($D209+(U206-$C208-1)*12+$E209),IF(U206&gt;ROUNDDOWN(($C208+($D208+$C209)/12),0),0,0)))))))</f>
        <v>0</v>
      </c>
      <c r="V208" s="128">
        <f t="shared" ref="V208" ca="1" si="1001">IF(V206="","",IF(V206&lt;$C208,0,IF(V206=$C208,V207/$C209*$E209+U209/$C209*$E209,IF(AND(V206&gt;$C208,V206&lt;ROUNDDOWN(($C208+($D208+$C209-1)/12),0)),(V207/2+U209)/($C209-$E209-12*(V206-$C208-1))*12,IF(AND($D209&lt;0,V206=ROUNDDOWN(($C208+($D208+$C209-1)/12),0)),U209+V207,IF(V206=ROUNDDOWN(($C208+($D208+$C209-1)/12),0),(V207+U209)/$C209*($D209+(V206-$C208-1)*12+$E209),IF(V206&gt;ROUNDDOWN(($C208+($D208+$C209)/12),0),0,0)))))))</f>
        <v>0</v>
      </c>
      <c r="W208" s="128">
        <f t="shared" ref="W208" ca="1" si="1002">IF(W206="","",IF(W206&lt;$C208,0,IF(W206=$C208,W207/$C209*$E209+V209/$C209*$E209,IF(AND(W206&gt;$C208,W206&lt;ROUNDDOWN(($C208+($D208+$C209-1)/12),0)),(W207/2+V209)/($C209-$E209-12*(W206-$C208-1))*12,IF(AND($D209&lt;0,W206=ROUNDDOWN(($C208+($D208+$C209-1)/12),0)),V209+W207,IF(W206=ROUNDDOWN(($C208+($D208+$C209-1)/12),0),(W207+V209)/$C209*($D209+(W206-$C208-1)*12+$E209),IF(W206&gt;ROUNDDOWN(($C208+($D208+$C209)/12),0),0,0)))))))</f>
        <v>0</v>
      </c>
      <c r="X208" s="128" t="str">
        <f t="shared" ref="X208" ca="1" si="1003">IF(X206="","",IF(X206&lt;$C208,0,IF(X206=$C208,X207/$C209*$E209+W209/$C209*$E209,IF(AND(X206&gt;$C208,X206&lt;ROUNDDOWN(($C208+($D208+$C209-1)/12),0)),(X207/2+W209)/($C209-$E209-12*(X206-$C208-1))*12,IF(AND($D209&lt;0,X206=ROUNDDOWN(($C208+($D208+$C209-1)/12),0)),W209+X207,IF(X206=ROUNDDOWN(($C208+($D208+$C209-1)/12),0),(X207+W209)/$C209*($D209+(X206-$C208-1)*12+$E209),IF(X206&gt;ROUNDDOWN(($C208+($D208+$C209)/12),0),0,0)))))))</f>
        <v/>
      </c>
      <c r="Y208" s="128" t="str">
        <f t="shared" ref="Y208" ca="1" si="1004">IF(Y206="","",IF(Y206&lt;$C208,0,IF(Y206=$C208,Y207/$C209*$E209+X209/$C209*$E209,IF(AND(Y206&gt;$C208,Y206&lt;ROUNDDOWN(($C208+($D208+$C209-1)/12),0)),(Y207/2+X209)/($C209-$E209-12*(Y206-$C208-1))*12,IF(AND($D209&lt;0,Y206=ROUNDDOWN(($C208+($D208+$C209-1)/12),0)),X209+Y207,IF(Y206=ROUNDDOWN(($C208+($D208+$C209-1)/12),0),(Y207+X209)/$C209*($D209+(Y206-$C208-1)*12+$E209),IF(Y206&gt;ROUNDDOWN(($C208+($D208+$C209)/12),0),0,0)))))))</f>
        <v/>
      </c>
      <c r="Z208" s="128" t="str">
        <f ca="1">IF(Z206="","",IF(Z206&lt;$C208,0,IF(Z206=$C208,Z207/$C209*$E209+Y209/$C209*$E209,IF(AND(Z206&gt;$C208,Z206&lt;ROUNDDOWN(($C208+($D208+$C209-1)/12),0)),(Z207/2+Y209)/($C209-$E209-12*(Z206-$C208-1))*12,IF(AND($D209&lt;0,Z206=ROUNDDOWN(($C208+($D208+$C209-1)/12),0)),Y209+Z207,IF(Z206=ROUNDDOWN(($C208+($D208+$C209-1)/12),0),(Z207+Y209)/$C209*($D209+(Z206-$C208-1)*12+$E209),IF(Z206&gt;ROUNDDOWN(($C208+($D208+$C209)/12),0),0,0)))))))</f>
        <v/>
      </c>
      <c r="AA208" s="128" t="str">
        <f t="shared" ref="AA208" ca="1" si="1005">IF(AA206="","",IF(AA206&lt;$C208,0,IF(AA206=$C208,AA207/$C209*$E209+Z209/$C209*$E209,IF(AND(AA206&gt;$C208,AA206&lt;ROUNDDOWN(($C208+($D208+$C209-1)/12),0)),(AA207/2+Z209)/($C209-$E209-12*(AA206-$C208-1))*12,IF(AND($D209&lt;0,AA206=ROUNDDOWN(($C208+($D208+$C209-1)/12),0)),Z209+AA207,IF(AA206=ROUNDDOWN(($C208+($D208+$C209-1)/12),0),(AA207+Z209)/$C209*($D209+(AA206-$C208-1)*12+$E209),IF(AA206&gt;ROUNDDOWN(($C208+($D208+$C209)/12),0),0,0)))))))</f>
        <v/>
      </c>
      <c r="AB208" s="128" t="str">
        <f t="shared" ref="AB208" ca="1" si="1006">IF(AB206="","",IF(AB206&lt;$C208,0,IF(AB206=$C208,AB207/$C209*$E209+AA209/$C209*$E209,IF(AND(AB206&gt;$C208,AB206&lt;ROUNDDOWN(($C208+($D208+$C209-1)/12),0)),(AB207/2+AA209)/($C209-$E209-12*(AB206-$C208-1))*12,IF(AND($D209&lt;0,AB206=ROUNDDOWN(($C208+($D208+$C209-1)/12),0)),AA209+AB207,IF(AB206=ROUNDDOWN(($C208+($D208+$C209-1)/12),0),(AB207+AA209)/$C209*($D209+(AB206-$C208-1)*12+$E209),IF(AB206&gt;ROUNDDOWN(($C208+($D208+$C209)/12),0),0,0)))))))</f>
        <v/>
      </c>
      <c r="AC208" s="128" t="str">
        <f t="shared" ref="AC208" ca="1" si="1007">IF(AC206="","",IF(AC206&lt;$C208,0,IF(AC206=$C208,AC207/$C209*$E209+AB209/$C209*$E209,IF(AND(AC206&gt;$C208,AC206&lt;ROUNDDOWN(($C208+($D208+$C209-1)/12),0)),(AC207/2+AB209)/($C209-$E209-12*(AC206-$C208-1))*12,IF(AND($D209&lt;0,AC206=ROUNDDOWN(($C208+($D208+$C209-1)/12),0)),AB209+AC207,IF(AC206=ROUNDDOWN(($C208+($D208+$C209-1)/12),0),(AC207+AB209)/$C209*($D209+(AC206-$C208-1)*12+$E209),IF(AC206&gt;ROUNDDOWN(($C208+($D208+$C209)/12),0),0,0)))))))</f>
        <v/>
      </c>
      <c r="AD208" s="128" t="str">
        <f t="shared" ref="AD208" ca="1" si="1008">IF(AD206="","",IF(AD206&lt;$C208,0,IF(AD206=$C208,AD207/$C209*$E209+AC209/$C209*$E209,IF(AND(AD206&gt;$C208,AD206&lt;ROUNDDOWN(($C208+($D208+$C209-1)/12),0)),(AD207/2+AC209)/($C209-$E209-12*(AD206-$C208-1))*12,IF(AND($D209&lt;0,AD206=ROUNDDOWN(($C208+($D208+$C209-1)/12),0)),AC209+AD207,IF(AD206=ROUNDDOWN(($C208+($D208+$C209-1)/12),0),(AD207+AC209)/$C209*($D209+(AD206-$C208-1)*12+$E209),IF(AD206&gt;ROUNDDOWN(($C208+($D208+$C209)/12),0),0,0)))))))</f>
        <v/>
      </c>
      <c r="AE208" s="128" t="str">
        <f t="shared" ref="AE208" ca="1" si="1009">IF(AE206="","",IF(AE206&lt;$C208,0,IF(AE206=$C208,AE207/$C209*$E209+AD209/$C209*$E209,IF(AND(AE206&gt;$C208,AE206&lt;ROUNDDOWN(($C208+($D208+$C209-1)/12),0)),(AE207/2+AD209)/($C209-$E209-12*(AE206-$C208-1))*12,IF(AND($D209&lt;0,AE206=ROUNDDOWN(($C208+($D208+$C209-1)/12),0)),AD209+AE207,IF(AE206=ROUNDDOWN(($C208+($D208+$C209-1)/12),0),(AE207+AD209)/$C209*($D209+(AE206-$C208-1)*12+$E209),IF(AE206&gt;ROUNDDOWN(($C208+($D208+$C209)/12),0),0,0)))))))</f>
        <v/>
      </c>
      <c r="AF208" s="128" t="str">
        <f t="shared" ref="AF208" ca="1" si="1010">IF(AF206="","",IF(AF206&lt;$C208,0,IF(AF206=$C208,AF207/$C209*$E209+AE209/$C209*$E209,IF(AND(AF206&gt;$C208,AF206&lt;ROUNDDOWN(($C208+($D208+$C209-1)/12),0)),(AF207/2+AE209)/($C209-$E209-12*(AF206-$C208-1))*12,IF(AND($D209&lt;0,AF206=ROUNDDOWN(($C208+($D208+$C209-1)/12),0)),AE209+AF207,IF(AF206=ROUNDDOWN(($C208+($D208+$C209-1)/12),0),(AF207+AE209)/$C209*($D209+(AF206-$C208-1)*12+$E209),IF(AF206&gt;ROUNDDOWN(($C208+($D208+$C209)/12),0),0,0)))))))</f>
        <v/>
      </c>
      <c r="AG208" s="128" t="str">
        <f t="shared" ref="AG208" ca="1" si="1011">IF(AG206="","",IF(AG206&lt;$C208,0,IF(AG206=$C208,AG207/$C209*$E209+AF209/$C209*$E209,IF(AND(AG206&gt;$C208,AG206&lt;ROUNDDOWN(($C208+($D208+$C209-1)/12),0)),(AG207/2+AF209)/($C209-$E209-12*(AG206-$C208-1))*12,IF(AND($D209&lt;0,AG206=ROUNDDOWN(($C208+($D208+$C209-1)/12),0)),AF209+AG207,IF(AG206=ROUNDDOWN(($C208+($D208+$C209-1)/12),0),(AG207+AF209)/$C209*($D209+(AG206-$C208-1)*12+$E209),IF(AG206&gt;ROUNDDOWN(($C208+($D208+$C209)/12),0),0,0)))))))</f>
        <v/>
      </c>
      <c r="AH208" s="128" t="str">
        <f t="shared" ref="AH208" ca="1" si="1012">IF(AH206="","",IF(AH206&lt;$C208,0,IF(AH206=$C208,AH207/$C209*$E209+AG209/$C209*$E209,IF(AND(AH206&gt;$C208,AH206&lt;ROUNDDOWN(($C208+($D208+$C209-1)/12),0)),(AH207/2+AG209)/($C209-$E209-12*(AH206-$C208-1))*12,IF(AND($D209&lt;0,AH206=ROUNDDOWN(($C208+($D208+$C209-1)/12),0)),AG209+AH207,IF(AH206=ROUNDDOWN(($C208+($D208+$C209-1)/12),0),(AH207+AG209)/$C209*($D209+(AH206-$C208-1)*12+$E209),IF(AH206&gt;ROUNDDOWN(($C208+($D208+$C209)/12),0),0,0)))))))</f>
        <v/>
      </c>
      <c r="AI208" s="128" t="str">
        <f t="shared" ref="AI208" ca="1" si="1013">IF(AI206="","",IF(AI206&lt;$C208,0,IF(AI206=$C208,AI207/$C209*$E209+AH209/$C209*$E209,IF(AND(AI206&gt;$C208,AI206&lt;ROUNDDOWN(($C208+($D208+$C209-1)/12),0)),(AI207/2+AH209)/($C209-$E209-12*(AI206-$C208-1))*12,IF(AND($D209&lt;0,AI206=ROUNDDOWN(($C208+($D208+$C209-1)/12),0)),AH209+AI207,IF(AI206=ROUNDDOWN(($C208+($D208+$C209-1)/12),0),(AI207+AH209)/$C209*($D209+(AI206-$C208-1)*12+$E209),IF(AI206&gt;ROUNDDOWN(($C208+($D208+$C209)/12),0),0,0)))))))</f>
        <v/>
      </c>
      <c r="AJ208" s="128" t="str">
        <f t="shared" ref="AJ208" ca="1" si="1014">IF(AJ206="","",IF(AJ206&lt;$C208,0,IF(AJ206=$C208,AJ207/$C209*$E209+AI209/$C209*$E209,IF(AND(AJ206&gt;$C208,AJ206&lt;ROUNDDOWN(($C208+($D208+$C209-1)/12),0)),(AJ207/2+AI209)/($C209-$E209-12*(AJ206-$C208-1))*12,IF(AND($D209&lt;0,AJ206=ROUNDDOWN(($C208+($D208+$C209-1)/12),0)),AI209+AJ207,IF(AJ206=ROUNDDOWN(($C208+($D208+$C209-1)/12),0),(AJ207+AI209)/$C209*($D209+(AJ206-$C208-1)*12+$E209),IF(AJ206&gt;ROUNDDOWN(($C208+($D208+$C209)/12),0),0,0)))))))</f>
        <v/>
      </c>
      <c r="AK208" s="128" t="str">
        <f t="shared" ref="AK208" ca="1" si="1015">IF(AK206="","",IF(AK206&lt;$C208,0,IF(AK206=$C208,AK207/$C209*$E209+AJ209/$C209*$E209,IF(AND(AK206&gt;$C208,AK206&lt;ROUNDDOWN(($C208+($D208+$C209-1)/12),0)),(AK207/2+AJ209)/($C209-$E209-12*(AK206-$C208-1))*12,IF(AND($D209&lt;0,AK206=ROUNDDOWN(($C208+($D208+$C209-1)/12),0)),AJ209+AK207,IF(AK206=ROUNDDOWN(($C208+($D208+$C209-1)/12),0),(AK207+AJ209)/$C209*($D209+(AK206-$C208-1)*12+$E209),IF(AK206&gt;ROUNDDOWN(($C208+($D208+$C209)/12),0),0,0)))))))</f>
        <v/>
      </c>
      <c r="AL208" s="128" t="str">
        <f t="shared" ref="AL208" ca="1" si="1016">IF(AL206="","",IF(AL206&lt;$C208,0,IF(AL206=$C208,AL207/$C209*$E209+AK209/$C209*$E209,IF(AND(AL206&gt;$C208,AL206&lt;ROUNDDOWN(($C208+($D208+$C209-1)/12),0)),(AL207/2+AK209)/($C209-$E209-12*(AL206-$C208-1))*12,IF(AND($D209&lt;0,AL206=ROUNDDOWN(($C208+($D208+$C209-1)/12),0)),AK209+AL207,IF(AL206=ROUNDDOWN(($C208+($D208+$C209-1)/12),0),(AL207+AK209)/$C209*($D209+(AL206-$C208-1)*12+$E209),IF(AL206&gt;ROUNDDOWN(($C208+($D208+$C209)/12),0),0,0)))))))</f>
        <v/>
      </c>
      <c r="AM208" s="128" t="str">
        <f t="shared" ref="AM208" ca="1" si="1017">IF(AM206="","",IF(AM206&lt;$C208,0,IF(AM206=$C208,AM207/$C209*$E209+AL209/$C209*$E209,IF(AND(AM206&gt;$C208,AM206&lt;ROUNDDOWN(($C208+($D208+$C209-1)/12),0)),(AM207/2+AL209)/($C209-$E209-12*(AM206-$C208-1))*12,IF(AND($D209&lt;0,AM206=ROUNDDOWN(($C208+($D208+$C209-1)/12),0)),AL209+AM207,IF(AM206=ROUNDDOWN(($C208+($D208+$C209-1)/12),0),(AM207+AL209)/$C209*($D209+(AM206-$C208-1)*12+$E209),IF(AM206&gt;ROUNDDOWN(($C208+($D208+$C209)/12),0),0,0)))))))</f>
        <v/>
      </c>
      <c r="AN208" s="128" t="str">
        <f t="shared" ref="AN208" ca="1" si="1018">IF(AN206="","",IF(AN206&lt;$C208,0,IF(AN206=$C208,AN207/$C209*$E209+AM209/$C209*$E209,IF(AND(AN206&gt;$C208,AN206&lt;ROUNDDOWN(($C208+($D208+$C209-1)/12),0)),(AN207/2+AM209)/($C209-$E209-12*(AN206-$C208-1))*12,IF(AND($D209&lt;0,AN206=ROUNDDOWN(($C208+($D208+$C209-1)/12),0)),AM209+AN207,IF(AN206=ROUNDDOWN(($C208+($D208+$C209-1)/12),0),(AN207+AM209)/$C209*($D209+(AN206-$C208-1)*12+$E209),IF(AN206&gt;ROUNDDOWN(($C208+($D208+$C209)/12),0),0,0)))))))</f>
        <v/>
      </c>
      <c r="AO208" s="128" t="str">
        <f t="shared" ref="AO208" ca="1" si="1019">IF(AO206="","",IF(AO206&lt;$C208,0,IF(AO206=$C208,AO207/$C209*$E209+AN209/$C209*$E209,IF(AND(AO206&gt;$C208,AO206&lt;ROUNDDOWN(($C208+($D208+$C209-1)/12),0)),(AO207/2+AN209)/($C209-$E209-12*(AO206-$C208-1))*12,IF(AND($D209&lt;0,AO206=ROUNDDOWN(($C208+($D208+$C209-1)/12),0)),AN209+AO207,IF(AO206=ROUNDDOWN(($C208+($D208+$C209-1)/12),0),(AO207+AN209)/$C209*($D209+(AO206-$C208-1)*12+$E209),IF(AO206&gt;ROUNDDOWN(($C208+($D208+$C209)/12),0),0,0)))))))</f>
        <v/>
      </c>
      <c r="AP208" s="128" t="str">
        <f t="shared" ref="AP208" ca="1" si="1020">IF(AP206="","",IF(AP206&lt;$C208,0,IF(AP206=$C208,AP207/$C209*$E209+AO209/$C209*$E209,IF(AND(AP206&gt;$C208,AP206&lt;ROUNDDOWN(($C208+($D208+$C209-1)/12),0)),(AP207/2+AO209)/($C209-$E209-12*(AP206-$C208-1))*12,IF(AND($D209&lt;0,AP206=ROUNDDOWN(($C208+($D208+$C209-1)/12),0)),AO209+AP207,IF(AP206=ROUNDDOWN(($C208+($D208+$C209-1)/12),0),(AP207+AO209)/$C209*($D209+(AP206-$C208-1)*12+$E209),IF(AP206&gt;ROUNDDOWN(($C208+($D208+$C209)/12),0),0,0)))))))</f>
        <v/>
      </c>
      <c r="AQ208" s="128" t="str">
        <f t="shared" ref="AQ208" ca="1" si="1021">IF(AQ206="","",IF(AQ206&lt;$C208,0,IF(AQ206=$C208,AQ207/$C209*$E209+AP209/$C209*$E209,IF(AND(AQ206&gt;$C208,AQ206&lt;ROUNDDOWN(($C208+($D208+$C209-1)/12),0)),(AQ207/2+AP209)/($C209-$E209-12*(AQ206-$C208-1))*12,IF(AND($D209&lt;0,AQ206=ROUNDDOWN(($C208+($D208+$C209-1)/12),0)),AP209+AQ207,IF(AQ206=ROUNDDOWN(($C208+($D208+$C209-1)/12),0),(AQ207+AP209)/$C209*($D209+(AQ206-$C208-1)*12+$E209),IF(AQ206&gt;ROUNDDOWN(($C208+($D208+$C209)/12),0),0,0)))))))</f>
        <v/>
      </c>
      <c r="AR208" s="128" t="str">
        <f t="shared" ref="AR208" ca="1" si="1022">IF(AR206="","",IF(AR206&lt;$C208,0,IF(AR206=$C208,AR207/$C209*$E209+AQ209/$C209*$E209,IF(AND(AR206&gt;$C208,AR206&lt;ROUNDDOWN(($C208+($D208+$C209-1)/12),0)),(AR207/2+AQ209)/($C209-$E209-12*(AR206-$C208-1))*12,IF(AND($D209&lt;0,AR206=ROUNDDOWN(($C208+($D208+$C209-1)/12),0)),AQ209+AR207,IF(AR206=ROUNDDOWN(($C208+($D208+$C209-1)/12),0),(AR207+AQ209)/$C209*($D209+(AR206-$C208-1)*12+$E209),IF(AR206&gt;ROUNDDOWN(($C208+($D208+$C209)/12),0),0,0)))))))</f>
        <v/>
      </c>
      <c r="AS208" s="128" t="str">
        <f t="shared" ref="AS208" ca="1" si="1023">IF(AS206="","",IF(AS206&lt;$C208,0,IF(AS206=$C208,AS207/$C209*$E209+AR209/$C209*$E209,IF(AND(AS206&gt;$C208,AS206&lt;ROUNDDOWN(($C208+($D208+$C209-1)/12),0)),(AS207/2+AR209)/($C209-$E209-12*(AS206-$C208-1))*12,IF(AND($D209&lt;0,AS206=ROUNDDOWN(($C208+($D208+$C209-1)/12),0)),AR209+AS207,IF(AS206=ROUNDDOWN(($C208+($D208+$C209-1)/12),0),(AS207+AR209)/$C209*($D209+(AS206-$C208-1)*12+$E209),IF(AS206&gt;ROUNDDOWN(($C208+($D208+$C209)/12),0),0,0)))))))</f>
        <v/>
      </c>
      <c r="AT208" s="128" t="str">
        <f t="shared" ref="AT208" ca="1" si="1024">IF(AT206="","",IF(AT206&lt;$C208,0,IF(AT206=$C208,AT207/$C209*$E209+AS209/$C209*$E209,IF(AND(AT206&gt;$C208,AT206&lt;ROUNDDOWN(($C208+($D208+$C209-1)/12),0)),(AT207/2+AS209)/($C209-$E209-12*(AT206-$C208-1))*12,IF(AND($D209&lt;0,AT206=ROUNDDOWN(($C208+($D208+$C209-1)/12),0)),AS209+AT207,IF(AT206=ROUNDDOWN(($C208+($D208+$C209-1)/12),0),(AT207+AS209)/$C209*($D209+(AT206-$C208-1)*12+$E209),IF(AT206&gt;ROUNDDOWN(($C208+($D208+$C209)/12),0),0,0)))))))</f>
        <v/>
      </c>
      <c r="AU208" s="128" t="str">
        <f t="shared" ref="AU208" ca="1" si="1025">IF(AU206="","",IF(AU206&lt;$C208,0,IF(AU206=$C208,AU207/$C209*$E209+AT209/$C209*$E209,IF(AND(AU206&gt;$C208,AU206&lt;ROUNDDOWN(($C208+($D208+$C209-1)/12),0)),(AU207/2+AT209)/($C209-$E209-12*(AU206-$C208-1))*12,IF(AND($D209&lt;0,AU206=ROUNDDOWN(($C208+($D208+$C209-1)/12),0)),AT209+AU207,IF(AU206=ROUNDDOWN(($C208+($D208+$C209-1)/12),0),(AU207+AT209)/$C209*($D209+(AU206-$C208-1)*12+$E209),IF(AU206&gt;ROUNDDOWN(($C208+($D208+$C209)/12),0),0,0)))))))</f>
        <v/>
      </c>
      <c r="AV208" s="128" t="str">
        <f t="shared" ref="AV208" ca="1" si="1026">IF(AV206="","",IF(AV206&lt;$C208,0,IF(AV206=$C208,AV207/$C209*$E209+AU209/$C209*$E209,IF(AND(AV206&gt;$C208,AV206&lt;ROUNDDOWN(($C208+($D208+$C209-1)/12),0)),(AV207/2+AU209)/($C209-$E209-12*(AV206-$C208-1))*12,IF(AND($D209&lt;0,AV206=ROUNDDOWN(($C208+($D208+$C209-1)/12),0)),AU209+AV207,IF(AV206=ROUNDDOWN(($C208+($D208+$C209-1)/12),0),(AV207+AU209)/$C209*($D209+(AV206-$C208-1)*12+$E209),IF(AV206&gt;ROUNDDOWN(($C208+($D208+$C209)/12),0),0,0)))))))</f>
        <v/>
      </c>
      <c r="AW208" s="128" t="str">
        <f t="shared" ref="AW208" ca="1" si="1027">IF(AW206="","",IF(AW206&lt;$C208,0,IF(AW206=$C208,AW207/$C209*$E209+AV209/$C209*$E209,IF(AND(AW206&gt;$C208,AW206&lt;ROUNDDOWN(($C208+($D208+$C209-1)/12),0)),(AW207/2+AV209)/($C209-$E209-12*(AW206-$C208-1))*12,IF(AND($D209&lt;0,AW206=ROUNDDOWN(($C208+($D208+$C209-1)/12),0)),AV209+AW207,IF(AW206=ROUNDDOWN(($C208+($D208+$C209-1)/12),0),(AW207+AV209)/$C209*($D209+(AW206-$C208-1)*12+$E209),IF(AW206&gt;ROUNDDOWN(($C208+($D208+$C209)/12),0),0,0)))))))</f>
        <v/>
      </c>
      <c r="AX208" s="104"/>
      <c r="AY208" s="104"/>
      <c r="AZ208" s="101"/>
    </row>
    <row r="209" spans="3:52" ht="12.75" hidden="1" customHeight="1" outlineLevel="1" x14ac:dyDescent="0.25">
      <c r="C209" s="142">
        <f>ROUNDUP((E208-ROUNDDOWN(E208,0))*12,0)+ROUNDDOWN(E208,0)*12</f>
        <v>0</v>
      </c>
      <c r="D209" s="142">
        <f>C209-E209-ROUNDDOWN(E208,0)*12</f>
        <v>-12</v>
      </c>
      <c r="E209" s="142">
        <f>13-MONTH(C207)</f>
        <v>12</v>
      </c>
      <c r="N209" s="99"/>
      <c r="O209" s="104"/>
      <c r="P209" s="104"/>
      <c r="Q209" s="129" t="str">
        <f>INDEX(g_lang_val,MATCH("tb_2_4_3",g_lang_key,0))</f>
        <v>FF4-gæld, ultimo året</v>
      </c>
      <c r="R209" s="130"/>
      <c r="S209" s="133"/>
      <c r="T209" s="128">
        <f t="shared" ref="T209" ca="1" si="1028">IF(T206="","",S209+T207-T208)</f>
        <v>0</v>
      </c>
      <c r="U209" s="128">
        <f t="shared" ref="U209" ca="1" si="1029">IF(U206="","",T209+U207-U208)</f>
        <v>0</v>
      </c>
      <c r="V209" s="128">
        <f t="shared" ref="V209" ca="1" si="1030">IF(V206="","",U209+V207-V208)</f>
        <v>0</v>
      </c>
      <c r="W209" s="128">
        <f t="shared" ref="W209" ca="1" si="1031">IF(W206="","",V209+W207-W208)</f>
        <v>0</v>
      </c>
      <c r="X209" s="128" t="str">
        <f t="shared" ref="X209" ca="1" si="1032">IF(X206="","",W209+X207-X208)</f>
        <v/>
      </c>
      <c r="Y209" s="128" t="str">
        <f t="shared" ref="Y209" ca="1" si="1033">IF(Y206="","",X209+Y207-Y208)</f>
        <v/>
      </c>
      <c r="Z209" s="128" t="str">
        <f t="shared" ref="Z209" ca="1" si="1034">IF(Z206="","",Y209+Z207-Z208)</f>
        <v/>
      </c>
      <c r="AA209" s="128" t="str">
        <f t="shared" ref="AA209" ca="1" si="1035">IF(AA206="","",Z209+AA207-AA208)</f>
        <v/>
      </c>
      <c r="AB209" s="128" t="str">
        <f t="shared" ref="AB209" ca="1" si="1036">IF(AB206="","",AA209+AB207-AB208)</f>
        <v/>
      </c>
      <c r="AC209" s="128" t="str">
        <f t="shared" ref="AC209" ca="1" si="1037">IF(AC206="","",AB209+AC207-AC208)</f>
        <v/>
      </c>
      <c r="AD209" s="128" t="str">
        <f t="shared" ref="AD209" ca="1" si="1038">IF(AD206="","",AC209+AD207-AD208)</f>
        <v/>
      </c>
      <c r="AE209" s="128" t="str">
        <f t="shared" ref="AE209" ca="1" si="1039">IF(AE206="","",AD209+AE207-AE208)</f>
        <v/>
      </c>
      <c r="AF209" s="128" t="str">
        <f t="shared" ref="AF209" ca="1" si="1040">IF(AF206="","",AE209+AF207-AF208)</f>
        <v/>
      </c>
      <c r="AG209" s="128" t="str">
        <f t="shared" ref="AG209" ca="1" si="1041">IF(AG206="","",AF209+AG207-AG208)</f>
        <v/>
      </c>
      <c r="AH209" s="128" t="str">
        <f t="shared" ref="AH209" ca="1" si="1042">IF(AH206="","",AG209+AH207-AH208)</f>
        <v/>
      </c>
      <c r="AI209" s="128" t="str">
        <f t="shared" ref="AI209" ca="1" si="1043">IF(AI206="","",AH209+AI207-AI208)</f>
        <v/>
      </c>
      <c r="AJ209" s="128" t="str">
        <f t="shared" ref="AJ209" ca="1" si="1044">IF(AJ206="","",AI209+AJ207-AJ208)</f>
        <v/>
      </c>
      <c r="AK209" s="128" t="str">
        <f t="shared" ref="AK209" ca="1" si="1045">IF(AK206="","",AJ209+AK207-AK208)</f>
        <v/>
      </c>
      <c r="AL209" s="128" t="str">
        <f t="shared" ref="AL209" ca="1" si="1046">IF(AL206="","",AK209+AL207-AL208)</f>
        <v/>
      </c>
      <c r="AM209" s="128" t="str">
        <f t="shared" ref="AM209" ca="1" si="1047">IF(AM206="","",AL209+AM207-AM208)</f>
        <v/>
      </c>
      <c r="AN209" s="128" t="str">
        <f t="shared" ref="AN209" ca="1" si="1048">IF(AN206="","",AM209+AN207-AN208)</f>
        <v/>
      </c>
      <c r="AO209" s="128" t="str">
        <f t="shared" ref="AO209" ca="1" si="1049">IF(AO206="","",AN209+AO207-AO208)</f>
        <v/>
      </c>
      <c r="AP209" s="128" t="str">
        <f t="shared" ref="AP209" ca="1" si="1050">IF(AP206="","",AO209+AP207-AP208)</f>
        <v/>
      </c>
      <c r="AQ209" s="128" t="str">
        <f t="shared" ref="AQ209" ca="1" si="1051">IF(AQ206="","",AP209+AQ207-AQ208)</f>
        <v/>
      </c>
      <c r="AR209" s="128" t="str">
        <f t="shared" ref="AR209" ca="1" si="1052">IF(AR206="","",AQ209+AR207-AR208)</f>
        <v/>
      </c>
      <c r="AS209" s="128" t="str">
        <f t="shared" ref="AS209" ca="1" si="1053">IF(AS206="","",AR209+AS207-AS208)</f>
        <v/>
      </c>
      <c r="AT209" s="128" t="str">
        <f t="shared" ref="AT209" ca="1" si="1054">IF(AT206="","",AS209+AT207-AT208)</f>
        <v/>
      </c>
      <c r="AU209" s="128" t="str">
        <f t="shared" ref="AU209" ca="1" si="1055">IF(AU206="","",AT209+AU207-AU208)</f>
        <v/>
      </c>
      <c r="AV209" s="128" t="str">
        <f t="shared" ref="AV209" ca="1" si="1056">IF(AV206="","",AU209+AV207-AV208)</f>
        <v/>
      </c>
      <c r="AW209" s="128" t="str">
        <f t="shared" ref="AW209" ca="1" si="1057">IF(AW206="","",AV209+AW207-AW208)</f>
        <v/>
      </c>
      <c r="AX209" s="104"/>
      <c r="AY209" s="104"/>
      <c r="AZ209" s="101"/>
    </row>
    <row r="210" spans="3:52" ht="12.75" hidden="1" customHeight="1" outlineLevel="1" x14ac:dyDescent="0.25">
      <c r="N210" s="99"/>
      <c r="O210" s="104"/>
      <c r="P210" s="104"/>
      <c r="Q210" s="129" t="str">
        <f>INDEX(g_lang_val,MATCH("tb_2_4_4",g_lang_key,0))</f>
        <v>Renter (FF4)</v>
      </c>
      <c r="R210" s="130"/>
      <c r="S210" s="133">
        <f ca="1">SUM(T210:BG210)</f>
        <v>0</v>
      </c>
      <c r="T210" s="128">
        <f t="shared" ref="T210" ca="1" si="1058">IF(T206="","",g_interest_FF4*(S209+(T207/2)-(T208/2)))</f>
        <v>0</v>
      </c>
      <c r="U210" s="128">
        <f t="shared" ref="U210" ca="1" si="1059">IF(U206="","",g_interest_FF4*(T209+(U207/2)-(U208/2)))</f>
        <v>0</v>
      </c>
      <c r="V210" s="128">
        <f t="shared" ref="V210" ca="1" si="1060">IF(V206="","",g_interest_FF4*(U209+(V207/2)-(V208/2)))</f>
        <v>0</v>
      </c>
      <c r="W210" s="128">
        <f t="shared" ref="W210" ca="1" si="1061">IF(W206="","",g_interest_FF4*(V209+(W207/2)-(W208/2)))</f>
        <v>0</v>
      </c>
      <c r="X210" s="128" t="str">
        <f t="shared" ref="X210" ca="1" si="1062">IF(X206="","",g_interest_FF4*(W209+(X207/2)-(X208/2)))</f>
        <v/>
      </c>
      <c r="Y210" s="128" t="str">
        <f t="shared" ref="Y210" ca="1" si="1063">IF(Y206="","",g_interest_FF4*(X209+(Y207/2)-(Y208/2)))</f>
        <v/>
      </c>
      <c r="Z210" s="128" t="str">
        <f t="shared" ref="Z210" ca="1" si="1064">IF(Z206="","",g_interest_FF4*(Y209+(Z207/2)-(Z208/2)))</f>
        <v/>
      </c>
      <c r="AA210" s="128" t="str">
        <f t="shared" ref="AA210" ca="1" si="1065">IF(AA206="","",g_interest_FF4*(Z209+(AA207/2)-(AA208/2)))</f>
        <v/>
      </c>
      <c r="AB210" s="128" t="str">
        <f t="shared" ref="AB210" ca="1" si="1066">IF(AB206="","",g_interest_FF4*(AA209+(AB207/2)-(AB208/2)))</f>
        <v/>
      </c>
      <c r="AC210" s="128" t="str">
        <f t="shared" ref="AC210" ca="1" si="1067">IF(AC206="","",g_interest_FF4*(AB209+(AC207/2)-(AC208/2)))</f>
        <v/>
      </c>
      <c r="AD210" s="128" t="str">
        <f t="shared" ref="AD210" ca="1" si="1068">IF(AD206="","",g_interest_FF4*(AC209+(AD207/2)-(AD208/2)))</f>
        <v/>
      </c>
      <c r="AE210" s="128" t="str">
        <f t="shared" ref="AE210" ca="1" si="1069">IF(AE206="","",g_interest_FF4*(AD209+(AE207/2)-(AE208/2)))</f>
        <v/>
      </c>
      <c r="AF210" s="128" t="str">
        <f t="shared" ref="AF210" ca="1" si="1070">IF(AF206="","",g_interest_FF4*(AE209+(AF207/2)-(AF208/2)))</f>
        <v/>
      </c>
      <c r="AG210" s="128" t="str">
        <f t="shared" ref="AG210" ca="1" si="1071">IF(AG206="","",g_interest_FF4*(AF209+(AG207/2)-(AG208/2)))</f>
        <v/>
      </c>
      <c r="AH210" s="128" t="str">
        <f t="shared" ref="AH210" ca="1" si="1072">IF(AH206="","",g_interest_FF4*(AG209+(AH207/2)-(AH208/2)))</f>
        <v/>
      </c>
      <c r="AI210" s="128" t="str">
        <f t="shared" ref="AI210" ca="1" si="1073">IF(AI206="","",g_interest_FF4*(AH209+(AI207/2)-(AI208/2)))</f>
        <v/>
      </c>
      <c r="AJ210" s="128" t="str">
        <f t="shared" ref="AJ210" ca="1" si="1074">IF(AJ206="","",g_interest_FF4*(AI209+(AJ207/2)-(AJ208/2)))</f>
        <v/>
      </c>
      <c r="AK210" s="128" t="str">
        <f t="shared" ref="AK210" ca="1" si="1075">IF(AK206="","",g_interest_FF4*(AJ209+(AK207/2)-(AK208/2)))</f>
        <v/>
      </c>
      <c r="AL210" s="128" t="str">
        <f t="shared" ref="AL210" ca="1" si="1076">IF(AL206="","",g_interest_FF4*(AK209+(AL207/2)-(AL208/2)))</f>
        <v/>
      </c>
      <c r="AM210" s="128" t="str">
        <f t="shared" ref="AM210" ca="1" si="1077">IF(AM206="","",g_interest_FF4*(AL209+(AM207/2)-(AM208/2)))</f>
        <v/>
      </c>
      <c r="AN210" s="128" t="str">
        <f t="shared" ref="AN210" ca="1" si="1078">IF(AN206="","",g_interest_FF4*(AM209+(AN207/2)-(AN208/2)))</f>
        <v/>
      </c>
      <c r="AO210" s="128" t="str">
        <f t="shared" ref="AO210" ca="1" si="1079">IF(AO206="","",g_interest_FF4*(AN209+(AO207/2)-(AO208/2)))</f>
        <v/>
      </c>
      <c r="AP210" s="128" t="str">
        <f t="shared" ref="AP210" ca="1" si="1080">IF(AP206="","",g_interest_FF4*(AO209+(AP207/2)-(AP208/2)))</f>
        <v/>
      </c>
      <c r="AQ210" s="128" t="str">
        <f t="shared" ref="AQ210" ca="1" si="1081">IF(AQ206="","",g_interest_FF4*(AP209+(AQ207/2)-(AQ208/2)))</f>
        <v/>
      </c>
      <c r="AR210" s="128" t="str">
        <f t="shared" ref="AR210" ca="1" si="1082">IF(AR206="","",g_interest_FF4*(AQ209+(AR207/2)-(AR208/2)))</f>
        <v/>
      </c>
      <c r="AS210" s="128" t="str">
        <f t="shared" ref="AS210" ca="1" si="1083">IF(AS206="","",g_interest_FF4*(AR209+(AS207/2)-(AS208/2)))</f>
        <v/>
      </c>
      <c r="AT210" s="128" t="str">
        <f t="shared" ref="AT210" ca="1" si="1084">IF(AT206="","",g_interest_FF4*(AS209+(AT207/2)-(AT208/2)))</f>
        <v/>
      </c>
      <c r="AU210" s="128" t="str">
        <f t="shared" ref="AU210" ca="1" si="1085">IF(AU206="","",g_interest_FF4*(AT209+(AU207/2)-(AU208/2)))</f>
        <v/>
      </c>
      <c r="AV210" s="128" t="str">
        <f t="shared" ref="AV210" ca="1" si="1086">IF(AV206="","",g_interest_FF4*(AU209+(AV207/2)-(AV208/2)))</f>
        <v/>
      </c>
      <c r="AW210" s="128" t="str">
        <f t="shared" ref="AW210" ca="1" si="1087">IF(AW206="","",g_interest_FF4*(AV209+(AW207/2)-(AW208/2)))</f>
        <v/>
      </c>
      <c r="AX210" s="104"/>
      <c r="AY210" s="104"/>
      <c r="AZ210" s="101"/>
    </row>
    <row r="211" spans="3:52" ht="12.75" hidden="1" customHeight="1" outlineLevel="1" x14ac:dyDescent="0.25">
      <c r="N211" s="99"/>
      <c r="O211" s="104"/>
      <c r="P211" s="104"/>
      <c r="Q211" s="132" t="str">
        <f>INDEX(g_assets_sc_1,15)</f>
        <v/>
      </c>
      <c r="R211" s="132"/>
      <c r="S211" s="127"/>
      <c r="T211" s="139">
        <f ca="1">T$150</f>
        <v>2025</v>
      </c>
      <c r="U211" s="139">
        <f t="shared" ref="U211:AW211" ca="1" si="1088">U$150</f>
        <v>2026</v>
      </c>
      <c r="V211" s="139">
        <f t="shared" ca="1" si="1088"/>
        <v>2027</v>
      </c>
      <c r="W211" s="139">
        <f t="shared" ca="1" si="1088"/>
        <v>2028</v>
      </c>
      <c r="X211" s="139" t="str">
        <f t="shared" ca="1" si="1088"/>
        <v/>
      </c>
      <c r="Y211" s="139" t="str">
        <f t="shared" ca="1" si="1088"/>
        <v/>
      </c>
      <c r="Z211" s="139" t="str">
        <f t="shared" ca="1" si="1088"/>
        <v/>
      </c>
      <c r="AA211" s="139" t="str">
        <f t="shared" ca="1" si="1088"/>
        <v/>
      </c>
      <c r="AB211" s="139" t="str">
        <f t="shared" ca="1" si="1088"/>
        <v/>
      </c>
      <c r="AC211" s="139" t="str">
        <f t="shared" ca="1" si="1088"/>
        <v/>
      </c>
      <c r="AD211" s="139" t="str">
        <f t="shared" ca="1" si="1088"/>
        <v/>
      </c>
      <c r="AE211" s="139" t="str">
        <f t="shared" ca="1" si="1088"/>
        <v/>
      </c>
      <c r="AF211" s="139" t="str">
        <f t="shared" ca="1" si="1088"/>
        <v/>
      </c>
      <c r="AG211" s="139" t="str">
        <f t="shared" ca="1" si="1088"/>
        <v/>
      </c>
      <c r="AH211" s="139" t="str">
        <f t="shared" ca="1" si="1088"/>
        <v/>
      </c>
      <c r="AI211" s="139" t="str">
        <f t="shared" ca="1" si="1088"/>
        <v/>
      </c>
      <c r="AJ211" s="139" t="str">
        <f t="shared" ca="1" si="1088"/>
        <v/>
      </c>
      <c r="AK211" s="139" t="str">
        <f t="shared" ca="1" si="1088"/>
        <v/>
      </c>
      <c r="AL211" s="139" t="str">
        <f t="shared" ca="1" si="1088"/>
        <v/>
      </c>
      <c r="AM211" s="139" t="str">
        <f t="shared" ca="1" si="1088"/>
        <v/>
      </c>
      <c r="AN211" s="139" t="str">
        <f t="shared" ca="1" si="1088"/>
        <v/>
      </c>
      <c r="AO211" s="139" t="str">
        <f t="shared" ca="1" si="1088"/>
        <v/>
      </c>
      <c r="AP211" s="139" t="str">
        <f t="shared" ca="1" si="1088"/>
        <v/>
      </c>
      <c r="AQ211" s="139" t="str">
        <f t="shared" ca="1" si="1088"/>
        <v/>
      </c>
      <c r="AR211" s="139" t="str">
        <f t="shared" ca="1" si="1088"/>
        <v/>
      </c>
      <c r="AS211" s="139" t="str">
        <f t="shared" ca="1" si="1088"/>
        <v/>
      </c>
      <c r="AT211" s="139" t="str">
        <f t="shared" ca="1" si="1088"/>
        <v/>
      </c>
      <c r="AU211" s="139" t="str">
        <f t="shared" ca="1" si="1088"/>
        <v/>
      </c>
      <c r="AV211" s="139" t="str">
        <f t="shared" ca="1" si="1088"/>
        <v/>
      </c>
      <c r="AW211" s="139" t="str">
        <f t="shared" ca="1" si="1088"/>
        <v/>
      </c>
      <c r="AX211" s="104"/>
      <c r="AY211" s="104"/>
      <c r="AZ211" s="101"/>
    </row>
    <row r="212" spans="3:52" ht="12.75" hidden="1" customHeight="1" outlineLevel="1" x14ac:dyDescent="0.25">
      <c r="C212" s="140">
        <f>INDEX(g_sc_1_assets_dates,G212)</f>
        <v>0</v>
      </c>
      <c r="G212" s="141">
        <v>13</v>
      </c>
      <c r="N212" s="99"/>
      <c r="O212" s="104"/>
      <c r="P212" s="104"/>
      <c r="Q212" s="129" t="str">
        <f>INDEX(g_lang_val,MATCH("tb_2_4_1",g_lang_key,0))</f>
        <v>Køb af anlægsaktiver</v>
      </c>
      <c r="R212" s="130"/>
      <c r="S212" s="133">
        <f ca="1">SUM(T212:BG212)</f>
        <v>0</v>
      </c>
      <c r="T212" s="128">
        <f ca="1">IF(T211="","",SUMPRODUCT(--(Leverancer!$C$28:$C$88=($G212+2)),Leverancer!D$28:D$88)/1000)</f>
        <v>0</v>
      </c>
      <c r="U212" s="128">
        <f ca="1">IF(U211="","",SUMPRODUCT(--(Leverancer!$C$28:$C$88=($G212+2)),Leverancer!E$28:E$88)/1000)</f>
        <v>0</v>
      </c>
      <c r="V212" s="128">
        <f ca="1">IF(V211="","",SUMPRODUCT(--(Leverancer!$C$28:$C$88=($G212+2)),Leverancer!F$28:F$88)/1000)</f>
        <v>0</v>
      </c>
      <c r="W212" s="128">
        <f ca="1">IF(W211="","",SUMPRODUCT(--(Leverancer!$C$28:$C$88=($G212+2)),Leverancer!G$28:G$88)/1000)</f>
        <v>0</v>
      </c>
      <c r="X212" s="128" t="str">
        <f ca="1">IF(X211="","",SUMPRODUCT(--(Leverancer!$C$28:$C$88=($G212+2)),Leverancer!H$28:H$88)/1000)</f>
        <v/>
      </c>
      <c r="Y212" s="128" t="str">
        <f ca="1">IF(Y211="","",SUMPRODUCT(--(Leverancer!$C$28:$C$88=($G212+2)),Leverancer!I$28:I$88)/1000)</f>
        <v/>
      </c>
      <c r="Z212" s="128" t="str">
        <f ca="1">IF(Z211="","",SUMPRODUCT(--(Leverancer!$C$28:$C$88=($G212+2)),Leverancer!J$28:J$88)/1000)</f>
        <v/>
      </c>
      <c r="AA212" s="128" t="str">
        <f ca="1">IF(AA211="","",SUMPRODUCT(--(Leverancer!$C$28:$C$88=($G212+2)),Leverancer!K$28:K$88)/1000)</f>
        <v/>
      </c>
      <c r="AB212" s="128" t="str">
        <f ca="1">IF(AB211="","",SUMPRODUCT(--(Leverancer!$C$28:$C$88=($G212+2)),Leverancer!L$28:L$88)/1000)</f>
        <v/>
      </c>
      <c r="AC212" s="128" t="str">
        <f ca="1">IF(AC211="","",SUMPRODUCT(--(Leverancer!$C$28:$C$88=($G212+2)),Leverancer!M$28:M$88)/1000)</f>
        <v/>
      </c>
      <c r="AD212" s="128" t="str">
        <f ca="1">IF(AD211="","",SUMPRODUCT(--(Leverancer!$C$28:$C$88=($G212+2)),Leverancer!N$28:N$88)/1000)</f>
        <v/>
      </c>
      <c r="AE212" s="128" t="str">
        <f ca="1">IF(AE211="","",SUMPRODUCT(--(Leverancer!$C$28:$C$88=($G212+2)),Leverancer!O$28:O$88)/1000)</f>
        <v/>
      </c>
      <c r="AF212" s="128" t="str">
        <f ca="1">IF(AF211="","",SUMPRODUCT(--(Leverancer!$C$28:$C$88=($G212+2)),Leverancer!P$28:P$88)/1000)</f>
        <v/>
      </c>
      <c r="AG212" s="128" t="str">
        <f ca="1">IF(AG211="","",SUMPRODUCT(--(Leverancer!$C$28:$C$88=($G212+2)),Leverancer!Q$28:Q$88)/1000)</f>
        <v/>
      </c>
      <c r="AH212" s="128" t="str">
        <f ca="1">IF(AH211="","",SUMPRODUCT(--(Leverancer!$C$28:$C$88=($G212+2)),Leverancer!R$28:R$88)/1000)</f>
        <v/>
      </c>
      <c r="AI212" s="128" t="str">
        <f ca="1">IF(AI211="","",SUMPRODUCT(--(Leverancer!$C$28:$C$88=($G212+2)),Leverancer!S$28:S$88)/1000)</f>
        <v/>
      </c>
      <c r="AJ212" s="128" t="str">
        <f ca="1">IF(AJ211="","",SUMPRODUCT(--(Leverancer!$C$28:$C$88=($G212+2)),Leverancer!T$28:T$88)/1000)</f>
        <v/>
      </c>
      <c r="AK212" s="128" t="str">
        <f ca="1">IF(AK211="","",SUMPRODUCT(--(Leverancer!$C$28:$C$88=($G212+2)),Leverancer!U$28:U$88)/1000)</f>
        <v/>
      </c>
      <c r="AL212" s="128" t="str">
        <f ca="1">IF(AL211="","",SUMPRODUCT(--(Leverancer!$C$28:$C$88=($G212+2)),Leverancer!V$28:V$88)/1000)</f>
        <v/>
      </c>
      <c r="AM212" s="128" t="str">
        <f ca="1">IF(AM211="","",SUMPRODUCT(--(Leverancer!$C$28:$C$88=($G212+2)),Leverancer!W$28:W$88)/1000)</f>
        <v/>
      </c>
      <c r="AN212" s="128" t="str">
        <f ca="1">IF(AN211="","",SUMPRODUCT(--(Leverancer!$C$28:$C$88=($G212+2)),Leverancer!X$28:X$88)/1000)</f>
        <v/>
      </c>
      <c r="AO212" s="128" t="str">
        <f ca="1">IF(AO211="","",SUMPRODUCT(--(Leverancer!$C$28:$C$88=($G212+2)),Leverancer!Y$28:Y$88)/1000)</f>
        <v/>
      </c>
      <c r="AP212" s="128" t="str">
        <f ca="1">IF(AP211="","",SUMPRODUCT(--(Leverancer!$C$28:$C$88=($G212+2)),Leverancer!Z$28:Z$88)/1000)</f>
        <v/>
      </c>
      <c r="AQ212" s="128" t="str">
        <f ca="1">IF(AQ211="","",SUMPRODUCT(--(Leverancer!$C$28:$C$88=($G212+2)),Leverancer!AA$28:AA$88)/1000)</f>
        <v/>
      </c>
      <c r="AR212" s="128" t="str">
        <f ca="1">IF(AR211="","",SUMPRODUCT(--(Leverancer!$C$28:$C$88=($G212+2)),Leverancer!AB$28:AB$88)/1000)</f>
        <v/>
      </c>
      <c r="AS212" s="128" t="str">
        <f ca="1">IF(AS211="","",SUMPRODUCT(--(Leverancer!$C$28:$C$88=($G212+2)),Leverancer!AC$28:AC$88)/1000)</f>
        <v/>
      </c>
      <c r="AT212" s="128" t="str">
        <f ca="1">IF(AT211="","",SUMPRODUCT(--(Leverancer!$C$28:$C$88=($G212+2)),Leverancer!AD$28:AD$88)/1000)</f>
        <v/>
      </c>
      <c r="AU212" s="128" t="str">
        <f ca="1">IF(AU211="","",SUMPRODUCT(--(Leverancer!$C$28:$C$88=($G212+2)),Leverancer!AE$28:AE$88)/1000)</f>
        <v/>
      </c>
      <c r="AV212" s="128" t="str">
        <f ca="1">IF(AV211="","",SUMPRODUCT(--(Leverancer!$C$28:$C$88=($G212+2)),Leverancer!AF$28:AF$88)/1000)</f>
        <v/>
      </c>
      <c r="AW212" s="128" t="str">
        <f ca="1">IF(AW211="","",SUMPRODUCT(--(Leverancer!$C$28:$C$88=($G212+2)),Leverancer!AG$28:AG$88)/1000)</f>
        <v/>
      </c>
      <c r="AX212" s="104"/>
      <c r="AY212" s="104"/>
      <c r="AZ212" s="101"/>
    </row>
    <row r="213" spans="3:52" ht="12.75" hidden="1" customHeight="1" outlineLevel="1" x14ac:dyDescent="0.25">
      <c r="C213" s="142">
        <f>IFERROR(YEAR(C212),"")</f>
        <v>1900</v>
      </c>
      <c r="D213" s="142">
        <f>IFERROR(MONTH(C212),"")</f>
        <v>1</v>
      </c>
      <c r="E213" s="142">
        <f>INDEX(g_sc_1_assets_years,G212)</f>
        <v>0</v>
      </c>
      <c r="N213" s="99"/>
      <c r="O213" s="104"/>
      <c r="P213" s="104"/>
      <c r="Q213" s="129" t="str">
        <f>INDEX(g_lang_val,MATCH("tb_2_4_2",g_lang_key,0))</f>
        <v>Afskrivninger</v>
      </c>
      <c r="R213" s="130"/>
      <c r="S213" s="133">
        <f ca="1">SUM(T213:BG213)</f>
        <v>0</v>
      </c>
      <c r="T213" s="128">
        <f t="shared" ref="T213" ca="1" si="1089">IF(T211="","",IF(T211&lt;$C213,0,IF(T211=$C213,T212/$C214*$E214+S214/$C214*$E214,IF(AND(T211&gt;$C213,T211&lt;ROUNDDOWN(($C213+($D213+$C214-1)/12),0)),(T212/2+S214)/($C214-$E214-12*(T211-$C213-1))*12,IF(AND($D214&lt;0,T211=ROUNDDOWN(($C213+($D213+$C214-1)/12),0)),S214+T212,IF(T211=ROUNDDOWN(($C213+($D213+$C214-1)/12),0),(T212+S214)/$C214*($D214+(T211-$C213-1)*12+$E214),IF(T211&gt;ROUNDDOWN(($C213+($D213+$C214)/12),0),0,0)))))))</f>
        <v>0</v>
      </c>
      <c r="U213" s="128">
        <f t="shared" ref="U213" ca="1" si="1090">IF(U211="","",IF(U211&lt;$C213,0,IF(U211=$C213,U212/$C214*$E214+T214/$C214*$E214,IF(AND(U211&gt;$C213,U211&lt;ROUNDDOWN(($C213+($D213+$C214-1)/12),0)),(U212/2+T214)/($C214-$E214-12*(U211-$C213-1))*12,IF(AND($D214&lt;0,U211=ROUNDDOWN(($C213+($D213+$C214-1)/12),0)),T214+U212,IF(U211=ROUNDDOWN(($C213+($D213+$C214-1)/12),0),(U212+T214)/$C214*($D214+(U211-$C213-1)*12+$E214),IF(U211&gt;ROUNDDOWN(($C213+($D213+$C214)/12),0),0,0)))))))</f>
        <v>0</v>
      </c>
      <c r="V213" s="128">
        <f t="shared" ref="V213" ca="1" si="1091">IF(V211="","",IF(V211&lt;$C213,0,IF(V211=$C213,V212/$C214*$E214+U214/$C214*$E214,IF(AND(V211&gt;$C213,V211&lt;ROUNDDOWN(($C213+($D213+$C214-1)/12),0)),(V212/2+U214)/($C214-$E214-12*(V211-$C213-1))*12,IF(AND($D214&lt;0,V211=ROUNDDOWN(($C213+($D213+$C214-1)/12),0)),U214+V212,IF(V211=ROUNDDOWN(($C213+($D213+$C214-1)/12),0),(V212+U214)/$C214*($D214+(V211-$C213-1)*12+$E214),IF(V211&gt;ROUNDDOWN(($C213+($D213+$C214)/12),0),0,0)))))))</f>
        <v>0</v>
      </c>
      <c r="W213" s="128">
        <f t="shared" ref="W213" ca="1" si="1092">IF(W211="","",IF(W211&lt;$C213,0,IF(W211=$C213,W212/$C214*$E214+V214/$C214*$E214,IF(AND(W211&gt;$C213,W211&lt;ROUNDDOWN(($C213+($D213+$C214-1)/12),0)),(W212/2+V214)/($C214-$E214-12*(W211-$C213-1))*12,IF(AND($D214&lt;0,W211=ROUNDDOWN(($C213+($D213+$C214-1)/12),0)),V214+W212,IF(W211=ROUNDDOWN(($C213+($D213+$C214-1)/12),0),(W212+V214)/$C214*($D214+(W211-$C213-1)*12+$E214),IF(W211&gt;ROUNDDOWN(($C213+($D213+$C214)/12),0),0,0)))))))</f>
        <v>0</v>
      </c>
      <c r="X213" s="128" t="str">
        <f t="shared" ref="X213" ca="1" si="1093">IF(X211="","",IF(X211&lt;$C213,0,IF(X211=$C213,X212/$C214*$E214+W214/$C214*$E214,IF(AND(X211&gt;$C213,X211&lt;ROUNDDOWN(($C213+($D213+$C214-1)/12),0)),(X212/2+W214)/($C214-$E214-12*(X211-$C213-1))*12,IF(AND($D214&lt;0,X211=ROUNDDOWN(($C213+($D213+$C214-1)/12),0)),W214+X212,IF(X211=ROUNDDOWN(($C213+($D213+$C214-1)/12),0),(X212+W214)/$C214*($D214+(X211-$C213-1)*12+$E214),IF(X211&gt;ROUNDDOWN(($C213+($D213+$C214)/12),0),0,0)))))))</f>
        <v/>
      </c>
      <c r="Y213" s="128" t="str">
        <f t="shared" ref="Y213" ca="1" si="1094">IF(Y211="","",IF(Y211&lt;$C213,0,IF(Y211=$C213,Y212/$C214*$E214+X214/$C214*$E214,IF(AND(Y211&gt;$C213,Y211&lt;ROUNDDOWN(($C213+($D213+$C214-1)/12),0)),(Y212/2+X214)/($C214-$E214-12*(Y211-$C213-1))*12,IF(AND($D214&lt;0,Y211=ROUNDDOWN(($C213+($D213+$C214-1)/12),0)),X214+Y212,IF(Y211=ROUNDDOWN(($C213+($D213+$C214-1)/12),0),(Y212+X214)/$C214*($D214+(Y211-$C213-1)*12+$E214),IF(Y211&gt;ROUNDDOWN(($C213+($D213+$C214)/12),0),0,0)))))))</f>
        <v/>
      </c>
      <c r="Z213" s="128" t="str">
        <f ca="1">IF(Z211="","",IF(Z211&lt;$C213,0,IF(Z211=$C213,Z212/$C214*$E214+Y214/$C214*$E214,IF(AND(Z211&gt;$C213,Z211&lt;ROUNDDOWN(($C213+($D213+$C214-1)/12),0)),(Z212/2+Y214)/($C214-$E214-12*(Z211-$C213-1))*12,IF(AND($D214&lt;0,Z211=ROUNDDOWN(($C213+($D213+$C214-1)/12),0)),Y214+Z212,IF(Z211=ROUNDDOWN(($C213+($D213+$C214-1)/12),0),(Z212+Y214)/$C214*($D214+(Z211-$C213-1)*12+$E214),IF(Z211&gt;ROUNDDOWN(($C213+($D213+$C214)/12),0),0,0)))))))</f>
        <v/>
      </c>
      <c r="AA213" s="128" t="str">
        <f t="shared" ref="AA213" ca="1" si="1095">IF(AA211="","",IF(AA211&lt;$C213,0,IF(AA211=$C213,AA212/$C214*$E214+Z214/$C214*$E214,IF(AND(AA211&gt;$C213,AA211&lt;ROUNDDOWN(($C213+($D213+$C214-1)/12),0)),(AA212/2+Z214)/($C214-$E214-12*(AA211-$C213-1))*12,IF(AND($D214&lt;0,AA211=ROUNDDOWN(($C213+($D213+$C214-1)/12),0)),Z214+AA212,IF(AA211=ROUNDDOWN(($C213+($D213+$C214-1)/12),0),(AA212+Z214)/$C214*($D214+(AA211-$C213-1)*12+$E214),IF(AA211&gt;ROUNDDOWN(($C213+($D213+$C214)/12),0),0,0)))))))</f>
        <v/>
      </c>
      <c r="AB213" s="128" t="str">
        <f t="shared" ref="AB213" ca="1" si="1096">IF(AB211="","",IF(AB211&lt;$C213,0,IF(AB211=$C213,AB212/$C214*$E214+AA214/$C214*$E214,IF(AND(AB211&gt;$C213,AB211&lt;ROUNDDOWN(($C213+($D213+$C214-1)/12),0)),(AB212/2+AA214)/($C214-$E214-12*(AB211-$C213-1))*12,IF(AND($D214&lt;0,AB211=ROUNDDOWN(($C213+($D213+$C214-1)/12),0)),AA214+AB212,IF(AB211=ROUNDDOWN(($C213+($D213+$C214-1)/12),0),(AB212+AA214)/$C214*($D214+(AB211-$C213-1)*12+$E214),IF(AB211&gt;ROUNDDOWN(($C213+($D213+$C214)/12),0),0,0)))))))</f>
        <v/>
      </c>
      <c r="AC213" s="128" t="str">
        <f t="shared" ref="AC213" ca="1" si="1097">IF(AC211="","",IF(AC211&lt;$C213,0,IF(AC211=$C213,AC212/$C214*$E214+AB214/$C214*$E214,IF(AND(AC211&gt;$C213,AC211&lt;ROUNDDOWN(($C213+($D213+$C214-1)/12),0)),(AC212/2+AB214)/($C214-$E214-12*(AC211-$C213-1))*12,IF(AND($D214&lt;0,AC211=ROUNDDOWN(($C213+($D213+$C214-1)/12),0)),AB214+AC212,IF(AC211=ROUNDDOWN(($C213+($D213+$C214-1)/12),0),(AC212+AB214)/$C214*($D214+(AC211-$C213-1)*12+$E214),IF(AC211&gt;ROUNDDOWN(($C213+($D213+$C214)/12),0),0,0)))))))</f>
        <v/>
      </c>
      <c r="AD213" s="128" t="str">
        <f t="shared" ref="AD213" ca="1" si="1098">IF(AD211="","",IF(AD211&lt;$C213,0,IF(AD211=$C213,AD212/$C214*$E214+AC214/$C214*$E214,IF(AND(AD211&gt;$C213,AD211&lt;ROUNDDOWN(($C213+($D213+$C214-1)/12),0)),(AD212/2+AC214)/($C214-$E214-12*(AD211-$C213-1))*12,IF(AND($D214&lt;0,AD211=ROUNDDOWN(($C213+($D213+$C214-1)/12),0)),AC214+AD212,IF(AD211=ROUNDDOWN(($C213+($D213+$C214-1)/12),0),(AD212+AC214)/$C214*($D214+(AD211-$C213-1)*12+$E214),IF(AD211&gt;ROUNDDOWN(($C213+($D213+$C214)/12),0),0,0)))))))</f>
        <v/>
      </c>
      <c r="AE213" s="128" t="str">
        <f t="shared" ref="AE213" ca="1" si="1099">IF(AE211="","",IF(AE211&lt;$C213,0,IF(AE211=$C213,AE212/$C214*$E214+AD214/$C214*$E214,IF(AND(AE211&gt;$C213,AE211&lt;ROUNDDOWN(($C213+($D213+$C214-1)/12),0)),(AE212/2+AD214)/($C214-$E214-12*(AE211-$C213-1))*12,IF(AND($D214&lt;0,AE211=ROUNDDOWN(($C213+($D213+$C214-1)/12),0)),AD214+AE212,IF(AE211=ROUNDDOWN(($C213+($D213+$C214-1)/12),0),(AE212+AD214)/$C214*($D214+(AE211-$C213-1)*12+$E214),IF(AE211&gt;ROUNDDOWN(($C213+($D213+$C214)/12),0),0,0)))))))</f>
        <v/>
      </c>
      <c r="AF213" s="128" t="str">
        <f t="shared" ref="AF213" ca="1" si="1100">IF(AF211="","",IF(AF211&lt;$C213,0,IF(AF211=$C213,AF212/$C214*$E214+AE214/$C214*$E214,IF(AND(AF211&gt;$C213,AF211&lt;ROUNDDOWN(($C213+($D213+$C214-1)/12),0)),(AF212/2+AE214)/($C214-$E214-12*(AF211-$C213-1))*12,IF(AND($D214&lt;0,AF211=ROUNDDOWN(($C213+($D213+$C214-1)/12),0)),AE214+AF212,IF(AF211=ROUNDDOWN(($C213+($D213+$C214-1)/12),0),(AF212+AE214)/$C214*($D214+(AF211-$C213-1)*12+$E214),IF(AF211&gt;ROUNDDOWN(($C213+($D213+$C214)/12),0),0,0)))))))</f>
        <v/>
      </c>
      <c r="AG213" s="128" t="str">
        <f t="shared" ref="AG213" ca="1" si="1101">IF(AG211="","",IF(AG211&lt;$C213,0,IF(AG211=$C213,AG212/$C214*$E214+AF214/$C214*$E214,IF(AND(AG211&gt;$C213,AG211&lt;ROUNDDOWN(($C213+($D213+$C214-1)/12),0)),(AG212/2+AF214)/($C214-$E214-12*(AG211-$C213-1))*12,IF(AND($D214&lt;0,AG211=ROUNDDOWN(($C213+($D213+$C214-1)/12),0)),AF214+AG212,IF(AG211=ROUNDDOWN(($C213+($D213+$C214-1)/12),0),(AG212+AF214)/$C214*($D214+(AG211-$C213-1)*12+$E214),IF(AG211&gt;ROUNDDOWN(($C213+($D213+$C214)/12),0),0,0)))))))</f>
        <v/>
      </c>
      <c r="AH213" s="128" t="str">
        <f t="shared" ref="AH213" ca="1" si="1102">IF(AH211="","",IF(AH211&lt;$C213,0,IF(AH211=$C213,AH212/$C214*$E214+AG214/$C214*$E214,IF(AND(AH211&gt;$C213,AH211&lt;ROUNDDOWN(($C213+($D213+$C214-1)/12),0)),(AH212/2+AG214)/($C214-$E214-12*(AH211-$C213-1))*12,IF(AND($D214&lt;0,AH211=ROUNDDOWN(($C213+($D213+$C214-1)/12),0)),AG214+AH212,IF(AH211=ROUNDDOWN(($C213+($D213+$C214-1)/12),0),(AH212+AG214)/$C214*($D214+(AH211-$C213-1)*12+$E214),IF(AH211&gt;ROUNDDOWN(($C213+($D213+$C214)/12),0),0,0)))))))</f>
        <v/>
      </c>
      <c r="AI213" s="128" t="str">
        <f t="shared" ref="AI213" ca="1" si="1103">IF(AI211="","",IF(AI211&lt;$C213,0,IF(AI211=$C213,AI212/$C214*$E214+AH214/$C214*$E214,IF(AND(AI211&gt;$C213,AI211&lt;ROUNDDOWN(($C213+($D213+$C214-1)/12),0)),(AI212/2+AH214)/($C214-$E214-12*(AI211-$C213-1))*12,IF(AND($D214&lt;0,AI211=ROUNDDOWN(($C213+($D213+$C214-1)/12),0)),AH214+AI212,IF(AI211=ROUNDDOWN(($C213+($D213+$C214-1)/12),0),(AI212+AH214)/$C214*($D214+(AI211-$C213-1)*12+$E214),IF(AI211&gt;ROUNDDOWN(($C213+($D213+$C214)/12),0),0,0)))))))</f>
        <v/>
      </c>
      <c r="AJ213" s="128" t="str">
        <f t="shared" ref="AJ213" ca="1" si="1104">IF(AJ211="","",IF(AJ211&lt;$C213,0,IF(AJ211=$C213,AJ212/$C214*$E214+AI214/$C214*$E214,IF(AND(AJ211&gt;$C213,AJ211&lt;ROUNDDOWN(($C213+($D213+$C214-1)/12),0)),(AJ212/2+AI214)/($C214-$E214-12*(AJ211-$C213-1))*12,IF(AND($D214&lt;0,AJ211=ROUNDDOWN(($C213+($D213+$C214-1)/12),0)),AI214+AJ212,IF(AJ211=ROUNDDOWN(($C213+($D213+$C214-1)/12),0),(AJ212+AI214)/$C214*($D214+(AJ211-$C213-1)*12+$E214),IF(AJ211&gt;ROUNDDOWN(($C213+($D213+$C214)/12),0),0,0)))))))</f>
        <v/>
      </c>
      <c r="AK213" s="128" t="str">
        <f t="shared" ref="AK213" ca="1" si="1105">IF(AK211="","",IF(AK211&lt;$C213,0,IF(AK211=$C213,AK212/$C214*$E214+AJ214/$C214*$E214,IF(AND(AK211&gt;$C213,AK211&lt;ROUNDDOWN(($C213+($D213+$C214-1)/12),0)),(AK212/2+AJ214)/($C214-$E214-12*(AK211-$C213-1))*12,IF(AND($D214&lt;0,AK211=ROUNDDOWN(($C213+($D213+$C214-1)/12),0)),AJ214+AK212,IF(AK211=ROUNDDOWN(($C213+($D213+$C214-1)/12),0),(AK212+AJ214)/$C214*($D214+(AK211-$C213-1)*12+$E214),IF(AK211&gt;ROUNDDOWN(($C213+($D213+$C214)/12),0),0,0)))))))</f>
        <v/>
      </c>
      <c r="AL213" s="128" t="str">
        <f t="shared" ref="AL213" ca="1" si="1106">IF(AL211="","",IF(AL211&lt;$C213,0,IF(AL211=$C213,AL212/$C214*$E214+AK214/$C214*$E214,IF(AND(AL211&gt;$C213,AL211&lt;ROUNDDOWN(($C213+($D213+$C214-1)/12),0)),(AL212/2+AK214)/($C214-$E214-12*(AL211-$C213-1))*12,IF(AND($D214&lt;0,AL211=ROUNDDOWN(($C213+($D213+$C214-1)/12),0)),AK214+AL212,IF(AL211=ROUNDDOWN(($C213+($D213+$C214-1)/12),0),(AL212+AK214)/$C214*($D214+(AL211-$C213-1)*12+$E214),IF(AL211&gt;ROUNDDOWN(($C213+($D213+$C214)/12),0),0,0)))))))</f>
        <v/>
      </c>
      <c r="AM213" s="128" t="str">
        <f t="shared" ref="AM213" ca="1" si="1107">IF(AM211="","",IF(AM211&lt;$C213,0,IF(AM211=$C213,AM212/$C214*$E214+AL214/$C214*$E214,IF(AND(AM211&gt;$C213,AM211&lt;ROUNDDOWN(($C213+($D213+$C214-1)/12),0)),(AM212/2+AL214)/($C214-$E214-12*(AM211-$C213-1))*12,IF(AND($D214&lt;0,AM211=ROUNDDOWN(($C213+($D213+$C214-1)/12),0)),AL214+AM212,IF(AM211=ROUNDDOWN(($C213+($D213+$C214-1)/12),0),(AM212+AL214)/$C214*($D214+(AM211-$C213-1)*12+$E214),IF(AM211&gt;ROUNDDOWN(($C213+($D213+$C214)/12),0),0,0)))))))</f>
        <v/>
      </c>
      <c r="AN213" s="128" t="str">
        <f t="shared" ref="AN213" ca="1" si="1108">IF(AN211="","",IF(AN211&lt;$C213,0,IF(AN211=$C213,AN212/$C214*$E214+AM214/$C214*$E214,IF(AND(AN211&gt;$C213,AN211&lt;ROUNDDOWN(($C213+($D213+$C214-1)/12),0)),(AN212/2+AM214)/($C214-$E214-12*(AN211-$C213-1))*12,IF(AND($D214&lt;0,AN211=ROUNDDOWN(($C213+($D213+$C214-1)/12),0)),AM214+AN212,IF(AN211=ROUNDDOWN(($C213+($D213+$C214-1)/12),0),(AN212+AM214)/$C214*($D214+(AN211-$C213-1)*12+$E214),IF(AN211&gt;ROUNDDOWN(($C213+($D213+$C214)/12),0),0,0)))))))</f>
        <v/>
      </c>
      <c r="AO213" s="128" t="str">
        <f t="shared" ref="AO213" ca="1" si="1109">IF(AO211="","",IF(AO211&lt;$C213,0,IF(AO211=$C213,AO212/$C214*$E214+AN214/$C214*$E214,IF(AND(AO211&gt;$C213,AO211&lt;ROUNDDOWN(($C213+($D213+$C214-1)/12),0)),(AO212/2+AN214)/($C214-$E214-12*(AO211-$C213-1))*12,IF(AND($D214&lt;0,AO211=ROUNDDOWN(($C213+($D213+$C214-1)/12),0)),AN214+AO212,IF(AO211=ROUNDDOWN(($C213+($D213+$C214-1)/12),0),(AO212+AN214)/$C214*($D214+(AO211-$C213-1)*12+$E214),IF(AO211&gt;ROUNDDOWN(($C213+($D213+$C214)/12),0),0,0)))))))</f>
        <v/>
      </c>
      <c r="AP213" s="128" t="str">
        <f t="shared" ref="AP213" ca="1" si="1110">IF(AP211="","",IF(AP211&lt;$C213,0,IF(AP211=$C213,AP212/$C214*$E214+AO214/$C214*$E214,IF(AND(AP211&gt;$C213,AP211&lt;ROUNDDOWN(($C213+($D213+$C214-1)/12),0)),(AP212/2+AO214)/($C214-$E214-12*(AP211-$C213-1))*12,IF(AND($D214&lt;0,AP211=ROUNDDOWN(($C213+($D213+$C214-1)/12),0)),AO214+AP212,IF(AP211=ROUNDDOWN(($C213+($D213+$C214-1)/12),0),(AP212+AO214)/$C214*($D214+(AP211-$C213-1)*12+$E214),IF(AP211&gt;ROUNDDOWN(($C213+($D213+$C214)/12),0),0,0)))))))</f>
        <v/>
      </c>
      <c r="AQ213" s="128" t="str">
        <f t="shared" ref="AQ213" ca="1" si="1111">IF(AQ211="","",IF(AQ211&lt;$C213,0,IF(AQ211=$C213,AQ212/$C214*$E214+AP214/$C214*$E214,IF(AND(AQ211&gt;$C213,AQ211&lt;ROUNDDOWN(($C213+($D213+$C214-1)/12),0)),(AQ212/2+AP214)/($C214-$E214-12*(AQ211-$C213-1))*12,IF(AND($D214&lt;0,AQ211=ROUNDDOWN(($C213+($D213+$C214-1)/12),0)),AP214+AQ212,IF(AQ211=ROUNDDOWN(($C213+($D213+$C214-1)/12),0),(AQ212+AP214)/$C214*($D214+(AQ211-$C213-1)*12+$E214),IF(AQ211&gt;ROUNDDOWN(($C213+($D213+$C214)/12),0),0,0)))))))</f>
        <v/>
      </c>
      <c r="AR213" s="128" t="str">
        <f t="shared" ref="AR213" ca="1" si="1112">IF(AR211="","",IF(AR211&lt;$C213,0,IF(AR211=$C213,AR212/$C214*$E214+AQ214/$C214*$E214,IF(AND(AR211&gt;$C213,AR211&lt;ROUNDDOWN(($C213+($D213+$C214-1)/12),0)),(AR212/2+AQ214)/($C214-$E214-12*(AR211-$C213-1))*12,IF(AND($D214&lt;0,AR211=ROUNDDOWN(($C213+($D213+$C214-1)/12),0)),AQ214+AR212,IF(AR211=ROUNDDOWN(($C213+($D213+$C214-1)/12),0),(AR212+AQ214)/$C214*($D214+(AR211-$C213-1)*12+$E214),IF(AR211&gt;ROUNDDOWN(($C213+($D213+$C214)/12),0),0,0)))))))</f>
        <v/>
      </c>
      <c r="AS213" s="128" t="str">
        <f t="shared" ref="AS213" ca="1" si="1113">IF(AS211="","",IF(AS211&lt;$C213,0,IF(AS211=$C213,AS212/$C214*$E214+AR214/$C214*$E214,IF(AND(AS211&gt;$C213,AS211&lt;ROUNDDOWN(($C213+($D213+$C214-1)/12),0)),(AS212/2+AR214)/($C214-$E214-12*(AS211-$C213-1))*12,IF(AND($D214&lt;0,AS211=ROUNDDOWN(($C213+($D213+$C214-1)/12),0)),AR214+AS212,IF(AS211=ROUNDDOWN(($C213+($D213+$C214-1)/12),0),(AS212+AR214)/$C214*($D214+(AS211-$C213-1)*12+$E214),IF(AS211&gt;ROUNDDOWN(($C213+($D213+$C214)/12),0),0,0)))))))</f>
        <v/>
      </c>
      <c r="AT213" s="128" t="str">
        <f t="shared" ref="AT213" ca="1" si="1114">IF(AT211="","",IF(AT211&lt;$C213,0,IF(AT211=$C213,AT212/$C214*$E214+AS214/$C214*$E214,IF(AND(AT211&gt;$C213,AT211&lt;ROUNDDOWN(($C213+($D213+$C214-1)/12),0)),(AT212/2+AS214)/($C214-$E214-12*(AT211-$C213-1))*12,IF(AND($D214&lt;0,AT211=ROUNDDOWN(($C213+($D213+$C214-1)/12),0)),AS214+AT212,IF(AT211=ROUNDDOWN(($C213+($D213+$C214-1)/12),0),(AT212+AS214)/$C214*($D214+(AT211-$C213-1)*12+$E214),IF(AT211&gt;ROUNDDOWN(($C213+($D213+$C214)/12),0),0,0)))))))</f>
        <v/>
      </c>
      <c r="AU213" s="128" t="str">
        <f t="shared" ref="AU213" ca="1" si="1115">IF(AU211="","",IF(AU211&lt;$C213,0,IF(AU211=$C213,AU212/$C214*$E214+AT214/$C214*$E214,IF(AND(AU211&gt;$C213,AU211&lt;ROUNDDOWN(($C213+($D213+$C214-1)/12),0)),(AU212/2+AT214)/($C214-$E214-12*(AU211-$C213-1))*12,IF(AND($D214&lt;0,AU211=ROUNDDOWN(($C213+($D213+$C214-1)/12),0)),AT214+AU212,IF(AU211=ROUNDDOWN(($C213+($D213+$C214-1)/12),0),(AU212+AT214)/$C214*($D214+(AU211-$C213-1)*12+$E214),IF(AU211&gt;ROUNDDOWN(($C213+($D213+$C214)/12),0),0,0)))))))</f>
        <v/>
      </c>
      <c r="AV213" s="128" t="str">
        <f t="shared" ref="AV213" ca="1" si="1116">IF(AV211="","",IF(AV211&lt;$C213,0,IF(AV211=$C213,AV212/$C214*$E214+AU214/$C214*$E214,IF(AND(AV211&gt;$C213,AV211&lt;ROUNDDOWN(($C213+($D213+$C214-1)/12),0)),(AV212/2+AU214)/($C214-$E214-12*(AV211-$C213-1))*12,IF(AND($D214&lt;0,AV211=ROUNDDOWN(($C213+($D213+$C214-1)/12),0)),AU214+AV212,IF(AV211=ROUNDDOWN(($C213+($D213+$C214-1)/12),0),(AV212+AU214)/$C214*($D214+(AV211-$C213-1)*12+$E214),IF(AV211&gt;ROUNDDOWN(($C213+($D213+$C214)/12),0),0,0)))))))</f>
        <v/>
      </c>
      <c r="AW213" s="128" t="str">
        <f t="shared" ref="AW213" ca="1" si="1117">IF(AW211="","",IF(AW211&lt;$C213,0,IF(AW211=$C213,AW212/$C214*$E214+AV214/$C214*$E214,IF(AND(AW211&gt;$C213,AW211&lt;ROUNDDOWN(($C213+($D213+$C214-1)/12),0)),(AW212/2+AV214)/($C214-$E214-12*(AW211-$C213-1))*12,IF(AND($D214&lt;0,AW211=ROUNDDOWN(($C213+($D213+$C214-1)/12),0)),AV214+AW212,IF(AW211=ROUNDDOWN(($C213+($D213+$C214-1)/12),0),(AW212+AV214)/$C214*($D214+(AW211-$C213-1)*12+$E214),IF(AW211&gt;ROUNDDOWN(($C213+($D213+$C214)/12),0),0,0)))))))</f>
        <v/>
      </c>
      <c r="AX213" s="104"/>
      <c r="AY213" s="104"/>
      <c r="AZ213" s="101"/>
    </row>
    <row r="214" spans="3:52" ht="12.75" hidden="1" customHeight="1" outlineLevel="1" x14ac:dyDescent="0.25">
      <c r="C214" s="142">
        <f>ROUNDUP((E213-ROUNDDOWN(E213,0))*12,0)+ROUNDDOWN(E213,0)*12</f>
        <v>0</v>
      </c>
      <c r="D214" s="142">
        <f>C214-E214-ROUNDDOWN(E213,0)*12</f>
        <v>-12</v>
      </c>
      <c r="E214" s="142">
        <f>13-MONTH(C212)</f>
        <v>12</v>
      </c>
      <c r="N214" s="99"/>
      <c r="O214" s="104"/>
      <c r="P214" s="104"/>
      <c r="Q214" s="129" t="str">
        <f>INDEX(g_lang_val,MATCH("tb_2_4_3",g_lang_key,0))</f>
        <v>FF4-gæld, ultimo året</v>
      </c>
      <c r="R214" s="130"/>
      <c r="S214" s="133"/>
      <c r="T214" s="128">
        <f t="shared" ref="T214" ca="1" si="1118">IF(T211="","",S214+T212-T213)</f>
        <v>0</v>
      </c>
      <c r="U214" s="128">
        <f t="shared" ref="U214" ca="1" si="1119">IF(U211="","",T214+U212-U213)</f>
        <v>0</v>
      </c>
      <c r="V214" s="128">
        <f t="shared" ref="V214" ca="1" si="1120">IF(V211="","",U214+V212-V213)</f>
        <v>0</v>
      </c>
      <c r="W214" s="128">
        <f t="shared" ref="W214" ca="1" si="1121">IF(W211="","",V214+W212-W213)</f>
        <v>0</v>
      </c>
      <c r="X214" s="128" t="str">
        <f t="shared" ref="X214" ca="1" si="1122">IF(X211="","",W214+X212-X213)</f>
        <v/>
      </c>
      <c r="Y214" s="128" t="str">
        <f t="shared" ref="Y214" ca="1" si="1123">IF(Y211="","",X214+Y212-Y213)</f>
        <v/>
      </c>
      <c r="Z214" s="128" t="str">
        <f t="shared" ref="Z214" ca="1" si="1124">IF(Z211="","",Y214+Z212-Z213)</f>
        <v/>
      </c>
      <c r="AA214" s="128" t="str">
        <f t="shared" ref="AA214" ca="1" si="1125">IF(AA211="","",Z214+AA212-AA213)</f>
        <v/>
      </c>
      <c r="AB214" s="128" t="str">
        <f t="shared" ref="AB214" ca="1" si="1126">IF(AB211="","",AA214+AB212-AB213)</f>
        <v/>
      </c>
      <c r="AC214" s="128" t="str">
        <f t="shared" ref="AC214" ca="1" si="1127">IF(AC211="","",AB214+AC212-AC213)</f>
        <v/>
      </c>
      <c r="AD214" s="128" t="str">
        <f t="shared" ref="AD214" ca="1" si="1128">IF(AD211="","",AC214+AD212-AD213)</f>
        <v/>
      </c>
      <c r="AE214" s="128" t="str">
        <f t="shared" ref="AE214" ca="1" si="1129">IF(AE211="","",AD214+AE212-AE213)</f>
        <v/>
      </c>
      <c r="AF214" s="128" t="str">
        <f t="shared" ref="AF214" ca="1" si="1130">IF(AF211="","",AE214+AF212-AF213)</f>
        <v/>
      </c>
      <c r="AG214" s="128" t="str">
        <f t="shared" ref="AG214" ca="1" si="1131">IF(AG211="","",AF214+AG212-AG213)</f>
        <v/>
      </c>
      <c r="AH214" s="128" t="str">
        <f t="shared" ref="AH214" ca="1" si="1132">IF(AH211="","",AG214+AH212-AH213)</f>
        <v/>
      </c>
      <c r="AI214" s="128" t="str">
        <f t="shared" ref="AI214" ca="1" si="1133">IF(AI211="","",AH214+AI212-AI213)</f>
        <v/>
      </c>
      <c r="AJ214" s="128" t="str">
        <f t="shared" ref="AJ214" ca="1" si="1134">IF(AJ211="","",AI214+AJ212-AJ213)</f>
        <v/>
      </c>
      <c r="AK214" s="128" t="str">
        <f t="shared" ref="AK214" ca="1" si="1135">IF(AK211="","",AJ214+AK212-AK213)</f>
        <v/>
      </c>
      <c r="AL214" s="128" t="str">
        <f t="shared" ref="AL214" ca="1" si="1136">IF(AL211="","",AK214+AL212-AL213)</f>
        <v/>
      </c>
      <c r="AM214" s="128" t="str">
        <f t="shared" ref="AM214" ca="1" si="1137">IF(AM211="","",AL214+AM212-AM213)</f>
        <v/>
      </c>
      <c r="AN214" s="128" t="str">
        <f t="shared" ref="AN214" ca="1" si="1138">IF(AN211="","",AM214+AN212-AN213)</f>
        <v/>
      </c>
      <c r="AO214" s="128" t="str">
        <f t="shared" ref="AO214" ca="1" si="1139">IF(AO211="","",AN214+AO212-AO213)</f>
        <v/>
      </c>
      <c r="AP214" s="128" t="str">
        <f t="shared" ref="AP214" ca="1" si="1140">IF(AP211="","",AO214+AP212-AP213)</f>
        <v/>
      </c>
      <c r="AQ214" s="128" t="str">
        <f t="shared" ref="AQ214" ca="1" si="1141">IF(AQ211="","",AP214+AQ212-AQ213)</f>
        <v/>
      </c>
      <c r="AR214" s="128" t="str">
        <f t="shared" ref="AR214" ca="1" si="1142">IF(AR211="","",AQ214+AR212-AR213)</f>
        <v/>
      </c>
      <c r="AS214" s="128" t="str">
        <f t="shared" ref="AS214" ca="1" si="1143">IF(AS211="","",AR214+AS212-AS213)</f>
        <v/>
      </c>
      <c r="AT214" s="128" t="str">
        <f t="shared" ref="AT214" ca="1" si="1144">IF(AT211="","",AS214+AT212-AT213)</f>
        <v/>
      </c>
      <c r="AU214" s="128" t="str">
        <f t="shared" ref="AU214" ca="1" si="1145">IF(AU211="","",AT214+AU212-AU213)</f>
        <v/>
      </c>
      <c r="AV214" s="128" t="str">
        <f t="shared" ref="AV214" ca="1" si="1146">IF(AV211="","",AU214+AV212-AV213)</f>
        <v/>
      </c>
      <c r="AW214" s="128" t="str">
        <f t="shared" ref="AW214" ca="1" si="1147">IF(AW211="","",AV214+AW212-AW213)</f>
        <v/>
      </c>
      <c r="AX214" s="104"/>
      <c r="AY214" s="104"/>
      <c r="AZ214" s="101"/>
    </row>
    <row r="215" spans="3:52" ht="12.75" hidden="1" customHeight="1" outlineLevel="1" x14ac:dyDescent="0.25">
      <c r="N215" s="99"/>
      <c r="O215" s="104"/>
      <c r="P215" s="104"/>
      <c r="Q215" s="129" t="str">
        <f>INDEX(g_lang_val,MATCH("tb_2_4_4",g_lang_key,0))</f>
        <v>Renter (FF4)</v>
      </c>
      <c r="R215" s="130"/>
      <c r="S215" s="133">
        <f ca="1">SUM(T215:BG215)</f>
        <v>0</v>
      </c>
      <c r="T215" s="128">
        <f t="shared" ref="T215" ca="1" si="1148">IF(T211="","",g_interest_FF4*(S214+(T212/2)-(T213/2)))</f>
        <v>0</v>
      </c>
      <c r="U215" s="128">
        <f t="shared" ref="U215" ca="1" si="1149">IF(U211="","",g_interest_FF4*(T214+(U212/2)-(U213/2)))</f>
        <v>0</v>
      </c>
      <c r="V215" s="128">
        <f t="shared" ref="V215" ca="1" si="1150">IF(V211="","",g_interest_FF4*(U214+(V212/2)-(V213/2)))</f>
        <v>0</v>
      </c>
      <c r="W215" s="128">
        <f t="shared" ref="W215" ca="1" si="1151">IF(W211="","",g_interest_FF4*(V214+(W212/2)-(W213/2)))</f>
        <v>0</v>
      </c>
      <c r="X215" s="128" t="str">
        <f t="shared" ref="X215" ca="1" si="1152">IF(X211="","",g_interest_FF4*(W214+(X212/2)-(X213/2)))</f>
        <v/>
      </c>
      <c r="Y215" s="128" t="str">
        <f t="shared" ref="Y215" ca="1" si="1153">IF(Y211="","",g_interest_FF4*(X214+(Y212/2)-(Y213/2)))</f>
        <v/>
      </c>
      <c r="Z215" s="128" t="str">
        <f t="shared" ref="Z215" ca="1" si="1154">IF(Z211="","",g_interest_FF4*(Y214+(Z212/2)-(Z213/2)))</f>
        <v/>
      </c>
      <c r="AA215" s="128" t="str">
        <f t="shared" ref="AA215" ca="1" si="1155">IF(AA211="","",g_interest_FF4*(Z214+(AA212/2)-(AA213/2)))</f>
        <v/>
      </c>
      <c r="AB215" s="128" t="str">
        <f t="shared" ref="AB215" ca="1" si="1156">IF(AB211="","",g_interest_FF4*(AA214+(AB212/2)-(AB213/2)))</f>
        <v/>
      </c>
      <c r="AC215" s="128" t="str">
        <f t="shared" ref="AC215" ca="1" si="1157">IF(AC211="","",g_interest_FF4*(AB214+(AC212/2)-(AC213/2)))</f>
        <v/>
      </c>
      <c r="AD215" s="128" t="str">
        <f t="shared" ref="AD215" ca="1" si="1158">IF(AD211="","",g_interest_FF4*(AC214+(AD212/2)-(AD213/2)))</f>
        <v/>
      </c>
      <c r="AE215" s="128" t="str">
        <f t="shared" ref="AE215" ca="1" si="1159">IF(AE211="","",g_interest_FF4*(AD214+(AE212/2)-(AE213/2)))</f>
        <v/>
      </c>
      <c r="AF215" s="128" t="str">
        <f t="shared" ref="AF215" ca="1" si="1160">IF(AF211="","",g_interest_FF4*(AE214+(AF212/2)-(AF213/2)))</f>
        <v/>
      </c>
      <c r="AG215" s="128" t="str">
        <f t="shared" ref="AG215" ca="1" si="1161">IF(AG211="","",g_interest_FF4*(AF214+(AG212/2)-(AG213/2)))</f>
        <v/>
      </c>
      <c r="AH215" s="128" t="str">
        <f t="shared" ref="AH215" ca="1" si="1162">IF(AH211="","",g_interest_FF4*(AG214+(AH212/2)-(AH213/2)))</f>
        <v/>
      </c>
      <c r="AI215" s="128" t="str">
        <f t="shared" ref="AI215" ca="1" si="1163">IF(AI211="","",g_interest_FF4*(AH214+(AI212/2)-(AI213/2)))</f>
        <v/>
      </c>
      <c r="AJ215" s="128" t="str">
        <f t="shared" ref="AJ215" ca="1" si="1164">IF(AJ211="","",g_interest_FF4*(AI214+(AJ212/2)-(AJ213/2)))</f>
        <v/>
      </c>
      <c r="AK215" s="128" t="str">
        <f t="shared" ref="AK215" ca="1" si="1165">IF(AK211="","",g_interest_FF4*(AJ214+(AK212/2)-(AK213/2)))</f>
        <v/>
      </c>
      <c r="AL215" s="128" t="str">
        <f t="shared" ref="AL215" ca="1" si="1166">IF(AL211="","",g_interest_FF4*(AK214+(AL212/2)-(AL213/2)))</f>
        <v/>
      </c>
      <c r="AM215" s="128" t="str">
        <f t="shared" ref="AM215" ca="1" si="1167">IF(AM211="","",g_interest_FF4*(AL214+(AM212/2)-(AM213/2)))</f>
        <v/>
      </c>
      <c r="AN215" s="128" t="str">
        <f t="shared" ref="AN215" ca="1" si="1168">IF(AN211="","",g_interest_FF4*(AM214+(AN212/2)-(AN213/2)))</f>
        <v/>
      </c>
      <c r="AO215" s="128" t="str">
        <f t="shared" ref="AO215" ca="1" si="1169">IF(AO211="","",g_interest_FF4*(AN214+(AO212/2)-(AO213/2)))</f>
        <v/>
      </c>
      <c r="AP215" s="128" t="str">
        <f t="shared" ref="AP215" ca="1" si="1170">IF(AP211="","",g_interest_FF4*(AO214+(AP212/2)-(AP213/2)))</f>
        <v/>
      </c>
      <c r="AQ215" s="128" t="str">
        <f t="shared" ref="AQ215" ca="1" si="1171">IF(AQ211="","",g_interest_FF4*(AP214+(AQ212/2)-(AQ213/2)))</f>
        <v/>
      </c>
      <c r="AR215" s="128" t="str">
        <f t="shared" ref="AR215" ca="1" si="1172">IF(AR211="","",g_interest_FF4*(AQ214+(AR212/2)-(AR213/2)))</f>
        <v/>
      </c>
      <c r="AS215" s="128" t="str">
        <f t="shared" ref="AS215" ca="1" si="1173">IF(AS211="","",g_interest_FF4*(AR214+(AS212/2)-(AS213/2)))</f>
        <v/>
      </c>
      <c r="AT215" s="128" t="str">
        <f t="shared" ref="AT215" ca="1" si="1174">IF(AT211="","",g_interest_FF4*(AS214+(AT212/2)-(AT213/2)))</f>
        <v/>
      </c>
      <c r="AU215" s="128" t="str">
        <f t="shared" ref="AU215" ca="1" si="1175">IF(AU211="","",g_interest_FF4*(AT214+(AU212/2)-(AU213/2)))</f>
        <v/>
      </c>
      <c r="AV215" s="128" t="str">
        <f t="shared" ref="AV215" ca="1" si="1176">IF(AV211="","",g_interest_FF4*(AU214+(AV212/2)-(AV213/2)))</f>
        <v/>
      </c>
      <c r="AW215" s="128" t="str">
        <f t="shared" ref="AW215" ca="1" si="1177">IF(AW211="","",g_interest_FF4*(AV214+(AW212/2)-(AW213/2)))</f>
        <v/>
      </c>
      <c r="AX215" s="104"/>
      <c r="AY215" s="104"/>
      <c r="AZ215" s="101"/>
    </row>
    <row r="216" spans="3:52" ht="12.75" hidden="1" customHeight="1" outlineLevel="1" x14ac:dyDescent="0.25">
      <c r="N216" s="99"/>
      <c r="O216" s="104"/>
      <c r="P216" s="104"/>
      <c r="Q216" s="132" t="str">
        <f>INDEX(g_assets_sc_1,16)</f>
        <v/>
      </c>
      <c r="R216" s="132"/>
      <c r="S216" s="127"/>
      <c r="T216" s="139">
        <f ca="1">T$150</f>
        <v>2025</v>
      </c>
      <c r="U216" s="139">
        <f t="shared" ref="U216:AW216" ca="1" si="1178">U$150</f>
        <v>2026</v>
      </c>
      <c r="V216" s="139">
        <f t="shared" ca="1" si="1178"/>
        <v>2027</v>
      </c>
      <c r="W216" s="139">
        <f t="shared" ca="1" si="1178"/>
        <v>2028</v>
      </c>
      <c r="X216" s="139" t="str">
        <f t="shared" ca="1" si="1178"/>
        <v/>
      </c>
      <c r="Y216" s="139" t="str">
        <f t="shared" ca="1" si="1178"/>
        <v/>
      </c>
      <c r="Z216" s="139" t="str">
        <f t="shared" ca="1" si="1178"/>
        <v/>
      </c>
      <c r="AA216" s="139" t="str">
        <f t="shared" ca="1" si="1178"/>
        <v/>
      </c>
      <c r="AB216" s="139" t="str">
        <f t="shared" ca="1" si="1178"/>
        <v/>
      </c>
      <c r="AC216" s="139" t="str">
        <f t="shared" ca="1" si="1178"/>
        <v/>
      </c>
      <c r="AD216" s="139" t="str">
        <f t="shared" ca="1" si="1178"/>
        <v/>
      </c>
      <c r="AE216" s="139" t="str">
        <f t="shared" ca="1" si="1178"/>
        <v/>
      </c>
      <c r="AF216" s="139" t="str">
        <f t="shared" ca="1" si="1178"/>
        <v/>
      </c>
      <c r="AG216" s="139" t="str">
        <f t="shared" ca="1" si="1178"/>
        <v/>
      </c>
      <c r="AH216" s="139" t="str">
        <f t="shared" ca="1" si="1178"/>
        <v/>
      </c>
      <c r="AI216" s="139" t="str">
        <f t="shared" ca="1" si="1178"/>
        <v/>
      </c>
      <c r="AJ216" s="139" t="str">
        <f t="shared" ca="1" si="1178"/>
        <v/>
      </c>
      <c r="AK216" s="139" t="str">
        <f t="shared" ca="1" si="1178"/>
        <v/>
      </c>
      <c r="AL216" s="139" t="str">
        <f t="shared" ca="1" si="1178"/>
        <v/>
      </c>
      <c r="AM216" s="139" t="str">
        <f t="shared" ca="1" si="1178"/>
        <v/>
      </c>
      <c r="AN216" s="139" t="str">
        <f t="shared" ca="1" si="1178"/>
        <v/>
      </c>
      <c r="AO216" s="139" t="str">
        <f t="shared" ca="1" si="1178"/>
        <v/>
      </c>
      <c r="AP216" s="139" t="str">
        <f t="shared" ca="1" si="1178"/>
        <v/>
      </c>
      <c r="AQ216" s="139" t="str">
        <f t="shared" ca="1" si="1178"/>
        <v/>
      </c>
      <c r="AR216" s="139" t="str">
        <f t="shared" ca="1" si="1178"/>
        <v/>
      </c>
      <c r="AS216" s="139" t="str">
        <f t="shared" ca="1" si="1178"/>
        <v/>
      </c>
      <c r="AT216" s="139" t="str">
        <f t="shared" ca="1" si="1178"/>
        <v/>
      </c>
      <c r="AU216" s="139" t="str">
        <f t="shared" ca="1" si="1178"/>
        <v/>
      </c>
      <c r="AV216" s="139" t="str">
        <f t="shared" ca="1" si="1178"/>
        <v/>
      </c>
      <c r="AW216" s="139" t="str">
        <f t="shared" ca="1" si="1178"/>
        <v/>
      </c>
      <c r="AX216" s="104"/>
      <c r="AY216" s="104"/>
      <c r="AZ216" s="101"/>
    </row>
    <row r="217" spans="3:52" ht="12.75" hidden="1" customHeight="1" outlineLevel="1" x14ac:dyDescent="0.25">
      <c r="C217" s="140">
        <f>INDEX(g_sc_1_assets_dates,G217)</f>
        <v>0</v>
      </c>
      <c r="G217" s="141">
        <v>14</v>
      </c>
      <c r="N217" s="99"/>
      <c r="O217" s="104"/>
      <c r="P217" s="104"/>
      <c r="Q217" s="129" t="str">
        <f>INDEX(g_lang_val,MATCH("tb_2_4_1",g_lang_key,0))</f>
        <v>Køb af anlægsaktiver</v>
      </c>
      <c r="R217" s="130"/>
      <c r="S217" s="133">
        <f ca="1">SUM(T217:BG217)</f>
        <v>0</v>
      </c>
      <c r="T217" s="128">
        <f ca="1">IF(T216="","",SUMPRODUCT(--(Leverancer!$C$28:$C$88=($G217+2)),Leverancer!D$28:D$88)/1000)</f>
        <v>0</v>
      </c>
      <c r="U217" s="128">
        <f ca="1">IF(U216="","",SUMPRODUCT(--(Leverancer!$C$28:$C$88=($G217+2)),Leverancer!E$28:E$88)/1000)</f>
        <v>0</v>
      </c>
      <c r="V217" s="128">
        <f ca="1">IF(V216="","",SUMPRODUCT(--(Leverancer!$C$28:$C$88=($G217+2)),Leverancer!F$28:F$88)/1000)</f>
        <v>0</v>
      </c>
      <c r="W217" s="128">
        <f ca="1">IF(W216="","",SUMPRODUCT(--(Leverancer!$C$28:$C$88=($G217+2)),Leverancer!G$28:G$88)/1000)</f>
        <v>0</v>
      </c>
      <c r="X217" s="128" t="str">
        <f ca="1">IF(X216="","",SUMPRODUCT(--(Leverancer!$C$28:$C$88=($G217+2)),Leverancer!H$28:H$88)/1000)</f>
        <v/>
      </c>
      <c r="Y217" s="128" t="str">
        <f ca="1">IF(Y216="","",SUMPRODUCT(--(Leverancer!$C$28:$C$88=($G217+2)),Leverancer!I$28:I$88)/1000)</f>
        <v/>
      </c>
      <c r="Z217" s="128" t="str">
        <f ca="1">IF(Z216="","",SUMPRODUCT(--(Leverancer!$C$28:$C$88=($G217+2)),Leverancer!J$28:J$88)/1000)</f>
        <v/>
      </c>
      <c r="AA217" s="128" t="str">
        <f ca="1">IF(AA216="","",SUMPRODUCT(--(Leverancer!$C$28:$C$88=($G217+2)),Leverancer!K$28:K$88)/1000)</f>
        <v/>
      </c>
      <c r="AB217" s="128" t="str">
        <f ca="1">IF(AB216="","",SUMPRODUCT(--(Leverancer!$C$28:$C$88=($G217+2)),Leverancer!L$28:L$88)/1000)</f>
        <v/>
      </c>
      <c r="AC217" s="128" t="str">
        <f ca="1">IF(AC216="","",SUMPRODUCT(--(Leverancer!$C$28:$C$88=($G217+2)),Leverancer!M$28:M$88)/1000)</f>
        <v/>
      </c>
      <c r="AD217" s="128" t="str">
        <f ca="1">IF(AD216="","",SUMPRODUCT(--(Leverancer!$C$28:$C$88=($G217+2)),Leverancer!N$28:N$88)/1000)</f>
        <v/>
      </c>
      <c r="AE217" s="128" t="str">
        <f ca="1">IF(AE216="","",SUMPRODUCT(--(Leverancer!$C$28:$C$88=($G217+2)),Leverancer!O$28:O$88)/1000)</f>
        <v/>
      </c>
      <c r="AF217" s="128" t="str">
        <f ca="1">IF(AF216="","",SUMPRODUCT(--(Leverancer!$C$28:$C$88=($G217+2)),Leverancer!P$28:P$88)/1000)</f>
        <v/>
      </c>
      <c r="AG217" s="128" t="str">
        <f ca="1">IF(AG216="","",SUMPRODUCT(--(Leverancer!$C$28:$C$88=($G217+2)),Leverancer!Q$28:Q$88)/1000)</f>
        <v/>
      </c>
      <c r="AH217" s="128" t="str">
        <f ca="1">IF(AH216="","",SUMPRODUCT(--(Leverancer!$C$28:$C$88=($G217+2)),Leverancer!R$28:R$88)/1000)</f>
        <v/>
      </c>
      <c r="AI217" s="128" t="str">
        <f ca="1">IF(AI216="","",SUMPRODUCT(--(Leverancer!$C$28:$C$88=($G217+2)),Leverancer!S$28:S$88)/1000)</f>
        <v/>
      </c>
      <c r="AJ217" s="128" t="str">
        <f ca="1">IF(AJ216="","",SUMPRODUCT(--(Leverancer!$C$28:$C$88=($G217+2)),Leverancer!T$28:T$88)/1000)</f>
        <v/>
      </c>
      <c r="AK217" s="128" t="str">
        <f ca="1">IF(AK216="","",SUMPRODUCT(--(Leverancer!$C$28:$C$88=($G217+2)),Leverancer!U$28:U$88)/1000)</f>
        <v/>
      </c>
      <c r="AL217" s="128" t="str">
        <f ca="1">IF(AL216="","",SUMPRODUCT(--(Leverancer!$C$28:$C$88=($G217+2)),Leverancer!V$28:V$88)/1000)</f>
        <v/>
      </c>
      <c r="AM217" s="128" t="str">
        <f ca="1">IF(AM216="","",SUMPRODUCT(--(Leverancer!$C$28:$C$88=($G217+2)),Leverancer!W$28:W$88)/1000)</f>
        <v/>
      </c>
      <c r="AN217" s="128" t="str">
        <f ca="1">IF(AN216="","",SUMPRODUCT(--(Leverancer!$C$28:$C$88=($G217+2)),Leverancer!X$28:X$88)/1000)</f>
        <v/>
      </c>
      <c r="AO217" s="128" t="str">
        <f ca="1">IF(AO216="","",SUMPRODUCT(--(Leverancer!$C$28:$C$88=($G217+2)),Leverancer!Y$28:Y$88)/1000)</f>
        <v/>
      </c>
      <c r="AP217" s="128" t="str">
        <f ca="1">IF(AP216="","",SUMPRODUCT(--(Leverancer!$C$28:$C$88=($G217+2)),Leverancer!Z$28:Z$88)/1000)</f>
        <v/>
      </c>
      <c r="AQ217" s="128" t="str">
        <f ca="1">IF(AQ216="","",SUMPRODUCT(--(Leverancer!$C$28:$C$88=($G217+2)),Leverancer!AA$28:AA$88)/1000)</f>
        <v/>
      </c>
      <c r="AR217" s="128" t="str">
        <f ca="1">IF(AR216="","",SUMPRODUCT(--(Leverancer!$C$28:$C$88=($G217+2)),Leverancer!AB$28:AB$88)/1000)</f>
        <v/>
      </c>
      <c r="AS217" s="128" t="str">
        <f ca="1">IF(AS216="","",SUMPRODUCT(--(Leverancer!$C$28:$C$88=($G217+2)),Leverancer!AC$28:AC$88)/1000)</f>
        <v/>
      </c>
      <c r="AT217" s="128" t="str">
        <f ca="1">IF(AT216="","",SUMPRODUCT(--(Leverancer!$C$28:$C$88=($G217+2)),Leverancer!AD$28:AD$88)/1000)</f>
        <v/>
      </c>
      <c r="AU217" s="128" t="str">
        <f ca="1">IF(AU216="","",SUMPRODUCT(--(Leverancer!$C$28:$C$88=($G217+2)),Leverancer!AE$28:AE$88)/1000)</f>
        <v/>
      </c>
      <c r="AV217" s="128" t="str">
        <f ca="1">IF(AV216="","",SUMPRODUCT(--(Leverancer!$C$28:$C$88=($G217+2)),Leverancer!AF$28:AF$88)/1000)</f>
        <v/>
      </c>
      <c r="AW217" s="128" t="str">
        <f ca="1">IF(AW216="","",SUMPRODUCT(--(Leverancer!$C$28:$C$88=($G217+2)),Leverancer!AG$28:AG$88)/1000)</f>
        <v/>
      </c>
      <c r="AX217" s="104"/>
      <c r="AY217" s="104"/>
      <c r="AZ217" s="101"/>
    </row>
    <row r="218" spans="3:52" ht="12.75" hidden="1" customHeight="1" outlineLevel="1" x14ac:dyDescent="0.25">
      <c r="C218" s="142">
        <f>IFERROR(YEAR(C217),"")</f>
        <v>1900</v>
      </c>
      <c r="D218" s="142">
        <f>IFERROR(MONTH(C217),"")</f>
        <v>1</v>
      </c>
      <c r="E218" s="142">
        <f>INDEX(g_sc_1_assets_years,G217)</f>
        <v>0</v>
      </c>
      <c r="N218" s="99"/>
      <c r="O218" s="104"/>
      <c r="P218" s="104"/>
      <c r="Q218" s="129" t="str">
        <f>INDEX(g_lang_val,MATCH("tb_2_4_2",g_lang_key,0))</f>
        <v>Afskrivninger</v>
      </c>
      <c r="R218" s="130"/>
      <c r="S218" s="133">
        <f ca="1">SUM(T218:BG218)</f>
        <v>0</v>
      </c>
      <c r="T218" s="128">
        <f t="shared" ref="T218" ca="1" si="1179">IF(T216="","",IF(T216&lt;$C218,0,IF(T216=$C218,T217/$C219*$E219+S219/$C219*$E219,IF(AND(T216&gt;$C218,T216&lt;ROUNDDOWN(($C218+($D218+$C219-1)/12),0)),(T217/2+S219)/($C219-$E219-12*(T216-$C218-1))*12,IF(AND($D219&lt;0,T216=ROUNDDOWN(($C218+($D218+$C219-1)/12),0)),S219+T217,IF(T216=ROUNDDOWN(($C218+($D218+$C219-1)/12),0),(T217+S219)/$C219*($D219+(T216-$C218-1)*12+$E219),IF(T216&gt;ROUNDDOWN(($C218+($D218+$C219)/12),0),0,0)))))))</f>
        <v>0</v>
      </c>
      <c r="U218" s="128">
        <f t="shared" ref="U218" ca="1" si="1180">IF(U216="","",IF(U216&lt;$C218,0,IF(U216=$C218,U217/$C219*$E219+T219/$C219*$E219,IF(AND(U216&gt;$C218,U216&lt;ROUNDDOWN(($C218+($D218+$C219-1)/12),0)),(U217/2+T219)/($C219-$E219-12*(U216-$C218-1))*12,IF(AND($D219&lt;0,U216=ROUNDDOWN(($C218+($D218+$C219-1)/12),0)),T219+U217,IF(U216=ROUNDDOWN(($C218+($D218+$C219-1)/12),0),(U217+T219)/$C219*($D219+(U216-$C218-1)*12+$E219),IF(U216&gt;ROUNDDOWN(($C218+($D218+$C219)/12),0),0,0)))))))</f>
        <v>0</v>
      </c>
      <c r="V218" s="128">
        <f t="shared" ref="V218" ca="1" si="1181">IF(V216="","",IF(V216&lt;$C218,0,IF(V216=$C218,V217/$C219*$E219+U219/$C219*$E219,IF(AND(V216&gt;$C218,V216&lt;ROUNDDOWN(($C218+($D218+$C219-1)/12),0)),(V217/2+U219)/($C219-$E219-12*(V216-$C218-1))*12,IF(AND($D219&lt;0,V216=ROUNDDOWN(($C218+($D218+$C219-1)/12),0)),U219+V217,IF(V216=ROUNDDOWN(($C218+($D218+$C219-1)/12),0),(V217+U219)/$C219*($D219+(V216-$C218-1)*12+$E219),IF(V216&gt;ROUNDDOWN(($C218+($D218+$C219)/12),0),0,0)))))))</f>
        <v>0</v>
      </c>
      <c r="W218" s="128">
        <f t="shared" ref="W218" ca="1" si="1182">IF(W216="","",IF(W216&lt;$C218,0,IF(W216=$C218,W217/$C219*$E219+V219/$C219*$E219,IF(AND(W216&gt;$C218,W216&lt;ROUNDDOWN(($C218+($D218+$C219-1)/12),0)),(W217/2+V219)/($C219-$E219-12*(W216-$C218-1))*12,IF(AND($D219&lt;0,W216=ROUNDDOWN(($C218+($D218+$C219-1)/12),0)),V219+W217,IF(W216=ROUNDDOWN(($C218+($D218+$C219-1)/12),0),(W217+V219)/$C219*($D219+(W216-$C218-1)*12+$E219),IF(W216&gt;ROUNDDOWN(($C218+($D218+$C219)/12),0),0,0)))))))</f>
        <v>0</v>
      </c>
      <c r="X218" s="128" t="str">
        <f t="shared" ref="X218" ca="1" si="1183">IF(X216="","",IF(X216&lt;$C218,0,IF(X216=$C218,X217/$C219*$E219+W219/$C219*$E219,IF(AND(X216&gt;$C218,X216&lt;ROUNDDOWN(($C218+($D218+$C219-1)/12),0)),(X217/2+W219)/($C219-$E219-12*(X216-$C218-1))*12,IF(AND($D219&lt;0,X216=ROUNDDOWN(($C218+($D218+$C219-1)/12),0)),W219+X217,IF(X216=ROUNDDOWN(($C218+($D218+$C219-1)/12),0),(X217+W219)/$C219*($D219+(X216-$C218-1)*12+$E219),IF(X216&gt;ROUNDDOWN(($C218+($D218+$C219)/12),0),0,0)))))))</f>
        <v/>
      </c>
      <c r="Y218" s="128" t="str">
        <f t="shared" ref="Y218" ca="1" si="1184">IF(Y216="","",IF(Y216&lt;$C218,0,IF(Y216=$C218,Y217/$C219*$E219+X219/$C219*$E219,IF(AND(Y216&gt;$C218,Y216&lt;ROUNDDOWN(($C218+($D218+$C219-1)/12),0)),(Y217/2+X219)/($C219-$E219-12*(Y216-$C218-1))*12,IF(AND($D219&lt;0,Y216=ROUNDDOWN(($C218+($D218+$C219-1)/12),0)),X219+Y217,IF(Y216=ROUNDDOWN(($C218+($D218+$C219-1)/12),0),(Y217+X219)/$C219*($D219+(Y216-$C218-1)*12+$E219),IF(Y216&gt;ROUNDDOWN(($C218+($D218+$C219)/12),0),0,0)))))))</f>
        <v/>
      </c>
      <c r="Z218" s="128" t="str">
        <f ca="1">IF(Z216="","",IF(Z216&lt;$C218,0,IF(Z216=$C218,Z217/$C219*$E219+Y219/$C219*$E219,IF(AND(Z216&gt;$C218,Z216&lt;ROUNDDOWN(($C218+($D218+$C219-1)/12),0)),(Z217/2+Y219)/($C219-$E219-12*(Z216-$C218-1))*12,IF(AND($D219&lt;0,Z216=ROUNDDOWN(($C218+($D218+$C219-1)/12),0)),Y219+Z217,IF(Z216=ROUNDDOWN(($C218+($D218+$C219-1)/12),0),(Z217+Y219)/$C219*($D219+(Z216-$C218-1)*12+$E219),IF(Z216&gt;ROUNDDOWN(($C218+($D218+$C219)/12),0),0,0)))))))</f>
        <v/>
      </c>
      <c r="AA218" s="128" t="str">
        <f t="shared" ref="AA218" ca="1" si="1185">IF(AA216="","",IF(AA216&lt;$C218,0,IF(AA216=$C218,AA217/$C219*$E219+Z219/$C219*$E219,IF(AND(AA216&gt;$C218,AA216&lt;ROUNDDOWN(($C218+($D218+$C219-1)/12),0)),(AA217/2+Z219)/($C219-$E219-12*(AA216-$C218-1))*12,IF(AND($D219&lt;0,AA216=ROUNDDOWN(($C218+($D218+$C219-1)/12),0)),Z219+AA217,IF(AA216=ROUNDDOWN(($C218+($D218+$C219-1)/12),0),(AA217+Z219)/$C219*($D219+(AA216-$C218-1)*12+$E219),IF(AA216&gt;ROUNDDOWN(($C218+($D218+$C219)/12),0),0,0)))))))</f>
        <v/>
      </c>
      <c r="AB218" s="128" t="str">
        <f t="shared" ref="AB218" ca="1" si="1186">IF(AB216="","",IF(AB216&lt;$C218,0,IF(AB216=$C218,AB217/$C219*$E219+AA219/$C219*$E219,IF(AND(AB216&gt;$C218,AB216&lt;ROUNDDOWN(($C218+($D218+$C219-1)/12),0)),(AB217/2+AA219)/($C219-$E219-12*(AB216-$C218-1))*12,IF(AND($D219&lt;0,AB216=ROUNDDOWN(($C218+($D218+$C219-1)/12),0)),AA219+AB217,IF(AB216=ROUNDDOWN(($C218+($D218+$C219-1)/12),0),(AB217+AA219)/$C219*($D219+(AB216-$C218-1)*12+$E219),IF(AB216&gt;ROUNDDOWN(($C218+($D218+$C219)/12),0),0,0)))))))</f>
        <v/>
      </c>
      <c r="AC218" s="128" t="str">
        <f t="shared" ref="AC218" ca="1" si="1187">IF(AC216="","",IF(AC216&lt;$C218,0,IF(AC216=$C218,AC217/$C219*$E219+AB219/$C219*$E219,IF(AND(AC216&gt;$C218,AC216&lt;ROUNDDOWN(($C218+($D218+$C219-1)/12),0)),(AC217/2+AB219)/($C219-$E219-12*(AC216-$C218-1))*12,IF(AND($D219&lt;0,AC216=ROUNDDOWN(($C218+($D218+$C219-1)/12),0)),AB219+AC217,IF(AC216=ROUNDDOWN(($C218+($D218+$C219-1)/12),0),(AC217+AB219)/$C219*($D219+(AC216-$C218-1)*12+$E219),IF(AC216&gt;ROUNDDOWN(($C218+($D218+$C219)/12),0),0,0)))))))</f>
        <v/>
      </c>
      <c r="AD218" s="128" t="str">
        <f t="shared" ref="AD218" ca="1" si="1188">IF(AD216="","",IF(AD216&lt;$C218,0,IF(AD216=$C218,AD217/$C219*$E219+AC219/$C219*$E219,IF(AND(AD216&gt;$C218,AD216&lt;ROUNDDOWN(($C218+($D218+$C219-1)/12),0)),(AD217/2+AC219)/($C219-$E219-12*(AD216-$C218-1))*12,IF(AND($D219&lt;0,AD216=ROUNDDOWN(($C218+($D218+$C219-1)/12),0)),AC219+AD217,IF(AD216=ROUNDDOWN(($C218+($D218+$C219-1)/12),0),(AD217+AC219)/$C219*($D219+(AD216-$C218-1)*12+$E219),IF(AD216&gt;ROUNDDOWN(($C218+($D218+$C219)/12),0),0,0)))))))</f>
        <v/>
      </c>
      <c r="AE218" s="128" t="str">
        <f t="shared" ref="AE218" ca="1" si="1189">IF(AE216="","",IF(AE216&lt;$C218,0,IF(AE216=$C218,AE217/$C219*$E219+AD219/$C219*$E219,IF(AND(AE216&gt;$C218,AE216&lt;ROUNDDOWN(($C218+($D218+$C219-1)/12),0)),(AE217/2+AD219)/($C219-$E219-12*(AE216-$C218-1))*12,IF(AND($D219&lt;0,AE216=ROUNDDOWN(($C218+($D218+$C219-1)/12),0)),AD219+AE217,IF(AE216=ROUNDDOWN(($C218+($D218+$C219-1)/12),0),(AE217+AD219)/$C219*($D219+(AE216-$C218-1)*12+$E219),IF(AE216&gt;ROUNDDOWN(($C218+($D218+$C219)/12),0),0,0)))))))</f>
        <v/>
      </c>
      <c r="AF218" s="128" t="str">
        <f t="shared" ref="AF218" ca="1" si="1190">IF(AF216="","",IF(AF216&lt;$C218,0,IF(AF216=$C218,AF217/$C219*$E219+AE219/$C219*$E219,IF(AND(AF216&gt;$C218,AF216&lt;ROUNDDOWN(($C218+($D218+$C219-1)/12),0)),(AF217/2+AE219)/($C219-$E219-12*(AF216-$C218-1))*12,IF(AND($D219&lt;0,AF216=ROUNDDOWN(($C218+($D218+$C219-1)/12),0)),AE219+AF217,IF(AF216=ROUNDDOWN(($C218+($D218+$C219-1)/12),0),(AF217+AE219)/$C219*($D219+(AF216-$C218-1)*12+$E219),IF(AF216&gt;ROUNDDOWN(($C218+($D218+$C219)/12),0),0,0)))))))</f>
        <v/>
      </c>
      <c r="AG218" s="128" t="str">
        <f t="shared" ref="AG218" ca="1" si="1191">IF(AG216="","",IF(AG216&lt;$C218,0,IF(AG216=$C218,AG217/$C219*$E219+AF219/$C219*$E219,IF(AND(AG216&gt;$C218,AG216&lt;ROUNDDOWN(($C218+($D218+$C219-1)/12),0)),(AG217/2+AF219)/($C219-$E219-12*(AG216-$C218-1))*12,IF(AND($D219&lt;0,AG216=ROUNDDOWN(($C218+($D218+$C219-1)/12),0)),AF219+AG217,IF(AG216=ROUNDDOWN(($C218+($D218+$C219-1)/12),0),(AG217+AF219)/$C219*($D219+(AG216-$C218-1)*12+$E219),IF(AG216&gt;ROUNDDOWN(($C218+($D218+$C219)/12),0),0,0)))))))</f>
        <v/>
      </c>
      <c r="AH218" s="128" t="str">
        <f t="shared" ref="AH218" ca="1" si="1192">IF(AH216="","",IF(AH216&lt;$C218,0,IF(AH216=$C218,AH217/$C219*$E219+AG219/$C219*$E219,IF(AND(AH216&gt;$C218,AH216&lt;ROUNDDOWN(($C218+($D218+$C219-1)/12),0)),(AH217/2+AG219)/($C219-$E219-12*(AH216-$C218-1))*12,IF(AND($D219&lt;0,AH216=ROUNDDOWN(($C218+($D218+$C219-1)/12),0)),AG219+AH217,IF(AH216=ROUNDDOWN(($C218+($D218+$C219-1)/12),0),(AH217+AG219)/$C219*($D219+(AH216-$C218-1)*12+$E219),IF(AH216&gt;ROUNDDOWN(($C218+($D218+$C219)/12),0),0,0)))))))</f>
        <v/>
      </c>
      <c r="AI218" s="128" t="str">
        <f t="shared" ref="AI218" ca="1" si="1193">IF(AI216="","",IF(AI216&lt;$C218,0,IF(AI216=$C218,AI217/$C219*$E219+AH219/$C219*$E219,IF(AND(AI216&gt;$C218,AI216&lt;ROUNDDOWN(($C218+($D218+$C219-1)/12),0)),(AI217/2+AH219)/($C219-$E219-12*(AI216-$C218-1))*12,IF(AND($D219&lt;0,AI216=ROUNDDOWN(($C218+($D218+$C219-1)/12),0)),AH219+AI217,IF(AI216=ROUNDDOWN(($C218+($D218+$C219-1)/12),0),(AI217+AH219)/$C219*($D219+(AI216-$C218-1)*12+$E219),IF(AI216&gt;ROUNDDOWN(($C218+($D218+$C219)/12),0),0,0)))))))</f>
        <v/>
      </c>
      <c r="AJ218" s="128" t="str">
        <f t="shared" ref="AJ218" ca="1" si="1194">IF(AJ216="","",IF(AJ216&lt;$C218,0,IF(AJ216=$C218,AJ217/$C219*$E219+AI219/$C219*$E219,IF(AND(AJ216&gt;$C218,AJ216&lt;ROUNDDOWN(($C218+($D218+$C219-1)/12),0)),(AJ217/2+AI219)/($C219-$E219-12*(AJ216-$C218-1))*12,IF(AND($D219&lt;0,AJ216=ROUNDDOWN(($C218+($D218+$C219-1)/12),0)),AI219+AJ217,IF(AJ216=ROUNDDOWN(($C218+($D218+$C219-1)/12),0),(AJ217+AI219)/$C219*($D219+(AJ216-$C218-1)*12+$E219),IF(AJ216&gt;ROUNDDOWN(($C218+($D218+$C219)/12),0),0,0)))))))</f>
        <v/>
      </c>
      <c r="AK218" s="128" t="str">
        <f t="shared" ref="AK218" ca="1" si="1195">IF(AK216="","",IF(AK216&lt;$C218,0,IF(AK216=$C218,AK217/$C219*$E219+AJ219/$C219*$E219,IF(AND(AK216&gt;$C218,AK216&lt;ROUNDDOWN(($C218+($D218+$C219-1)/12),0)),(AK217/2+AJ219)/($C219-$E219-12*(AK216-$C218-1))*12,IF(AND($D219&lt;0,AK216=ROUNDDOWN(($C218+($D218+$C219-1)/12),0)),AJ219+AK217,IF(AK216=ROUNDDOWN(($C218+($D218+$C219-1)/12),0),(AK217+AJ219)/$C219*($D219+(AK216-$C218-1)*12+$E219),IF(AK216&gt;ROUNDDOWN(($C218+($D218+$C219)/12),0),0,0)))))))</f>
        <v/>
      </c>
      <c r="AL218" s="128" t="str">
        <f t="shared" ref="AL218" ca="1" si="1196">IF(AL216="","",IF(AL216&lt;$C218,0,IF(AL216=$C218,AL217/$C219*$E219+AK219/$C219*$E219,IF(AND(AL216&gt;$C218,AL216&lt;ROUNDDOWN(($C218+($D218+$C219-1)/12),0)),(AL217/2+AK219)/($C219-$E219-12*(AL216-$C218-1))*12,IF(AND($D219&lt;0,AL216=ROUNDDOWN(($C218+($D218+$C219-1)/12),0)),AK219+AL217,IF(AL216=ROUNDDOWN(($C218+($D218+$C219-1)/12),0),(AL217+AK219)/$C219*($D219+(AL216-$C218-1)*12+$E219),IF(AL216&gt;ROUNDDOWN(($C218+($D218+$C219)/12),0),0,0)))))))</f>
        <v/>
      </c>
      <c r="AM218" s="128" t="str">
        <f t="shared" ref="AM218" ca="1" si="1197">IF(AM216="","",IF(AM216&lt;$C218,0,IF(AM216=$C218,AM217/$C219*$E219+AL219/$C219*$E219,IF(AND(AM216&gt;$C218,AM216&lt;ROUNDDOWN(($C218+($D218+$C219-1)/12),0)),(AM217/2+AL219)/($C219-$E219-12*(AM216-$C218-1))*12,IF(AND($D219&lt;0,AM216=ROUNDDOWN(($C218+($D218+$C219-1)/12),0)),AL219+AM217,IF(AM216=ROUNDDOWN(($C218+($D218+$C219-1)/12),0),(AM217+AL219)/$C219*($D219+(AM216-$C218-1)*12+$E219),IF(AM216&gt;ROUNDDOWN(($C218+($D218+$C219)/12),0),0,0)))))))</f>
        <v/>
      </c>
      <c r="AN218" s="128" t="str">
        <f t="shared" ref="AN218" ca="1" si="1198">IF(AN216="","",IF(AN216&lt;$C218,0,IF(AN216=$C218,AN217/$C219*$E219+AM219/$C219*$E219,IF(AND(AN216&gt;$C218,AN216&lt;ROUNDDOWN(($C218+($D218+$C219-1)/12),0)),(AN217/2+AM219)/($C219-$E219-12*(AN216-$C218-1))*12,IF(AND($D219&lt;0,AN216=ROUNDDOWN(($C218+($D218+$C219-1)/12),0)),AM219+AN217,IF(AN216=ROUNDDOWN(($C218+($D218+$C219-1)/12),0),(AN217+AM219)/$C219*($D219+(AN216-$C218-1)*12+$E219),IF(AN216&gt;ROUNDDOWN(($C218+($D218+$C219)/12),0),0,0)))))))</f>
        <v/>
      </c>
      <c r="AO218" s="128" t="str">
        <f t="shared" ref="AO218" ca="1" si="1199">IF(AO216="","",IF(AO216&lt;$C218,0,IF(AO216=$C218,AO217/$C219*$E219+AN219/$C219*$E219,IF(AND(AO216&gt;$C218,AO216&lt;ROUNDDOWN(($C218+($D218+$C219-1)/12),0)),(AO217/2+AN219)/($C219-$E219-12*(AO216-$C218-1))*12,IF(AND($D219&lt;0,AO216=ROUNDDOWN(($C218+($D218+$C219-1)/12),0)),AN219+AO217,IF(AO216=ROUNDDOWN(($C218+($D218+$C219-1)/12),0),(AO217+AN219)/$C219*($D219+(AO216-$C218-1)*12+$E219),IF(AO216&gt;ROUNDDOWN(($C218+($D218+$C219)/12),0),0,0)))))))</f>
        <v/>
      </c>
      <c r="AP218" s="128" t="str">
        <f t="shared" ref="AP218" ca="1" si="1200">IF(AP216="","",IF(AP216&lt;$C218,0,IF(AP216=$C218,AP217/$C219*$E219+AO219/$C219*$E219,IF(AND(AP216&gt;$C218,AP216&lt;ROUNDDOWN(($C218+($D218+$C219-1)/12),0)),(AP217/2+AO219)/($C219-$E219-12*(AP216-$C218-1))*12,IF(AND($D219&lt;0,AP216=ROUNDDOWN(($C218+($D218+$C219-1)/12),0)),AO219+AP217,IF(AP216=ROUNDDOWN(($C218+($D218+$C219-1)/12),0),(AP217+AO219)/$C219*($D219+(AP216-$C218-1)*12+$E219),IF(AP216&gt;ROUNDDOWN(($C218+($D218+$C219)/12),0),0,0)))))))</f>
        <v/>
      </c>
      <c r="AQ218" s="128" t="str">
        <f t="shared" ref="AQ218" ca="1" si="1201">IF(AQ216="","",IF(AQ216&lt;$C218,0,IF(AQ216=$C218,AQ217/$C219*$E219+AP219/$C219*$E219,IF(AND(AQ216&gt;$C218,AQ216&lt;ROUNDDOWN(($C218+($D218+$C219-1)/12),0)),(AQ217/2+AP219)/($C219-$E219-12*(AQ216-$C218-1))*12,IF(AND($D219&lt;0,AQ216=ROUNDDOWN(($C218+($D218+$C219-1)/12),0)),AP219+AQ217,IF(AQ216=ROUNDDOWN(($C218+($D218+$C219-1)/12),0),(AQ217+AP219)/$C219*($D219+(AQ216-$C218-1)*12+$E219),IF(AQ216&gt;ROUNDDOWN(($C218+($D218+$C219)/12),0),0,0)))))))</f>
        <v/>
      </c>
      <c r="AR218" s="128" t="str">
        <f t="shared" ref="AR218" ca="1" si="1202">IF(AR216="","",IF(AR216&lt;$C218,0,IF(AR216=$C218,AR217/$C219*$E219+AQ219/$C219*$E219,IF(AND(AR216&gt;$C218,AR216&lt;ROUNDDOWN(($C218+($D218+$C219-1)/12),0)),(AR217/2+AQ219)/($C219-$E219-12*(AR216-$C218-1))*12,IF(AND($D219&lt;0,AR216=ROUNDDOWN(($C218+($D218+$C219-1)/12),0)),AQ219+AR217,IF(AR216=ROUNDDOWN(($C218+($D218+$C219-1)/12),0),(AR217+AQ219)/$C219*($D219+(AR216-$C218-1)*12+$E219),IF(AR216&gt;ROUNDDOWN(($C218+($D218+$C219)/12),0),0,0)))))))</f>
        <v/>
      </c>
      <c r="AS218" s="128" t="str">
        <f t="shared" ref="AS218" ca="1" si="1203">IF(AS216="","",IF(AS216&lt;$C218,0,IF(AS216=$C218,AS217/$C219*$E219+AR219/$C219*$E219,IF(AND(AS216&gt;$C218,AS216&lt;ROUNDDOWN(($C218+($D218+$C219-1)/12),0)),(AS217/2+AR219)/($C219-$E219-12*(AS216-$C218-1))*12,IF(AND($D219&lt;0,AS216=ROUNDDOWN(($C218+($D218+$C219-1)/12),0)),AR219+AS217,IF(AS216=ROUNDDOWN(($C218+($D218+$C219-1)/12),0),(AS217+AR219)/$C219*($D219+(AS216-$C218-1)*12+$E219),IF(AS216&gt;ROUNDDOWN(($C218+($D218+$C219)/12),0),0,0)))))))</f>
        <v/>
      </c>
      <c r="AT218" s="128" t="str">
        <f t="shared" ref="AT218" ca="1" si="1204">IF(AT216="","",IF(AT216&lt;$C218,0,IF(AT216=$C218,AT217/$C219*$E219+AS219/$C219*$E219,IF(AND(AT216&gt;$C218,AT216&lt;ROUNDDOWN(($C218+($D218+$C219-1)/12),0)),(AT217/2+AS219)/($C219-$E219-12*(AT216-$C218-1))*12,IF(AND($D219&lt;0,AT216=ROUNDDOWN(($C218+($D218+$C219-1)/12),0)),AS219+AT217,IF(AT216=ROUNDDOWN(($C218+($D218+$C219-1)/12),0),(AT217+AS219)/$C219*($D219+(AT216-$C218-1)*12+$E219),IF(AT216&gt;ROUNDDOWN(($C218+($D218+$C219)/12),0),0,0)))))))</f>
        <v/>
      </c>
      <c r="AU218" s="128" t="str">
        <f t="shared" ref="AU218" ca="1" si="1205">IF(AU216="","",IF(AU216&lt;$C218,0,IF(AU216=$C218,AU217/$C219*$E219+AT219/$C219*$E219,IF(AND(AU216&gt;$C218,AU216&lt;ROUNDDOWN(($C218+($D218+$C219-1)/12),0)),(AU217/2+AT219)/($C219-$E219-12*(AU216-$C218-1))*12,IF(AND($D219&lt;0,AU216=ROUNDDOWN(($C218+($D218+$C219-1)/12),0)),AT219+AU217,IF(AU216=ROUNDDOWN(($C218+($D218+$C219-1)/12),0),(AU217+AT219)/$C219*($D219+(AU216-$C218-1)*12+$E219),IF(AU216&gt;ROUNDDOWN(($C218+($D218+$C219)/12),0),0,0)))))))</f>
        <v/>
      </c>
      <c r="AV218" s="128" t="str">
        <f t="shared" ref="AV218" ca="1" si="1206">IF(AV216="","",IF(AV216&lt;$C218,0,IF(AV216=$C218,AV217/$C219*$E219+AU219/$C219*$E219,IF(AND(AV216&gt;$C218,AV216&lt;ROUNDDOWN(($C218+($D218+$C219-1)/12),0)),(AV217/2+AU219)/($C219-$E219-12*(AV216-$C218-1))*12,IF(AND($D219&lt;0,AV216=ROUNDDOWN(($C218+($D218+$C219-1)/12),0)),AU219+AV217,IF(AV216=ROUNDDOWN(($C218+($D218+$C219-1)/12),0),(AV217+AU219)/$C219*($D219+(AV216-$C218-1)*12+$E219),IF(AV216&gt;ROUNDDOWN(($C218+($D218+$C219)/12),0),0,0)))))))</f>
        <v/>
      </c>
      <c r="AW218" s="128" t="str">
        <f t="shared" ref="AW218" ca="1" si="1207">IF(AW216="","",IF(AW216&lt;$C218,0,IF(AW216=$C218,AW217/$C219*$E219+AV219/$C219*$E219,IF(AND(AW216&gt;$C218,AW216&lt;ROUNDDOWN(($C218+($D218+$C219-1)/12),0)),(AW217/2+AV219)/($C219-$E219-12*(AW216-$C218-1))*12,IF(AND($D219&lt;0,AW216=ROUNDDOWN(($C218+($D218+$C219-1)/12),0)),AV219+AW217,IF(AW216=ROUNDDOWN(($C218+($D218+$C219-1)/12),0),(AW217+AV219)/$C219*($D219+(AW216-$C218-1)*12+$E219),IF(AW216&gt;ROUNDDOWN(($C218+($D218+$C219)/12),0),0,0)))))))</f>
        <v/>
      </c>
      <c r="AX218" s="104"/>
      <c r="AY218" s="104"/>
      <c r="AZ218" s="101"/>
    </row>
    <row r="219" spans="3:52" ht="12.75" hidden="1" customHeight="1" outlineLevel="1" x14ac:dyDescent="0.25">
      <c r="C219" s="142">
        <f>ROUNDUP((E218-ROUNDDOWN(E218,0))*12,0)+ROUNDDOWN(E218,0)*12</f>
        <v>0</v>
      </c>
      <c r="D219" s="142">
        <f>C219-E219-ROUNDDOWN(E218,0)*12</f>
        <v>-12</v>
      </c>
      <c r="E219" s="142">
        <f>13-MONTH(C217)</f>
        <v>12</v>
      </c>
      <c r="N219" s="99"/>
      <c r="O219" s="104"/>
      <c r="P219" s="104"/>
      <c r="Q219" s="129" t="str">
        <f>INDEX(g_lang_val,MATCH("tb_2_4_3",g_lang_key,0))</f>
        <v>FF4-gæld, ultimo året</v>
      </c>
      <c r="R219" s="130"/>
      <c r="S219" s="133"/>
      <c r="T219" s="128">
        <f t="shared" ref="T219" ca="1" si="1208">IF(T216="","",S219+T217-T218)</f>
        <v>0</v>
      </c>
      <c r="U219" s="128">
        <f t="shared" ref="U219" ca="1" si="1209">IF(U216="","",T219+U217-U218)</f>
        <v>0</v>
      </c>
      <c r="V219" s="128">
        <f t="shared" ref="V219" ca="1" si="1210">IF(V216="","",U219+V217-V218)</f>
        <v>0</v>
      </c>
      <c r="W219" s="128">
        <f t="shared" ref="W219" ca="1" si="1211">IF(W216="","",V219+W217-W218)</f>
        <v>0</v>
      </c>
      <c r="X219" s="128" t="str">
        <f t="shared" ref="X219" ca="1" si="1212">IF(X216="","",W219+X217-X218)</f>
        <v/>
      </c>
      <c r="Y219" s="128" t="str">
        <f t="shared" ref="Y219" ca="1" si="1213">IF(Y216="","",X219+Y217-Y218)</f>
        <v/>
      </c>
      <c r="Z219" s="128" t="str">
        <f t="shared" ref="Z219" ca="1" si="1214">IF(Z216="","",Y219+Z217-Z218)</f>
        <v/>
      </c>
      <c r="AA219" s="128" t="str">
        <f t="shared" ref="AA219" ca="1" si="1215">IF(AA216="","",Z219+AA217-AA218)</f>
        <v/>
      </c>
      <c r="AB219" s="128" t="str">
        <f t="shared" ref="AB219" ca="1" si="1216">IF(AB216="","",AA219+AB217-AB218)</f>
        <v/>
      </c>
      <c r="AC219" s="128" t="str">
        <f t="shared" ref="AC219" ca="1" si="1217">IF(AC216="","",AB219+AC217-AC218)</f>
        <v/>
      </c>
      <c r="AD219" s="128" t="str">
        <f t="shared" ref="AD219" ca="1" si="1218">IF(AD216="","",AC219+AD217-AD218)</f>
        <v/>
      </c>
      <c r="AE219" s="128" t="str">
        <f t="shared" ref="AE219" ca="1" si="1219">IF(AE216="","",AD219+AE217-AE218)</f>
        <v/>
      </c>
      <c r="AF219" s="128" t="str">
        <f t="shared" ref="AF219" ca="1" si="1220">IF(AF216="","",AE219+AF217-AF218)</f>
        <v/>
      </c>
      <c r="AG219" s="128" t="str">
        <f t="shared" ref="AG219" ca="1" si="1221">IF(AG216="","",AF219+AG217-AG218)</f>
        <v/>
      </c>
      <c r="AH219" s="128" t="str">
        <f t="shared" ref="AH219" ca="1" si="1222">IF(AH216="","",AG219+AH217-AH218)</f>
        <v/>
      </c>
      <c r="AI219" s="128" t="str">
        <f t="shared" ref="AI219" ca="1" si="1223">IF(AI216="","",AH219+AI217-AI218)</f>
        <v/>
      </c>
      <c r="AJ219" s="128" t="str">
        <f t="shared" ref="AJ219" ca="1" si="1224">IF(AJ216="","",AI219+AJ217-AJ218)</f>
        <v/>
      </c>
      <c r="AK219" s="128" t="str">
        <f t="shared" ref="AK219" ca="1" si="1225">IF(AK216="","",AJ219+AK217-AK218)</f>
        <v/>
      </c>
      <c r="AL219" s="128" t="str">
        <f t="shared" ref="AL219" ca="1" si="1226">IF(AL216="","",AK219+AL217-AL218)</f>
        <v/>
      </c>
      <c r="AM219" s="128" t="str">
        <f t="shared" ref="AM219" ca="1" si="1227">IF(AM216="","",AL219+AM217-AM218)</f>
        <v/>
      </c>
      <c r="AN219" s="128" t="str">
        <f t="shared" ref="AN219" ca="1" si="1228">IF(AN216="","",AM219+AN217-AN218)</f>
        <v/>
      </c>
      <c r="AO219" s="128" t="str">
        <f t="shared" ref="AO219" ca="1" si="1229">IF(AO216="","",AN219+AO217-AO218)</f>
        <v/>
      </c>
      <c r="AP219" s="128" t="str">
        <f t="shared" ref="AP219" ca="1" si="1230">IF(AP216="","",AO219+AP217-AP218)</f>
        <v/>
      </c>
      <c r="AQ219" s="128" t="str">
        <f t="shared" ref="AQ219" ca="1" si="1231">IF(AQ216="","",AP219+AQ217-AQ218)</f>
        <v/>
      </c>
      <c r="AR219" s="128" t="str">
        <f t="shared" ref="AR219" ca="1" si="1232">IF(AR216="","",AQ219+AR217-AR218)</f>
        <v/>
      </c>
      <c r="AS219" s="128" t="str">
        <f t="shared" ref="AS219" ca="1" si="1233">IF(AS216="","",AR219+AS217-AS218)</f>
        <v/>
      </c>
      <c r="AT219" s="128" t="str">
        <f t="shared" ref="AT219" ca="1" si="1234">IF(AT216="","",AS219+AT217-AT218)</f>
        <v/>
      </c>
      <c r="AU219" s="128" t="str">
        <f t="shared" ref="AU219" ca="1" si="1235">IF(AU216="","",AT219+AU217-AU218)</f>
        <v/>
      </c>
      <c r="AV219" s="128" t="str">
        <f t="shared" ref="AV219" ca="1" si="1236">IF(AV216="","",AU219+AV217-AV218)</f>
        <v/>
      </c>
      <c r="AW219" s="128" t="str">
        <f t="shared" ref="AW219" ca="1" si="1237">IF(AW216="","",AV219+AW217-AW218)</f>
        <v/>
      </c>
      <c r="AX219" s="104"/>
      <c r="AY219" s="104"/>
      <c r="AZ219" s="101"/>
    </row>
    <row r="220" spans="3:52" ht="12.75" hidden="1" customHeight="1" outlineLevel="1" x14ac:dyDescent="0.25">
      <c r="N220" s="99"/>
      <c r="O220" s="104"/>
      <c r="P220" s="104"/>
      <c r="Q220" s="129" t="str">
        <f>INDEX(g_lang_val,MATCH("tb_2_4_4",g_lang_key,0))</f>
        <v>Renter (FF4)</v>
      </c>
      <c r="R220" s="130"/>
      <c r="S220" s="133">
        <f ca="1">SUM(T220:BG220)</f>
        <v>0</v>
      </c>
      <c r="T220" s="128">
        <f t="shared" ref="T220" ca="1" si="1238">IF(T216="","",g_interest_FF4*(S219+(T217/2)-(T218/2)))</f>
        <v>0</v>
      </c>
      <c r="U220" s="128">
        <f t="shared" ref="U220" ca="1" si="1239">IF(U216="","",g_interest_FF4*(T219+(U217/2)-(U218/2)))</f>
        <v>0</v>
      </c>
      <c r="V220" s="128">
        <f t="shared" ref="V220" ca="1" si="1240">IF(V216="","",g_interest_FF4*(U219+(V217/2)-(V218/2)))</f>
        <v>0</v>
      </c>
      <c r="W220" s="128">
        <f t="shared" ref="W220" ca="1" si="1241">IF(W216="","",g_interest_FF4*(V219+(W217/2)-(W218/2)))</f>
        <v>0</v>
      </c>
      <c r="X220" s="128" t="str">
        <f t="shared" ref="X220" ca="1" si="1242">IF(X216="","",g_interest_FF4*(W219+(X217/2)-(X218/2)))</f>
        <v/>
      </c>
      <c r="Y220" s="128" t="str">
        <f t="shared" ref="Y220" ca="1" si="1243">IF(Y216="","",g_interest_FF4*(X219+(Y217/2)-(Y218/2)))</f>
        <v/>
      </c>
      <c r="Z220" s="128" t="str">
        <f t="shared" ref="Z220" ca="1" si="1244">IF(Z216="","",g_interest_FF4*(Y219+(Z217/2)-(Z218/2)))</f>
        <v/>
      </c>
      <c r="AA220" s="128" t="str">
        <f t="shared" ref="AA220" ca="1" si="1245">IF(AA216="","",g_interest_FF4*(Z219+(AA217/2)-(AA218/2)))</f>
        <v/>
      </c>
      <c r="AB220" s="128" t="str">
        <f t="shared" ref="AB220" ca="1" si="1246">IF(AB216="","",g_interest_FF4*(AA219+(AB217/2)-(AB218/2)))</f>
        <v/>
      </c>
      <c r="AC220" s="128" t="str">
        <f t="shared" ref="AC220" ca="1" si="1247">IF(AC216="","",g_interest_FF4*(AB219+(AC217/2)-(AC218/2)))</f>
        <v/>
      </c>
      <c r="AD220" s="128" t="str">
        <f t="shared" ref="AD220" ca="1" si="1248">IF(AD216="","",g_interest_FF4*(AC219+(AD217/2)-(AD218/2)))</f>
        <v/>
      </c>
      <c r="AE220" s="128" t="str">
        <f t="shared" ref="AE220" ca="1" si="1249">IF(AE216="","",g_interest_FF4*(AD219+(AE217/2)-(AE218/2)))</f>
        <v/>
      </c>
      <c r="AF220" s="128" t="str">
        <f t="shared" ref="AF220" ca="1" si="1250">IF(AF216="","",g_interest_FF4*(AE219+(AF217/2)-(AF218/2)))</f>
        <v/>
      </c>
      <c r="AG220" s="128" t="str">
        <f t="shared" ref="AG220" ca="1" si="1251">IF(AG216="","",g_interest_FF4*(AF219+(AG217/2)-(AG218/2)))</f>
        <v/>
      </c>
      <c r="AH220" s="128" t="str">
        <f t="shared" ref="AH220" ca="1" si="1252">IF(AH216="","",g_interest_FF4*(AG219+(AH217/2)-(AH218/2)))</f>
        <v/>
      </c>
      <c r="AI220" s="128" t="str">
        <f t="shared" ref="AI220" ca="1" si="1253">IF(AI216="","",g_interest_FF4*(AH219+(AI217/2)-(AI218/2)))</f>
        <v/>
      </c>
      <c r="AJ220" s="128" t="str">
        <f t="shared" ref="AJ220" ca="1" si="1254">IF(AJ216="","",g_interest_FF4*(AI219+(AJ217/2)-(AJ218/2)))</f>
        <v/>
      </c>
      <c r="AK220" s="128" t="str">
        <f t="shared" ref="AK220" ca="1" si="1255">IF(AK216="","",g_interest_FF4*(AJ219+(AK217/2)-(AK218/2)))</f>
        <v/>
      </c>
      <c r="AL220" s="128" t="str">
        <f t="shared" ref="AL220" ca="1" si="1256">IF(AL216="","",g_interest_FF4*(AK219+(AL217/2)-(AL218/2)))</f>
        <v/>
      </c>
      <c r="AM220" s="128" t="str">
        <f t="shared" ref="AM220" ca="1" si="1257">IF(AM216="","",g_interest_FF4*(AL219+(AM217/2)-(AM218/2)))</f>
        <v/>
      </c>
      <c r="AN220" s="128" t="str">
        <f t="shared" ref="AN220" ca="1" si="1258">IF(AN216="","",g_interest_FF4*(AM219+(AN217/2)-(AN218/2)))</f>
        <v/>
      </c>
      <c r="AO220" s="128" t="str">
        <f t="shared" ref="AO220" ca="1" si="1259">IF(AO216="","",g_interest_FF4*(AN219+(AO217/2)-(AO218/2)))</f>
        <v/>
      </c>
      <c r="AP220" s="128" t="str">
        <f t="shared" ref="AP220" ca="1" si="1260">IF(AP216="","",g_interest_FF4*(AO219+(AP217/2)-(AP218/2)))</f>
        <v/>
      </c>
      <c r="AQ220" s="128" t="str">
        <f t="shared" ref="AQ220" ca="1" si="1261">IF(AQ216="","",g_interest_FF4*(AP219+(AQ217/2)-(AQ218/2)))</f>
        <v/>
      </c>
      <c r="AR220" s="128" t="str">
        <f t="shared" ref="AR220" ca="1" si="1262">IF(AR216="","",g_interest_FF4*(AQ219+(AR217/2)-(AR218/2)))</f>
        <v/>
      </c>
      <c r="AS220" s="128" t="str">
        <f t="shared" ref="AS220" ca="1" si="1263">IF(AS216="","",g_interest_FF4*(AR219+(AS217/2)-(AS218/2)))</f>
        <v/>
      </c>
      <c r="AT220" s="128" t="str">
        <f t="shared" ref="AT220" ca="1" si="1264">IF(AT216="","",g_interest_FF4*(AS219+(AT217/2)-(AT218/2)))</f>
        <v/>
      </c>
      <c r="AU220" s="128" t="str">
        <f t="shared" ref="AU220" ca="1" si="1265">IF(AU216="","",g_interest_FF4*(AT219+(AU217/2)-(AU218/2)))</f>
        <v/>
      </c>
      <c r="AV220" s="128" t="str">
        <f t="shared" ref="AV220" ca="1" si="1266">IF(AV216="","",g_interest_FF4*(AU219+(AV217/2)-(AV218/2)))</f>
        <v/>
      </c>
      <c r="AW220" s="128" t="str">
        <f t="shared" ref="AW220" ca="1" si="1267">IF(AW216="","",g_interest_FF4*(AV219+(AW217/2)-(AW218/2)))</f>
        <v/>
      </c>
      <c r="AX220" s="104"/>
      <c r="AY220" s="104"/>
      <c r="AZ220" s="101"/>
    </row>
    <row r="221" spans="3:52" ht="12.75" hidden="1" customHeight="1" outlineLevel="1" x14ac:dyDescent="0.25">
      <c r="N221" s="99"/>
      <c r="O221" s="104"/>
      <c r="P221" s="104"/>
      <c r="Q221" s="132" t="str">
        <f>INDEX(g_assets_sc_1,17)</f>
        <v/>
      </c>
      <c r="R221" s="132"/>
      <c r="S221" s="127"/>
      <c r="T221" s="139">
        <f ca="1">T$150</f>
        <v>2025</v>
      </c>
      <c r="U221" s="139">
        <f t="shared" ref="U221:AW221" ca="1" si="1268">U$150</f>
        <v>2026</v>
      </c>
      <c r="V221" s="139">
        <f t="shared" ca="1" si="1268"/>
        <v>2027</v>
      </c>
      <c r="W221" s="139">
        <f t="shared" ca="1" si="1268"/>
        <v>2028</v>
      </c>
      <c r="X221" s="139" t="str">
        <f t="shared" ca="1" si="1268"/>
        <v/>
      </c>
      <c r="Y221" s="139" t="str">
        <f t="shared" ca="1" si="1268"/>
        <v/>
      </c>
      <c r="Z221" s="139" t="str">
        <f t="shared" ca="1" si="1268"/>
        <v/>
      </c>
      <c r="AA221" s="139" t="str">
        <f t="shared" ca="1" si="1268"/>
        <v/>
      </c>
      <c r="AB221" s="139" t="str">
        <f t="shared" ca="1" si="1268"/>
        <v/>
      </c>
      <c r="AC221" s="139" t="str">
        <f t="shared" ca="1" si="1268"/>
        <v/>
      </c>
      <c r="AD221" s="139" t="str">
        <f t="shared" ca="1" si="1268"/>
        <v/>
      </c>
      <c r="AE221" s="139" t="str">
        <f t="shared" ca="1" si="1268"/>
        <v/>
      </c>
      <c r="AF221" s="139" t="str">
        <f t="shared" ca="1" si="1268"/>
        <v/>
      </c>
      <c r="AG221" s="139" t="str">
        <f t="shared" ca="1" si="1268"/>
        <v/>
      </c>
      <c r="AH221" s="139" t="str">
        <f t="shared" ca="1" si="1268"/>
        <v/>
      </c>
      <c r="AI221" s="139" t="str">
        <f t="shared" ca="1" si="1268"/>
        <v/>
      </c>
      <c r="AJ221" s="139" t="str">
        <f t="shared" ca="1" si="1268"/>
        <v/>
      </c>
      <c r="AK221" s="139" t="str">
        <f t="shared" ca="1" si="1268"/>
        <v/>
      </c>
      <c r="AL221" s="139" t="str">
        <f t="shared" ca="1" si="1268"/>
        <v/>
      </c>
      <c r="AM221" s="139" t="str">
        <f t="shared" ca="1" si="1268"/>
        <v/>
      </c>
      <c r="AN221" s="139" t="str">
        <f t="shared" ca="1" si="1268"/>
        <v/>
      </c>
      <c r="AO221" s="139" t="str">
        <f t="shared" ca="1" si="1268"/>
        <v/>
      </c>
      <c r="AP221" s="139" t="str">
        <f t="shared" ca="1" si="1268"/>
        <v/>
      </c>
      <c r="AQ221" s="139" t="str">
        <f t="shared" ca="1" si="1268"/>
        <v/>
      </c>
      <c r="AR221" s="139" t="str">
        <f t="shared" ca="1" si="1268"/>
        <v/>
      </c>
      <c r="AS221" s="139" t="str">
        <f t="shared" ca="1" si="1268"/>
        <v/>
      </c>
      <c r="AT221" s="139" t="str">
        <f t="shared" ca="1" si="1268"/>
        <v/>
      </c>
      <c r="AU221" s="139" t="str">
        <f t="shared" ca="1" si="1268"/>
        <v/>
      </c>
      <c r="AV221" s="139" t="str">
        <f t="shared" ca="1" si="1268"/>
        <v/>
      </c>
      <c r="AW221" s="139" t="str">
        <f t="shared" ca="1" si="1268"/>
        <v/>
      </c>
      <c r="AX221" s="104"/>
      <c r="AY221" s="104"/>
      <c r="AZ221" s="101"/>
    </row>
    <row r="222" spans="3:52" ht="12.75" hidden="1" customHeight="1" outlineLevel="1" x14ac:dyDescent="0.25">
      <c r="C222" s="140">
        <f>INDEX(g_sc_1_assets_dates,G222)</f>
        <v>0</v>
      </c>
      <c r="G222" s="141">
        <v>15</v>
      </c>
      <c r="N222" s="99"/>
      <c r="O222" s="104"/>
      <c r="P222" s="104"/>
      <c r="Q222" s="129" t="str">
        <f>INDEX(g_lang_val,MATCH("tb_2_4_1",g_lang_key,0))</f>
        <v>Køb af anlægsaktiver</v>
      </c>
      <c r="R222" s="130"/>
      <c r="S222" s="133">
        <f ca="1">SUM(T222:BG222)</f>
        <v>0</v>
      </c>
      <c r="T222" s="128">
        <f ca="1">IF(T221="","",SUMPRODUCT(--(Leverancer!$C$28:$C$88=($G222+2)),Leverancer!D$28:D$88)/1000)</f>
        <v>0</v>
      </c>
      <c r="U222" s="128">
        <f ca="1">IF(U221="","",SUMPRODUCT(--(Leverancer!$C$28:$C$88=($G222+2)),Leverancer!E$28:E$88)/1000)</f>
        <v>0</v>
      </c>
      <c r="V222" s="128">
        <f ca="1">IF(V221="","",SUMPRODUCT(--(Leverancer!$C$28:$C$88=($G222+2)),Leverancer!F$28:F$88)/1000)</f>
        <v>0</v>
      </c>
      <c r="W222" s="128">
        <f ca="1">IF(W221="","",SUMPRODUCT(--(Leverancer!$C$28:$C$88=($G222+2)),Leverancer!G$28:G$88)/1000)</f>
        <v>0</v>
      </c>
      <c r="X222" s="128" t="str">
        <f ca="1">IF(X221="","",SUMPRODUCT(--(Leverancer!$C$28:$C$88=($G222+2)),Leverancer!H$28:H$88)/1000)</f>
        <v/>
      </c>
      <c r="Y222" s="128" t="str">
        <f ca="1">IF(Y221="","",SUMPRODUCT(--(Leverancer!$C$28:$C$88=($G222+2)),Leverancer!I$28:I$88)/1000)</f>
        <v/>
      </c>
      <c r="Z222" s="128" t="str">
        <f ca="1">IF(Z221="","",SUMPRODUCT(--(Leverancer!$C$28:$C$88=($G222+2)),Leverancer!J$28:J$88)/1000)</f>
        <v/>
      </c>
      <c r="AA222" s="128" t="str">
        <f ca="1">IF(AA221="","",SUMPRODUCT(--(Leverancer!$C$28:$C$88=($G222+2)),Leverancer!K$28:K$88)/1000)</f>
        <v/>
      </c>
      <c r="AB222" s="128" t="str">
        <f ca="1">IF(AB221="","",SUMPRODUCT(--(Leverancer!$C$28:$C$88=($G222+2)),Leverancer!L$28:L$88)/1000)</f>
        <v/>
      </c>
      <c r="AC222" s="128" t="str">
        <f ca="1">IF(AC221="","",SUMPRODUCT(--(Leverancer!$C$28:$C$88=($G222+2)),Leverancer!M$28:M$88)/1000)</f>
        <v/>
      </c>
      <c r="AD222" s="128" t="str">
        <f ca="1">IF(AD221="","",SUMPRODUCT(--(Leverancer!$C$28:$C$88=($G222+2)),Leverancer!N$28:N$88)/1000)</f>
        <v/>
      </c>
      <c r="AE222" s="128" t="str">
        <f ca="1">IF(AE221="","",SUMPRODUCT(--(Leverancer!$C$28:$C$88=($G222+2)),Leverancer!O$28:O$88)/1000)</f>
        <v/>
      </c>
      <c r="AF222" s="128" t="str">
        <f ca="1">IF(AF221="","",SUMPRODUCT(--(Leverancer!$C$28:$C$88=($G222+2)),Leverancer!P$28:P$88)/1000)</f>
        <v/>
      </c>
      <c r="AG222" s="128" t="str">
        <f ca="1">IF(AG221="","",SUMPRODUCT(--(Leverancer!$C$28:$C$88=($G222+2)),Leverancer!Q$28:Q$88)/1000)</f>
        <v/>
      </c>
      <c r="AH222" s="128" t="str">
        <f ca="1">IF(AH221="","",SUMPRODUCT(--(Leverancer!$C$28:$C$88=($G222+2)),Leverancer!R$28:R$88)/1000)</f>
        <v/>
      </c>
      <c r="AI222" s="128" t="str">
        <f ca="1">IF(AI221="","",SUMPRODUCT(--(Leverancer!$C$28:$C$88=($G222+2)),Leverancer!S$28:S$88)/1000)</f>
        <v/>
      </c>
      <c r="AJ222" s="128" t="str">
        <f ca="1">IF(AJ221="","",SUMPRODUCT(--(Leverancer!$C$28:$C$88=($G222+2)),Leverancer!T$28:T$88)/1000)</f>
        <v/>
      </c>
      <c r="AK222" s="128" t="str">
        <f ca="1">IF(AK221="","",SUMPRODUCT(--(Leverancer!$C$28:$C$88=($G222+2)),Leverancer!U$28:U$88)/1000)</f>
        <v/>
      </c>
      <c r="AL222" s="128" t="str">
        <f ca="1">IF(AL221="","",SUMPRODUCT(--(Leverancer!$C$28:$C$88=($G222+2)),Leverancer!V$28:V$88)/1000)</f>
        <v/>
      </c>
      <c r="AM222" s="128" t="str">
        <f ca="1">IF(AM221="","",SUMPRODUCT(--(Leverancer!$C$28:$C$88=($G222+2)),Leverancer!W$28:W$88)/1000)</f>
        <v/>
      </c>
      <c r="AN222" s="128" t="str">
        <f ca="1">IF(AN221="","",SUMPRODUCT(--(Leverancer!$C$28:$C$88=($G222+2)),Leverancer!X$28:X$88)/1000)</f>
        <v/>
      </c>
      <c r="AO222" s="128" t="str">
        <f ca="1">IF(AO221="","",SUMPRODUCT(--(Leverancer!$C$28:$C$88=($G222+2)),Leverancer!Y$28:Y$88)/1000)</f>
        <v/>
      </c>
      <c r="AP222" s="128" t="str">
        <f ca="1">IF(AP221="","",SUMPRODUCT(--(Leverancer!$C$28:$C$88=($G222+2)),Leverancer!Z$28:Z$88)/1000)</f>
        <v/>
      </c>
      <c r="AQ222" s="128" t="str">
        <f ca="1">IF(AQ221="","",SUMPRODUCT(--(Leverancer!$C$28:$C$88=($G222+2)),Leverancer!AA$28:AA$88)/1000)</f>
        <v/>
      </c>
      <c r="AR222" s="128" t="str">
        <f ca="1">IF(AR221="","",SUMPRODUCT(--(Leverancer!$C$28:$C$88=($G222+2)),Leverancer!AB$28:AB$88)/1000)</f>
        <v/>
      </c>
      <c r="AS222" s="128" t="str">
        <f ca="1">IF(AS221="","",SUMPRODUCT(--(Leverancer!$C$28:$C$88=($G222+2)),Leverancer!AC$28:AC$88)/1000)</f>
        <v/>
      </c>
      <c r="AT222" s="128" t="str">
        <f ca="1">IF(AT221="","",SUMPRODUCT(--(Leverancer!$C$28:$C$88=($G222+2)),Leverancer!AD$28:AD$88)/1000)</f>
        <v/>
      </c>
      <c r="AU222" s="128" t="str">
        <f ca="1">IF(AU221="","",SUMPRODUCT(--(Leverancer!$C$28:$C$88=($G222+2)),Leverancer!AE$28:AE$88)/1000)</f>
        <v/>
      </c>
      <c r="AV222" s="128" t="str">
        <f ca="1">IF(AV221="","",SUMPRODUCT(--(Leverancer!$C$28:$C$88=($G222+2)),Leverancer!AF$28:AF$88)/1000)</f>
        <v/>
      </c>
      <c r="AW222" s="128" t="str">
        <f ca="1">IF(AW221="","",SUMPRODUCT(--(Leverancer!$C$28:$C$88=($G222+2)),Leverancer!AG$28:AG$88)/1000)</f>
        <v/>
      </c>
      <c r="AX222" s="128"/>
      <c r="AY222" s="104"/>
      <c r="AZ222" s="101"/>
    </row>
    <row r="223" spans="3:52" ht="12.75" hidden="1" customHeight="1" outlineLevel="1" x14ac:dyDescent="0.25">
      <c r="C223" s="142">
        <f>IFERROR(YEAR(C222),"")</f>
        <v>1900</v>
      </c>
      <c r="D223" s="142">
        <f>IFERROR(MONTH(C222),"")</f>
        <v>1</v>
      </c>
      <c r="E223" s="142">
        <f>INDEX(g_sc_1_assets_years,G222)</f>
        <v>0</v>
      </c>
      <c r="N223" s="99"/>
      <c r="O223" s="104"/>
      <c r="P223" s="104"/>
      <c r="Q223" s="129" t="str">
        <f>INDEX(g_lang_val,MATCH("tb_2_4_2",g_lang_key,0))</f>
        <v>Afskrivninger</v>
      </c>
      <c r="R223" s="130"/>
      <c r="S223" s="133">
        <f ca="1">SUM(T223:BG223)</f>
        <v>0</v>
      </c>
      <c r="T223" s="128">
        <f t="shared" ref="T223" ca="1" si="1269">IF(T221="","",IF(T221&lt;$C223,0,IF(T221=$C223,T222/$C224*$E224+S224/$C224*$E224,IF(AND(T221&gt;$C223,T221&lt;ROUNDDOWN(($C223+($D223+$C224-1)/12),0)),(T222/2+S224)/($C224-$E224-12*(T221-$C223-1))*12,IF(AND($D224&lt;0,T221=ROUNDDOWN(($C223+($D223+$C224-1)/12),0)),S224+T222,IF(T221=ROUNDDOWN(($C223+($D223+$C224-1)/12),0),(T222+S224)/$C224*($D224+(T221-$C223-1)*12+$E224),IF(T221&gt;ROUNDDOWN(($C223+($D223+$C224)/12),0),0,0)))))))</f>
        <v>0</v>
      </c>
      <c r="U223" s="128">
        <f t="shared" ref="U223" ca="1" si="1270">IF(U221="","",IF(U221&lt;$C223,0,IF(U221=$C223,U222/$C224*$E224+T224/$C224*$E224,IF(AND(U221&gt;$C223,U221&lt;ROUNDDOWN(($C223+($D223+$C224-1)/12),0)),(U222/2+T224)/($C224-$E224-12*(U221-$C223-1))*12,IF(AND($D224&lt;0,U221=ROUNDDOWN(($C223+($D223+$C224-1)/12),0)),T224+U222,IF(U221=ROUNDDOWN(($C223+($D223+$C224-1)/12),0),(U222+T224)/$C224*($D224+(U221-$C223-1)*12+$E224),IF(U221&gt;ROUNDDOWN(($C223+($D223+$C224)/12),0),0,0)))))))</f>
        <v>0</v>
      </c>
      <c r="V223" s="128">
        <f t="shared" ref="V223" ca="1" si="1271">IF(V221="","",IF(V221&lt;$C223,0,IF(V221=$C223,V222/$C224*$E224+U224/$C224*$E224,IF(AND(V221&gt;$C223,V221&lt;ROUNDDOWN(($C223+($D223+$C224-1)/12),0)),(V222/2+U224)/($C224-$E224-12*(V221-$C223-1))*12,IF(AND($D224&lt;0,V221=ROUNDDOWN(($C223+($D223+$C224-1)/12),0)),U224+V222,IF(V221=ROUNDDOWN(($C223+($D223+$C224-1)/12),0),(V222+U224)/$C224*($D224+(V221-$C223-1)*12+$E224),IF(V221&gt;ROUNDDOWN(($C223+($D223+$C224)/12),0),0,0)))))))</f>
        <v>0</v>
      </c>
      <c r="W223" s="128">
        <f t="shared" ref="W223" ca="1" si="1272">IF(W221="","",IF(W221&lt;$C223,0,IF(W221=$C223,W222/$C224*$E224+V224/$C224*$E224,IF(AND(W221&gt;$C223,W221&lt;ROUNDDOWN(($C223+($D223+$C224-1)/12),0)),(W222/2+V224)/($C224-$E224-12*(W221-$C223-1))*12,IF(AND($D224&lt;0,W221=ROUNDDOWN(($C223+($D223+$C224-1)/12),0)),V224+W222,IF(W221=ROUNDDOWN(($C223+($D223+$C224-1)/12),0),(W222+V224)/$C224*($D224+(W221-$C223-1)*12+$E224),IF(W221&gt;ROUNDDOWN(($C223+($D223+$C224)/12),0),0,0)))))))</f>
        <v>0</v>
      </c>
      <c r="X223" s="128" t="str">
        <f t="shared" ref="X223" ca="1" si="1273">IF(X221="","",IF(X221&lt;$C223,0,IF(X221=$C223,X222/$C224*$E224+W224/$C224*$E224,IF(AND(X221&gt;$C223,X221&lt;ROUNDDOWN(($C223+($D223+$C224-1)/12),0)),(X222/2+W224)/($C224-$E224-12*(X221-$C223-1))*12,IF(AND($D224&lt;0,X221=ROUNDDOWN(($C223+($D223+$C224-1)/12),0)),W224+X222,IF(X221=ROUNDDOWN(($C223+($D223+$C224-1)/12),0),(X222+W224)/$C224*($D224+(X221-$C223-1)*12+$E224),IF(X221&gt;ROUNDDOWN(($C223+($D223+$C224)/12),0),0,0)))))))</f>
        <v/>
      </c>
      <c r="Y223" s="128" t="str">
        <f t="shared" ref="Y223" ca="1" si="1274">IF(Y221="","",IF(Y221&lt;$C223,0,IF(Y221=$C223,Y222/$C224*$E224+X224/$C224*$E224,IF(AND(Y221&gt;$C223,Y221&lt;ROUNDDOWN(($C223+($D223+$C224-1)/12),0)),(Y222/2+X224)/($C224-$E224-12*(Y221-$C223-1))*12,IF(AND($D224&lt;0,Y221=ROUNDDOWN(($C223+($D223+$C224-1)/12),0)),X224+Y222,IF(Y221=ROUNDDOWN(($C223+($D223+$C224-1)/12),0),(Y222+X224)/$C224*($D224+(Y221-$C223-1)*12+$E224),IF(Y221&gt;ROUNDDOWN(($C223+($D223+$C224)/12),0),0,0)))))))</f>
        <v/>
      </c>
      <c r="Z223" s="128" t="str">
        <f ca="1">IF(Z221="","",IF(Z221&lt;$C223,0,IF(Z221=$C223,Z222/$C224*$E224+Y224/$C224*$E224,IF(AND(Z221&gt;$C223,Z221&lt;ROUNDDOWN(($C223+($D223+$C224-1)/12),0)),(Z222/2+Y224)/($C224-$E224-12*(Z221-$C223-1))*12,IF(AND($D224&lt;0,Z221=ROUNDDOWN(($C223+($D223+$C224-1)/12),0)),Y224+Z222,IF(Z221=ROUNDDOWN(($C223+($D223+$C224-1)/12),0),(Z222+Y224)/$C224*($D224+(Z221-$C223-1)*12+$E224),IF(Z221&gt;ROUNDDOWN(($C223+($D223+$C224)/12),0),0,0)))))))</f>
        <v/>
      </c>
      <c r="AA223" s="128" t="str">
        <f t="shared" ref="AA223" ca="1" si="1275">IF(AA221="","",IF(AA221&lt;$C223,0,IF(AA221=$C223,AA222/$C224*$E224+Z224/$C224*$E224,IF(AND(AA221&gt;$C223,AA221&lt;ROUNDDOWN(($C223+($D223+$C224-1)/12),0)),(AA222/2+Z224)/($C224-$E224-12*(AA221-$C223-1))*12,IF(AND($D224&lt;0,AA221=ROUNDDOWN(($C223+($D223+$C224-1)/12),0)),Z224+AA222,IF(AA221=ROUNDDOWN(($C223+($D223+$C224-1)/12),0),(AA222+Z224)/$C224*($D224+(AA221-$C223-1)*12+$E224),IF(AA221&gt;ROUNDDOWN(($C223+($D223+$C224)/12),0),0,0)))))))</f>
        <v/>
      </c>
      <c r="AB223" s="128" t="str">
        <f t="shared" ref="AB223" ca="1" si="1276">IF(AB221="","",IF(AB221&lt;$C223,0,IF(AB221=$C223,AB222/$C224*$E224+AA224/$C224*$E224,IF(AND(AB221&gt;$C223,AB221&lt;ROUNDDOWN(($C223+($D223+$C224-1)/12),0)),(AB222/2+AA224)/($C224-$E224-12*(AB221-$C223-1))*12,IF(AND($D224&lt;0,AB221=ROUNDDOWN(($C223+($D223+$C224-1)/12),0)),AA224+AB222,IF(AB221=ROUNDDOWN(($C223+($D223+$C224-1)/12),0),(AB222+AA224)/$C224*($D224+(AB221-$C223-1)*12+$E224),IF(AB221&gt;ROUNDDOWN(($C223+($D223+$C224)/12),0),0,0)))))))</f>
        <v/>
      </c>
      <c r="AC223" s="128" t="str">
        <f t="shared" ref="AC223" ca="1" si="1277">IF(AC221="","",IF(AC221&lt;$C223,0,IF(AC221=$C223,AC222/$C224*$E224+AB224/$C224*$E224,IF(AND(AC221&gt;$C223,AC221&lt;ROUNDDOWN(($C223+($D223+$C224-1)/12),0)),(AC222/2+AB224)/($C224-$E224-12*(AC221-$C223-1))*12,IF(AND($D224&lt;0,AC221=ROUNDDOWN(($C223+($D223+$C224-1)/12),0)),AB224+AC222,IF(AC221=ROUNDDOWN(($C223+($D223+$C224-1)/12),0),(AC222+AB224)/$C224*($D224+(AC221-$C223-1)*12+$E224),IF(AC221&gt;ROUNDDOWN(($C223+($D223+$C224)/12),0),0,0)))))))</f>
        <v/>
      </c>
      <c r="AD223" s="128" t="str">
        <f t="shared" ref="AD223" ca="1" si="1278">IF(AD221="","",IF(AD221&lt;$C223,0,IF(AD221=$C223,AD222/$C224*$E224+AC224/$C224*$E224,IF(AND(AD221&gt;$C223,AD221&lt;ROUNDDOWN(($C223+($D223+$C224-1)/12),0)),(AD222/2+AC224)/($C224-$E224-12*(AD221-$C223-1))*12,IF(AND($D224&lt;0,AD221=ROUNDDOWN(($C223+($D223+$C224-1)/12),0)),AC224+AD222,IF(AD221=ROUNDDOWN(($C223+($D223+$C224-1)/12),0),(AD222+AC224)/$C224*($D224+(AD221-$C223-1)*12+$E224),IF(AD221&gt;ROUNDDOWN(($C223+($D223+$C224)/12),0),0,0)))))))</f>
        <v/>
      </c>
      <c r="AE223" s="128" t="str">
        <f t="shared" ref="AE223" ca="1" si="1279">IF(AE221="","",IF(AE221&lt;$C223,0,IF(AE221=$C223,AE222/$C224*$E224+AD224/$C224*$E224,IF(AND(AE221&gt;$C223,AE221&lt;ROUNDDOWN(($C223+($D223+$C224-1)/12),0)),(AE222/2+AD224)/($C224-$E224-12*(AE221-$C223-1))*12,IF(AND($D224&lt;0,AE221=ROUNDDOWN(($C223+($D223+$C224-1)/12),0)),AD224+AE222,IF(AE221=ROUNDDOWN(($C223+($D223+$C224-1)/12),0),(AE222+AD224)/$C224*($D224+(AE221-$C223-1)*12+$E224),IF(AE221&gt;ROUNDDOWN(($C223+($D223+$C224)/12),0),0,0)))))))</f>
        <v/>
      </c>
      <c r="AF223" s="128" t="str">
        <f t="shared" ref="AF223" ca="1" si="1280">IF(AF221="","",IF(AF221&lt;$C223,0,IF(AF221=$C223,AF222/$C224*$E224+AE224/$C224*$E224,IF(AND(AF221&gt;$C223,AF221&lt;ROUNDDOWN(($C223+($D223+$C224-1)/12),0)),(AF222/2+AE224)/($C224-$E224-12*(AF221-$C223-1))*12,IF(AND($D224&lt;0,AF221=ROUNDDOWN(($C223+($D223+$C224-1)/12),0)),AE224+AF222,IF(AF221=ROUNDDOWN(($C223+($D223+$C224-1)/12),0),(AF222+AE224)/$C224*($D224+(AF221-$C223-1)*12+$E224),IF(AF221&gt;ROUNDDOWN(($C223+($D223+$C224)/12),0),0,0)))))))</f>
        <v/>
      </c>
      <c r="AG223" s="128" t="str">
        <f t="shared" ref="AG223" ca="1" si="1281">IF(AG221="","",IF(AG221&lt;$C223,0,IF(AG221=$C223,AG222/$C224*$E224+AF224/$C224*$E224,IF(AND(AG221&gt;$C223,AG221&lt;ROUNDDOWN(($C223+($D223+$C224-1)/12),0)),(AG222/2+AF224)/($C224-$E224-12*(AG221-$C223-1))*12,IF(AND($D224&lt;0,AG221=ROUNDDOWN(($C223+($D223+$C224-1)/12),0)),AF224+AG222,IF(AG221=ROUNDDOWN(($C223+($D223+$C224-1)/12),0),(AG222+AF224)/$C224*($D224+(AG221-$C223-1)*12+$E224),IF(AG221&gt;ROUNDDOWN(($C223+($D223+$C224)/12),0),0,0)))))))</f>
        <v/>
      </c>
      <c r="AH223" s="128" t="str">
        <f t="shared" ref="AH223" ca="1" si="1282">IF(AH221="","",IF(AH221&lt;$C223,0,IF(AH221=$C223,AH222/$C224*$E224+AG224/$C224*$E224,IF(AND(AH221&gt;$C223,AH221&lt;ROUNDDOWN(($C223+($D223+$C224-1)/12),0)),(AH222/2+AG224)/($C224-$E224-12*(AH221-$C223-1))*12,IF(AND($D224&lt;0,AH221=ROUNDDOWN(($C223+($D223+$C224-1)/12),0)),AG224+AH222,IF(AH221=ROUNDDOWN(($C223+($D223+$C224-1)/12),0),(AH222+AG224)/$C224*($D224+(AH221-$C223-1)*12+$E224),IF(AH221&gt;ROUNDDOWN(($C223+($D223+$C224)/12),0),0,0)))))))</f>
        <v/>
      </c>
      <c r="AI223" s="128" t="str">
        <f t="shared" ref="AI223" ca="1" si="1283">IF(AI221="","",IF(AI221&lt;$C223,0,IF(AI221=$C223,AI222/$C224*$E224+AH224/$C224*$E224,IF(AND(AI221&gt;$C223,AI221&lt;ROUNDDOWN(($C223+($D223+$C224-1)/12),0)),(AI222/2+AH224)/($C224-$E224-12*(AI221-$C223-1))*12,IF(AND($D224&lt;0,AI221=ROUNDDOWN(($C223+($D223+$C224-1)/12),0)),AH224+AI222,IF(AI221=ROUNDDOWN(($C223+($D223+$C224-1)/12),0),(AI222+AH224)/$C224*($D224+(AI221-$C223-1)*12+$E224),IF(AI221&gt;ROUNDDOWN(($C223+($D223+$C224)/12),0),0,0)))))))</f>
        <v/>
      </c>
      <c r="AJ223" s="128" t="str">
        <f t="shared" ref="AJ223" ca="1" si="1284">IF(AJ221="","",IF(AJ221&lt;$C223,0,IF(AJ221=$C223,AJ222/$C224*$E224+AI224/$C224*$E224,IF(AND(AJ221&gt;$C223,AJ221&lt;ROUNDDOWN(($C223+($D223+$C224-1)/12),0)),(AJ222/2+AI224)/($C224-$E224-12*(AJ221-$C223-1))*12,IF(AND($D224&lt;0,AJ221=ROUNDDOWN(($C223+($D223+$C224-1)/12),0)),AI224+AJ222,IF(AJ221=ROUNDDOWN(($C223+($D223+$C224-1)/12),0),(AJ222+AI224)/$C224*($D224+(AJ221-$C223-1)*12+$E224),IF(AJ221&gt;ROUNDDOWN(($C223+($D223+$C224)/12),0),0,0)))))))</f>
        <v/>
      </c>
      <c r="AK223" s="128" t="str">
        <f t="shared" ref="AK223" ca="1" si="1285">IF(AK221="","",IF(AK221&lt;$C223,0,IF(AK221=$C223,AK222/$C224*$E224+AJ224/$C224*$E224,IF(AND(AK221&gt;$C223,AK221&lt;ROUNDDOWN(($C223+($D223+$C224-1)/12),0)),(AK222/2+AJ224)/($C224-$E224-12*(AK221-$C223-1))*12,IF(AND($D224&lt;0,AK221=ROUNDDOWN(($C223+($D223+$C224-1)/12),0)),AJ224+AK222,IF(AK221=ROUNDDOWN(($C223+($D223+$C224-1)/12),0),(AK222+AJ224)/$C224*($D224+(AK221-$C223-1)*12+$E224),IF(AK221&gt;ROUNDDOWN(($C223+($D223+$C224)/12),0),0,0)))))))</f>
        <v/>
      </c>
      <c r="AL223" s="128" t="str">
        <f t="shared" ref="AL223" ca="1" si="1286">IF(AL221="","",IF(AL221&lt;$C223,0,IF(AL221=$C223,AL222/$C224*$E224+AK224/$C224*$E224,IF(AND(AL221&gt;$C223,AL221&lt;ROUNDDOWN(($C223+($D223+$C224-1)/12),0)),(AL222/2+AK224)/($C224-$E224-12*(AL221-$C223-1))*12,IF(AND($D224&lt;0,AL221=ROUNDDOWN(($C223+($D223+$C224-1)/12),0)),AK224+AL222,IF(AL221=ROUNDDOWN(($C223+($D223+$C224-1)/12),0),(AL222+AK224)/$C224*($D224+(AL221-$C223-1)*12+$E224),IF(AL221&gt;ROUNDDOWN(($C223+($D223+$C224)/12),0),0,0)))))))</f>
        <v/>
      </c>
      <c r="AM223" s="128" t="str">
        <f t="shared" ref="AM223" ca="1" si="1287">IF(AM221="","",IF(AM221&lt;$C223,0,IF(AM221=$C223,AM222/$C224*$E224+AL224/$C224*$E224,IF(AND(AM221&gt;$C223,AM221&lt;ROUNDDOWN(($C223+($D223+$C224-1)/12),0)),(AM222/2+AL224)/($C224-$E224-12*(AM221-$C223-1))*12,IF(AND($D224&lt;0,AM221=ROUNDDOWN(($C223+($D223+$C224-1)/12),0)),AL224+AM222,IF(AM221=ROUNDDOWN(($C223+($D223+$C224-1)/12),0),(AM222+AL224)/$C224*($D224+(AM221-$C223-1)*12+$E224),IF(AM221&gt;ROUNDDOWN(($C223+($D223+$C224)/12),0),0,0)))))))</f>
        <v/>
      </c>
      <c r="AN223" s="128" t="str">
        <f t="shared" ref="AN223" ca="1" si="1288">IF(AN221="","",IF(AN221&lt;$C223,0,IF(AN221=$C223,AN222/$C224*$E224+AM224/$C224*$E224,IF(AND(AN221&gt;$C223,AN221&lt;ROUNDDOWN(($C223+($D223+$C224-1)/12),0)),(AN222/2+AM224)/($C224-$E224-12*(AN221-$C223-1))*12,IF(AND($D224&lt;0,AN221=ROUNDDOWN(($C223+($D223+$C224-1)/12),0)),AM224+AN222,IF(AN221=ROUNDDOWN(($C223+($D223+$C224-1)/12),0),(AN222+AM224)/$C224*($D224+(AN221-$C223-1)*12+$E224),IF(AN221&gt;ROUNDDOWN(($C223+($D223+$C224)/12),0),0,0)))))))</f>
        <v/>
      </c>
      <c r="AO223" s="128" t="str">
        <f t="shared" ref="AO223" ca="1" si="1289">IF(AO221="","",IF(AO221&lt;$C223,0,IF(AO221=$C223,AO222/$C224*$E224+AN224/$C224*$E224,IF(AND(AO221&gt;$C223,AO221&lt;ROUNDDOWN(($C223+($D223+$C224-1)/12),0)),(AO222/2+AN224)/($C224-$E224-12*(AO221-$C223-1))*12,IF(AND($D224&lt;0,AO221=ROUNDDOWN(($C223+($D223+$C224-1)/12),0)),AN224+AO222,IF(AO221=ROUNDDOWN(($C223+($D223+$C224-1)/12),0),(AO222+AN224)/$C224*($D224+(AO221-$C223-1)*12+$E224),IF(AO221&gt;ROUNDDOWN(($C223+($D223+$C224)/12),0),0,0)))))))</f>
        <v/>
      </c>
      <c r="AP223" s="128" t="str">
        <f t="shared" ref="AP223" ca="1" si="1290">IF(AP221="","",IF(AP221&lt;$C223,0,IF(AP221=$C223,AP222/$C224*$E224+AO224/$C224*$E224,IF(AND(AP221&gt;$C223,AP221&lt;ROUNDDOWN(($C223+($D223+$C224-1)/12),0)),(AP222/2+AO224)/($C224-$E224-12*(AP221-$C223-1))*12,IF(AND($D224&lt;0,AP221=ROUNDDOWN(($C223+($D223+$C224-1)/12),0)),AO224+AP222,IF(AP221=ROUNDDOWN(($C223+($D223+$C224-1)/12),0),(AP222+AO224)/$C224*($D224+(AP221-$C223-1)*12+$E224),IF(AP221&gt;ROUNDDOWN(($C223+($D223+$C224)/12),0),0,0)))))))</f>
        <v/>
      </c>
      <c r="AQ223" s="128" t="str">
        <f t="shared" ref="AQ223" ca="1" si="1291">IF(AQ221="","",IF(AQ221&lt;$C223,0,IF(AQ221=$C223,AQ222/$C224*$E224+AP224/$C224*$E224,IF(AND(AQ221&gt;$C223,AQ221&lt;ROUNDDOWN(($C223+($D223+$C224-1)/12),0)),(AQ222/2+AP224)/($C224-$E224-12*(AQ221-$C223-1))*12,IF(AND($D224&lt;0,AQ221=ROUNDDOWN(($C223+($D223+$C224-1)/12),0)),AP224+AQ222,IF(AQ221=ROUNDDOWN(($C223+($D223+$C224-1)/12),0),(AQ222+AP224)/$C224*($D224+(AQ221-$C223-1)*12+$E224),IF(AQ221&gt;ROUNDDOWN(($C223+($D223+$C224)/12),0),0,0)))))))</f>
        <v/>
      </c>
      <c r="AR223" s="128" t="str">
        <f t="shared" ref="AR223" ca="1" si="1292">IF(AR221="","",IF(AR221&lt;$C223,0,IF(AR221=$C223,AR222/$C224*$E224+AQ224/$C224*$E224,IF(AND(AR221&gt;$C223,AR221&lt;ROUNDDOWN(($C223+($D223+$C224-1)/12),0)),(AR222/2+AQ224)/($C224-$E224-12*(AR221-$C223-1))*12,IF(AND($D224&lt;0,AR221=ROUNDDOWN(($C223+($D223+$C224-1)/12),0)),AQ224+AR222,IF(AR221=ROUNDDOWN(($C223+($D223+$C224-1)/12),0),(AR222+AQ224)/$C224*($D224+(AR221-$C223-1)*12+$E224),IF(AR221&gt;ROUNDDOWN(($C223+($D223+$C224)/12),0),0,0)))))))</f>
        <v/>
      </c>
      <c r="AS223" s="128" t="str">
        <f t="shared" ref="AS223" ca="1" si="1293">IF(AS221="","",IF(AS221&lt;$C223,0,IF(AS221=$C223,AS222/$C224*$E224+AR224/$C224*$E224,IF(AND(AS221&gt;$C223,AS221&lt;ROUNDDOWN(($C223+($D223+$C224-1)/12),0)),(AS222/2+AR224)/($C224-$E224-12*(AS221-$C223-1))*12,IF(AND($D224&lt;0,AS221=ROUNDDOWN(($C223+($D223+$C224-1)/12),0)),AR224+AS222,IF(AS221=ROUNDDOWN(($C223+($D223+$C224-1)/12),0),(AS222+AR224)/$C224*($D224+(AS221-$C223-1)*12+$E224),IF(AS221&gt;ROUNDDOWN(($C223+($D223+$C224)/12),0),0,0)))))))</f>
        <v/>
      </c>
      <c r="AT223" s="128" t="str">
        <f t="shared" ref="AT223" ca="1" si="1294">IF(AT221="","",IF(AT221&lt;$C223,0,IF(AT221=$C223,AT222/$C224*$E224+AS224/$C224*$E224,IF(AND(AT221&gt;$C223,AT221&lt;ROUNDDOWN(($C223+($D223+$C224-1)/12),0)),(AT222/2+AS224)/($C224-$E224-12*(AT221-$C223-1))*12,IF(AND($D224&lt;0,AT221=ROUNDDOWN(($C223+($D223+$C224-1)/12),0)),AS224+AT222,IF(AT221=ROUNDDOWN(($C223+($D223+$C224-1)/12),0),(AT222+AS224)/$C224*($D224+(AT221-$C223-1)*12+$E224),IF(AT221&gt;ROUNDDOWN(($C223+($D223+$C224)/12),0),0,0)))))))</f>
        <v/>
      </c>
      <c r="AU223" s="128" t="str">
        <f t="shared" ref="AU223" ca="1" si="1295">IF(AU221="","",IF(AU221&lt;$C223,0,IF(AU221=$C223,AU222/$C224*$E224+AT224/$C224*$E224,IF(AND(AU221&gt;$C223,AU221&lt;ROUNDDOWN(($C223+($D223+$C224-1)/12),0)),(AU222/2+AT224)/($C224-$E224-12*(AU221-$C223-1))*12,IF(AND($D224&lt;0,AU221=ROUNDDOWN(($C223+($D223+$C224-1)/12),0)),AT224+AU222,IF(AU221=ROUNDDOWN(($C223+($D223+$C224-1)/12),0),(AU222+AT224)/$C224*($D224+(AU221-$C223-1)*12+$E224),IF(AU221&gt;ROUNDDOWN(($C223+($D223+$C224)/12),0),0,0)))))))</f>
        <v/>
      </c>
      <c r="AV223" s="128" t="str">
        <f t="shared" ref="AV223" ca="1" si="1296">IF(AV221="","",IF(AV221&lt;$C223,0,IF(AV221=$C223,AV222/$C224*$E224+AU224/$C224*$E224,IF(AND(AV221&gt;$C223,AV221&lt;ROUNDDOWN(($C223+($D223+$C224-1)/12),0)),(AV222/2+AU224)/($C224-$E224-12*(AV221-$C223-1))*12,IF(AND($D224&lt;0,AV221=ROUNDDOWN(($C223+($D223+$C224-1)/12),0)),AU224+AV222,IF(AV221=ROUNDDOWN(($C223+($D223+$C224-1)/12),0),(AV222+AU224)/$C224*($D224+(AV221-$C223-1)*12+$E224),IF(AV221&gt;ROUNDDOWN(($C223+($D223+$C224)/12),0),0,0)))))))</f>
        <v/>
      </c>
      <c r="AW223" s="128" t="str">
        <f t="shared" ref="AW223" ca="1" si="1297">IF(AW221="","",IF(AW221&lt;$C223,0,IF(AW221=$C223,AW222/$C224*$E224+AV224/$C224*$E224,IF(AND(AW221&gt;$C223,AW221&lt;ROUNDDOWN(($C223+($D223+$C224-1)/12),0)),(AW222/2+AV224)/($C224-$E224-12*(AW221-$C223-1))*12,IF(AND($D224&lt;0,AW221=ROUNDDOWN(($C223+($D223+$C224-1)/12),0)),AV224+AW222,IF(AW221=ROUNDDOWN(($C223+($D223+$C224-1)/12),0),(AW222+AV224)/$C224*($D224+(AW221-$C223-1)*12+$E224),IF(AW221&gt;ROUNDDOWN(($C223+($D223+$C224)/12),0),0,0)))))))</f>
        <v/>
      </c>
      <c r="AX223" s="104"/>
      <c r="AY223" s="104"/>
      <c r="AZ223" s="101"/>
    </row>
    <row r="224" spans="3:52" ht="12.75" hidden="1" customHeight="1" outlineLevel="1" x14ac:dyDescent="0.25">
      <c r="C224" s="142">
        <f>ROUNDUP((E223-ROUNDDOWN(E223,0))*12,0)+ROUNDDOWN(E223,0)*12</f>
        <v>0</v>
      </c>
      <c r="D224" s="142">
        <f>C224-E224-ROUNDDOWN(E223,0)*12</f>
        <v>-12</v>
      </c>
      <c r="E224" s="142">
        <f>13-MONTH(C222)</f>
        <v>12</v>
      </c>
      <c r="N224" s="99"/>
      <c r="O224" s="104"/>
      <c r="P224" s="104"/>
      <c r="Q224" s="129" t="str">
        <f>INDEX(g_lang_val,MATCH("tb_2_4_3",g_lang_key,0))</f>
        <v>FF4-gæld, ultimo året</v>
      </c>
      <c r="R224" s="130"/>
      <c r="S224" s="133"/>
      <c r="T224" s="128">
        <f t="shared" ref="T224" ca="1" si="1298">IF(T221="","",S224+T222-T223)</f>
        <v>0</v>
      </c>
      <c r="U224" s="128">
        <f t="shared" ref="U224" ca="1" si="1299">IF(U221="","",T224+U222-U223)</f>
        <v>0</v>
      </c>
      <c r="V224" s="128">
        <f t="shared" ref="V224" ca="1" si="1300">IF(V221="","",U224+V222-V223)</f>
        <v>0</v>
      </c>
      <c r="W224" s="128">
        <f t="shared" ref="W224" ca="1" si="1301">IF(W221="","",V224+W222-W223)</f>
        <v>0</v>
      </c>
      <c r="X224" s="128" t="str">
        <f t="shared" ref="X224" ca="1" si="1302">IF(X221="","",W224+X222-X223)</f>
        <v/>
      </c>
      <c r="Y224" s="128" t="str">
        <f t="shared" ref="Y224" ca="1" si="1303">IF(Y221="","",X224+Y222-Y223)</f>
        <v/>
      </c>
      <c r="Z224" s="128" t="str">
        <f t="shared" ref="Z224" ca="1" si="1304">IF(Z221="","",Y224+Z222-Z223)</f>
        <v/>
      </c>
      <c r="AA224" s="128" t="str">
        <f t="shared" ref="AA224" ca="1" si="1305">IF(AA221="","",Z224+AA222-AA223)</f>
        <v/>
      </c>
      <c r="AB224" s="128" t="str">
        <f t="shared" ref="AB224" ca="1" si="1306">IF(AB221="","",AA224+AB222-AB223)</f>
        <v/>
      </c>
      <c r="AC224" s="128" t="str">
        <f t="shared" ref="AC224" ca="1" si="1307">IF(AC221="","",AB224+AC222-AC223)</f>
        <v/>
      </c>
      <c r="AD224" s="128" t="str">
        <f t="shared" ref="AD224" ca="1" si="1308">IF(AD221="","",AC224+AD222-AD223)</f>
        <v/>
      </c>
      <c r="AE224" s="128" t="str">
        <f t="shared" ref="AE224" ca="1" si="1309">IF(AE221="","",AD224+AE222-AE223)</f>
        <v/>
      </c>
      <c r="AF224" s="128" t="str">
        <f t="shared" ref="AF224" ca="1" si="1310">IF(AF221="","",AE224+AF222-AF223)</f>
        <v/>
      </c>
      <c r="AG224" s="128" t="str">
        <f t="shared" ref="AG224" ca="1" si="1311">IF(AG221="","",AF224+AG222-AG223)</f>
        <v/>
      </c>
      <c r="AH224" s="128" t="str">
        <f t="shared" ref="AH224" ca="1" si="1312">IF(AH221="","",AG224+AH222-AH223)</f>
        <v/>
      </c>
      <c r="AI224" s="128" t="str">
        <f t="shared" ref="AI224" ca="1" si="1313">IF(AI221="","",AH224+AI222-AI223)</f>
        <v/>
      </c>
      <c r="AJ224" s="128" t="str">
        <f t="shared" ref="AJ224" ca="1" si="1314">IF(AJ221="","",AI224+AJ222-AJ223)</f>
        <v/>
      </c>
      <c r="AK224" s="128" t="str">
        <f t="shared" ref="AK224" ca="1" si="1315">IF(AK221="","",AJ224+AK222-AK223)</f>
        <v/>
      </c>
      <c r="AL224" s="128" t="str">
        <f t="shared" ref="AL224" ca="1" si="1316">IF(AL221="","",AK224+AL222-AL223)</f>
        <v/>
      </c>
      <c r="AM224" s="128" t="str">
        <f t="shared" ref="AM224" ca="1" si="1317">IF(AM221="","",AL224+AM222-AM223)</f>
        <v/>
      </c>
      <c r="AN224" s="128" t="str">
        <f t="shared" ref="AN224" ca="1" si="1318">IF(AN221="","",AM224+AN222-AN223)</f>
        <v/>
      </c>
      <c r="AO224" s="128" t="str">
        <f t="shared" ref="AO224" ca="1" si="1319">IF(AO221="","",AN224+AO222-AO223)</f>
        <v/>
      </c>
      <c r="AP224" s="128" t="str">
        <f t="shared" ref="AP224" ca="1" si="1320">IF(AP221="","",AO224+AP222-AP223)</f>
        <v/>
      </c>
      <c r="AQ224" s="128" t="str">
        <f t="shared" ref="AQ224" ca="1" si="1321">IF(AQ221="","",AP224+AQ222-AQ223)</f>
        <v/>
      </c>
      <c r="AR224" s="128" t="str">
        <f t="shared" ref="AR224" ca="1" si="1322">IF(AR221="","",AQ224+AR222-AR223)</f>
        <v/>
      </c>
      <c r="AS224" s="128" t="str">
        <f t="shared" ref="AS224" ca="1" si="1323">IF(AS221="","",AR224+AS222-AS223)</f>
        <v/>
      </c>
      <c r="AT224" s="128" t="str">
        <f t="shared" ref="AT224" ca="1" si="1324">IF(AT221="","",AS224+AT222-AT223)</f>
        <v/>
      </c>
      <c r="AU224" s="128" t="str">
        <f t="shared" ref="AU224" ca="1" si="1325">IF(AU221="","",AT224+AU222-AU223)</f>
        <v/>
      </c>
      <c r="AV224" s="128" t="str">
        <f t="shared" ref="AV224" ca="1" si="1326">IF(AV221="","",AU224+AV222-AV223)</f>
        <v/>
      </c>
      <c r="AW224" s="128" t="str">
        <f t="shared" ref="AW224" ca="1" si="1327">IF(AW221="","",AV224+AW222-AW223)</f>
        <v/>
      </c>
      <c r="AX224" s="104"/>
      <c r="AY224" s="104"/>
      <c r="AZ224" s="101"/>
    </row>
    <row r="225" spans="3:52" ht="12.75" hidden="1" customHeight="1" outlineLevel="1" x14ac:dyDescent="0.25">
      <c r="N225" s="99"/>
      <c r="O225" s="104"/>
      <c r="P225" s="104"/>
      <c r="Q225" s="129" t="str">
        <f>INDEX(g_lang_val,MATCH("tb_2_4_4",g_lang_key,0))</f>
        <v>Renter (FF4)</v>
      </c>
      <c r="R225" s="130"/>
      <c r="S225" s="133">
        <f ca="1">SUM(T225:BG225)</f>
        <v>0</v>
      </c>
      <c r="T225" s="128">
        <f t="shared" ref="T225" ca="1" si="1328">IF(T221="","",g_interest_FF4*(S224+(T222/2)-(T223/2)))</f>
        <v>0</v>
      </c>
      <c r="U225" s="128">
        <f t="shared" ref="U225" ca="1" si="1329">IF(U221="","",g_interest_FF4*(T224+(U222/2)-(U223/2)))</f>
        <v>0</v>
      </c>
      <c r="V225" s="128">
        <f t="shared" ref="V225" ca="1" si="1330">IF(V221="","",g_interest_FF4*(U224+(V222/2)-(V223/2)))</f>
        <v>0</v>
      </c>
      <c r="W225" s="128">
        <f t="shared" ref="W225" ca="1" si="1331">IF(W221="","",g_interest_FF4*(V224+(W222/2)-(W223/2)))</f>
        <v>0</v>
      </c>
      <c r="X225" s="128" t="str">
        <f t="shared" ref="X225" ca="1" si="1332">IF(X221="","",g_interest_FF4*(W224+(X222/2)-(X223/2)))</f>
        <v/>
      </c>
      <c r="Y225" s="128" t="str">
        <f t="shared" ref="Y225" ca="1" si="1333">IF(Y221="","",g_interest_FF4*(X224+(Y222/2)-(Y223/2)))</f>
        <v/>
      </c>
      <c r="Z225" s="128" t="str">
        <f t="shared" ref="Z225" ca="1" si="1334">IF(Z221="","",g_interest_FF4*(Y224+(Z222/2)-(Z223/2)))</f>
        <v/>
      </c>
      <c r="AA225" s="128" t="str">
        <f t="shared" ref="AA225" ca="1" si="1335">IF(AA221="","",g_interest_FF4*(Z224+(AA222/2)-(AA223/2)))</f>
        <v/>
      </c>
      <c r="AB225" s="128" t="str">
        <f t="shared" ref="AB225" ca="1" si="1336">IF(AB221="","",g_interest_FF4*(AA224+(AB222/2)-(AB223/2)))</f>
        <v/>
      </c>
      <c r="AC225" s="128" t="str">
        <f t="shared" ref="AC225" ca="1" si="1337">IF(AC221="","",g_interest_FF4*(AB224+(AC222/2)-(AC223/2)))</f>
        <v/>
      </c>
      <c r="AD225" s="128" t="str">
        <f t="shared" ref="AD225" ca="1" si="1338">IF(AD221="","",g_interest_FF4*(AC224+(AD222/2)-(AD223/2)))</f>
        <v/>
      </c>
      <c r="AE225" s="128" t="str">
        <f t="shared" ref="AE225" ca="1" si="1339">IF(AE221="","",g_interest_FF4*(AD224+(AE222/2)-(AE223/2)))</f>
        <v/>
      </c>
      <c r="AF225" s="128" t="str">
        <f t="shared" ref="AF225" ca="1" si="1340">IF(AF221="","",g_interest_FF4*(AE224+(AF222/2)-(AF223/2)))</f>
        <v/>
      </c>
      <c r="AG225" s="128" t="str">
        <f t="shared" ref="AG225" ca="1" si="1341">IF(AG221="","",g_interest_FF4*(AF224+(AG222/2)-(AG223/2)))</f>
        <v/>
      </c>
      <c r="AH225" s="128" t="str">
        <f t="shared" ref="AH225" ca="1" si="1342">IF(AH221="","",g_interest_FF4*(AG224+(AH222/2)-(AH223/2)))</f>
        <v/>
      </c>
      <c r="AI225" s="128" t="str">
        <f t="shared" ref="AI225" ca="1" si="1343">IF(AI221="","",g_interest_FF4*(AH224+(AI222/2)-(AI223/2)))</f>
        <v/>
      </c>
      <c r="AJ225" s="128" t="str">
        <f t="shared" ref="AJ225" ca="1" si="1344">IF(AJ221="","",g_interest_FF4*(AI224+(AJ222/2)-(AJ223/2)))</f>
        <v/>
      </c>
      <c r="AK225" s="128" t="str">
        <f t="shared" ref="AK225" ca="1" si="1345">IF(AK221="","",g_interest_FF4*(AJ224+(AK222/2)-(AK223/2)))</f>
        <v/>
      </c>
      <c r="AL225" s="128" t="str">
        <f t="shared" ref="AL225" ca="1" si="1346">IF(AL221="","",g_interest_FF4*(AK224+(AL222/2)-(AL223/2)))</f>
        <v/>
      </c>
      <c r="AM225" s="128" t="str">
        <f t="shared" ref="AM225" ca="1" si="1347">IF(AM221="","",g_interest_FF4*(AL224+(AM222/2)-(AM223/2)))</f>
        <v/>
      </c>
      <c r="AN225" s="128" t="str">
        <f t="shared" ref="AN225" ca="1" si="1348">IF(AN221="","",g_interest_FF4*(AM224+(AN222/2)-(AN223/2)))</f>
        <v/>
      </c>
      <c r="AO225" s="128" t="str">
        <f t="shared" ref="AO225" ca="1" si="1349">IF(AO221="","",g_interest_FF4*(AN224+(AO222/2)-(AO223/2)))</f>
        <v/>
      </c>
      <c r="AP225" s="128" t="str">
        <f t="shared" ref="AP225" ca="1" si="1350">IF(AP221="","",g_interest_FF4*(AO224+(AP222/2)-(AP223/2)))</f>
        <v/>
      </c>
      <c r="AQ225" s="128" t="str">
        <f t="shared" ref="AQ225" ca="1" si="1351">IF(AQ221="","",g_interest_FF4*(AP224+(AQ222/2)-(AQ223/2)))</f>
        <v/>
      </c>
      <c r="AR225" s="128" t="str">
        <f t="shared" ref="AR225" ca="1" si="1352">IF(AR221="","",g_interest_FF4*(AQ224+(AR222/2)-(AR223/2)))</f>
        <v/>
      </c>
      <c r="AS225" s="128" t="str">
        <f t="shared" ref="AS225" ca="1" si="1353">IF(AS221="","",g_interest_FF4*(AR224+(AS222/2)-(AS223/2)))</f>
        <v/>
      </c>
      <c r="AT225" s="128" t="str">
        <f t="shared" ref="AT225" ca="1" si="1354">IF(AT221="","",g_interest_FF4*(AS224+(AT222/2)-(AT223/2)))</f>
        <v/>
      </c>
      <c r="AU225" s="128" t="str">
        <f t="shared" ref="AU225" ca="1" si="1355">IF(AU221="","",g_interest_FF4*(AT224+(AU222/2)-(AU223/2)))</f>
        <v/>
      </c>
      <c r="AV225" s="128" t="str">
        <f t="shared" ref="AV225" ca="1" si="1356">IF(AV221="","",g_interest_FF4*(AU224+(AV222/2)-(AV223/2)))</f>
        <v/>
      </c>
      <c r="AW225" s="128" t="str">
        <f t="shared" ref="AW225" ca="1" si="1357">IF(AW221="","",g_interest_FF4*(AV224+(AW222/2)-(AW223/2)))</f>
        <v/>
      </c>
      <c r="AX225" s="104"/>
      <c r="AY225" s="104"/>
      <c r="AZ225" s="101"/>
    </row>
    <row r="226" spans="3:52" ht="12.75" hidden="1" customHeight="1" outlineLevel="1" x14ac:dyDescent="0.25">
      <c r="N226" s="99"/>
      <c r="O226" s="104"/>
      <c r="P226" s="104"/>
      <c r="Q226" s="132" t="str">
        <f>INDEX(g_assets_sc_1,18)</f>
        <v/>
      </c>
      <c r="R226" s="132"/>
      <c r="S226" s="127"/>
      <c r="T226" s="139">
        <f ca="1">T$150</f>
        <v>2025</v>
      </c>
      <c r="U226" s="139">
        <f t="shared" ref="U226:AW226" ca="1" si="1358">U$150</f>
        <v>2026</v>
      </c>
      <c r="V226" s="139">
        <f t="shared" ca="1" si="1358"/>
        <v>2027</v>
      </c>
      <c r="W226" s="139">
        <f t="shared" ca="1" si="1358"/>
        <v>2028</v>
      </c>
      <c r="X226" s="139" t="str">
        <f t="shared" ca="1" si="1358"/>
        <v/>
      </c>
      <c r="Y226" s="139" t="str">
        <f t="shared" ca="1" si="1358"/>
        <v/>
      </c>
      <c r="Z226" s="139" t="str">
        <f t="shared" ca="1" si="1358"/>
        <v/>
      </c>
      <c r="AA226" s="139" t="str">
        <f t="shared" ca="1" si="1358"/>
        <v/>
      </c>
      <c r="AB226" s="139" t="str">
        <f t="shared" ca="1" si="1358"/>
        <v/>
      </c>
      <c r="AC226" s="139" t="str">
        <f t="shared" ca="1" si="1358"/>
        <v/>
      </c>
      <c r="AD226" s="139" t="str">
        <f t="shared" ca="1" si="1358"/>
        <v/>
      </c>
      <c r="AE226" s="139" t="str">
        <f t="shared" ca="1" si="1358"/>
        <v/>
      </c>
      <c r="AF226" s="139" t="str">
        <f t="shared" ca="1" si="1358"/>
        <v/>
      </c>
      <c r="AG226" s="139" t="str">
        <f t="shared" ca="1" si="1358"/>
        <v/>
      </c>
      <c r="AH226" s="139" t="str">
        <f t="shared" ca="1" si="1358"/>
        <v/>
      </c>
      <c r="AI226" s="139" t="str">
        <f t="shared" ca="1" si="1358"/>
        <v/>
      </c>
      <c r="AJ226" s="139" t="str">
        <f t="shared" ca="1" si="1358"/>
        <v/>
      </c>
      <c r="AK226" s="139" t="str">
        <f t="shared" ca="1" si="1358"/>
        <v/>
      </c>
      <c r="AL226" s="139" t="str">
        <f t="shared" ca="1" si="1358"/>
        <v/>
      </c>
      <c r="AM226" s="139" t="str">
        <f t="shared" ca="1" si="1358"/>
        <v/>
      </c>
      <c r="AN226" s="139" t="str">
        <f t="shared" ca="1" si="1358"/>
        <v/>
      </c>
      <c r="AO226" s="139" t="str">
        <f t="shared" ca="1" si="1358"/>
        <v/>
      </c>
      <c r="AP226" s="139" t="str">
        <f t="shared" ca="1" si="1358"/>
        <v/>
      </c>
      <c r="AQ226" s="139" t="str">
        <f t="shared" ca="1" si="1358"/>
        <v/>
      </c>
      <c r="AR226" s="139" t="str">
        <f t="shared" ca="1" si="1358"/>
        <v/>
      </c>
      <c r="AS226" s="139" t="str">
        <f t="shared" ca="1" si="1358"/>
        <v/>
      </c>
      <c r="AT226" s="139" t="str">
        <f t="shared" ca="1" si="1358"/>
        <v/>
      </c>
      <c r="AU226" s="139" t="str">
        <f t="shared" ca="1" si="1358"/>
        <v/>
      </c>
      <c r="AV226" s="139" t="str">
        <f t="shared" ca="1" si="1358"/>
        <v/>
      </c>
      <c r="AW226" s="139" t="str">
        <f t="shared" ca="1" si="1358"/>
        <v/>
      </c>
      <c r="AX226" s="104"/>
      <c r="AY226" s="104"/>
      <c r="AZ226" s="101"/>
    </row>
    <row r="227" spans="3:52" ht="12.75" hidden="1" customHeight="1" outlineLevel="1" x14ac:dyDescent="0.25">
      <c r="C227" s="140">
        <f>INDEX(g_sc_1_assets_dates,G227)</f>
        <v>0</v>
      </c>
      <c r="G227" s="141">
        <v>16</v>
      </c>
      <c r="N227" s="99"/>
      <c r="O227" s="104"/>
      <c r="P227" s="104"/>
      <c r="Q227" s="129" t="str">
        <f>INDEX(g_lang_val,MATCH("tb_2_4_1",g_lang_key,0))</f>
        <v>Køb af anlægsaktiver</v>
      </c>
      <c r="R227" s="130"/>
      <c r="S227" s="133">
        <f ca="1">SUM(T227:BG227)</f>
        <v>0</v>
      </c>
      <c r="T227" s="128">
        <f ca="1">IF(T226="","",SUMPRODUCT(--(Leverancer!$C$28:$C$88=($G227+2)),Leverancer!D$28:D$88)/1000)</f>
        <v>0</v>
      </c>
      <c r="U227" s="128">
        <f ca="1">IF(U226="","",SUMPRODUCT(--(Leverancer!$C$28:$C$88=($G227+2)),Leverancer!E$28:E$88)/1000)</f>
        <v>0</v>
      </c>
      <c r="V227" s="128">
        <f ca="1">IF(V226="","",SUMPRODUCT(--(Leverancer!$C$28:$C$88=($G227+2)),Leverancer!F$28:F$88)/1000)</f>
        <v>0</v>
      </c>
      <c r="W227" s="128">
        <f ca="1">IF(W226="","",SUMPRODUCT(--(Leverancer!$C$28:$C$88=($G227+2)),Leverancer!G$28:G$88)/1000)</f>
        <v>0</v>
      </c>
      <c r="X227" s="128" t="str">
        <f ca="1">IF(X226="","",SUMPRODUCT(--(Leverancer!$C$28:$C$88=($G227+2)),Leverancer!H$28:H$88)/1000)</f>
        <v/>
      </c>
      <c r="Y227" s="128" t="str">
        <f ca="1">IF(Y226="","",SUMPRODUCT(--(Leverancer!$C$28:$C$88=($G227+2)),Leverancer!I$28:I$88)/1000)</f>
        <v/>
      </c>
      <c r="Z227" s="128" t="str">
        <f ca="1">IF(Z226="","",SUMPRODUCT(--(Leverancer!$C$28:$C$88=($G227+2)),Leverancer!J$28:J$88)/1000)</f>
        <v/>
      </c>
      <c r="AA227" s="128" t="str">
        <f ca="1">IF(AA226="","",SUMPRODUCT(--(Leverancer!$C$28:$C$88=($G227+2)),Leverancer!K$28:K$88)/1000)</f>
        <v/>
      </c>
      <c r="AB227" s="128" t="str">
        <f ca="1">IF(AB226="","",SUMPRODUCT(--(Leverancer!$C$28:$C$88=($G227+2)),Leverancer!L$28:L$88)/1000)</f>
        <v/>
      </c>
      <c r="AC227" s="128" t="str">
        <f ca="1">IF(AC226="","",SUMPRODUCT(--(Leverancer!$C$28:$C$88=($G227+2)),Leverancer!M$28:M$88)/1000)</f>
        <v/>
      </c>
      <c r="AD227" s="128" t="str">
        <f ca="1">IF(AD226="","",SUMPRODUCT(--(Leverancer!$C$28:$C$88=($G227+2)),Leverancer!N$28:N$88)/1000)</f>
        <v/>
      </c>
      <c r="AE227" s="128" t="str">
        <f ca="1">IF(AE226="","",SUMPRODUCT(--(Leverancer!$C$28:$C$88=($G227+2)),Leverancer!O$28:O$88)/1000)</f>
        <v/>
      </c>
      <c r="AF227" s="128" t="str">
        <f ca="1">IF(AF226="","",SUMPRODUCT(--(Leverancer!$C$28:$C$88=($G227+2)),Leverancer!P$28:P$88)/1000)</f>
        <v/>
      </c>
      <c r="AG227" s="128" t="str">
        <f ca="1">IF(AG226="","",SUMPRODUCT(--(Leverancer!$C$28:$C$88=($G227+2)),Leverancer!Q$28:Q$88)/1000)</f>
        <v/>
      </c>
      <c r="AH227" s="128" t="str">
        <f ca="1">IF(AH226="","",SUMPRODUCT(--(Leverancer!$C$28:$C$88=($G227+2)),Leverancer!R$28:R$88)/1000)</f>
        <v/>
      </c>
      <c r="AI227" s="128" t="str">
        <f ca="1">IF(AI226="","",SUMPRODUCT(--(Leverancer!$C$28:$C$88=($G227+2)),Leverancer!S$28:S$88)/1000)</f>
        <v/>
      </c>
      <c r="AJ227" s="128" t="str">
        <f ca="1">IF(AJ226="","",SUMPRODUCT(--(Leverancer!$C$28:$C$88=($G227+2)),Leverancer!T$28:T$88)/1000)</f>
        <v/>
      </c>
      <c r="AK227" s="128" t="str">
        <f ca="1">IF(AK226="","",SUMPRODUCT(--(Leverancer!$C$28:$C$88=($G227+2)),Leverancer!U$28:U$88)/1000)</f>
        <v/>
      </c>
      <c r="AL227" s="128" t="str">
        <f ca="1">IF(AL226="","",SUMPRODUCT(--(Leverancer!$C$28:$C$88=($G227+2)),Leverancer!V$28:V$88)/1000)</f>
        <v/>
      </c>
      <c r="AM227" s="128" t="str">
        <f ca="1">IF(AM226="","",SUMPRODUCT(--(Leverancer!$C$28:$C$88=($G227+2)),Leverancer!W$28:W$88)/1000)</f>
        <v/>
      </c>
      <c r="AN227" s="128" t="str">
        <f ca="1">IF(AN226="","",SUMPRODUCT(--(Leverancer!$C$28:$C$88=($G227+2)),Leverancer!X$28:X$88)/1000)</f>
        <v/>
      </c>
      <c r="AO227" s="128" t="str">
        <f ca="1">IF(AO226="","",SUMPRODUCT(--(Leverancer!$C$28:$C$88=($G227+2)),Leverancer!Y$28:Y$88)/1000)</f>
        <v/>
      </c>
      <c r="AP227" s="128" t="str">
        <f ca="1">IF(AP226="","",SUMPRODUCT(--(Leverancer!$C$28:$C$88=($G227+2)),Leverancer!Z$28:Z$88)/1000)</f>
        <v/>
      </c>
      <c r="AQ227" s="128" t="str">
        <f ca="1">IF(AQ226="","",SUMPRODUCT(--(Leverancer!$C$28:$C$88=($G227+2)),Leverancer!AA$28:AA$88)/1000)</f>
        <v/>
      </c>
      <c r="AR227" s="128" t="str">
        <f ca="1">IF(AR226="","",SUMPRODUCT(--(Leverancer!$C$28:$C$88=($G227+2)),Leverancer!AB$28:AB$88)/1000)</f>
        <v/>
      </c>
      <c r="AS227" s="128" t="str">
        <f ca="1">IF(AS226="","",SUMPRODUCT(--(Leverancer!$C$28:$C$88=($G227+2)),Leverancer!AC$28:AC$88)/1000)</f>
        <v/>
      </c>
      <c r="AT227" s="128" t="str">
        <f ca="1">IF(AT226="","",SUMPRODUCT(--(Leverancer!$C$28:$C$88=($G227+2)),Leverancer!AD$28:AD$88)/1000)</f>
        <v/>
      </c>
      <c r="AU227" s="128" t="str">
        <f ca="1">IF(AU226="","",SUMPRODUCT(--(Leverancer!$C$28:$C$88=($G227+2)),Leverancer!AE$28:AE$88)/1000)</f>
        <v/>
      </c>
      <c r="AV227" s="128" t="str">
        <f ca="1">IF(AV226="","",SUMPRODUCT(--(Leverancer!$C$28:$C$88=($G227+2)),Leverancer!AF$28:AF$88)/1000)</f>
        <v/>
      </c>
      <c r="AW227" s="128" t="str">
        <f ca="1">IF(AW226="","",SUMPRODUCT(--(Leverancer!$C$28:$C$88=($G227+2)),Leverancer!AG$28:AG$88)/1000)</f>
        <v/>
      </c>
      <c r="AX227" s="104"/>
      <c r="AY227" s="104"/>
      <c r="AZ227" s="101"/>
    </row>
    <row r="228" spans="3:52" ht="12.75" hidden="1" customHeight="1" outlineLevel="1" x14ac:dyDescent="0.25">
      <c r="C228" s="142">
        <f>IFERROR(YEAR(C227),"")</f>
        <v>1900</v>
      </c>
      <c r="D228" s="142">
        <f>IFERROR(MONTH(C227),"")</f>
        <v>1</v>
      </c>
      <c r="E228" s="142">
        <f>INDEX(g_sc_1_assets_years,G227)</f>
        <v>0</v>
      </c>
      <c r="N228" s="99"/>
      <c r="O228" s="104"/>
      <c r="P228" s="104"/>
      <c r="Q228" s="129" t="str">
        <f>INDEX(g_lang_val,MATCH("tb_2_4_2",g_lang_key,0))</f>
        <v>Afskrivninger</v>
      </c>
      <c r="R228" s="130"/>
      <c r="S228" s="133">
        <f ca="1">SUM(T228:BG228)</f>
        <v>0</v>
      </c>
      <c r="T228" s="128">
        <f t="shared" ref="T228" ca="1" si="1359">IF(T226="","",IF(T226&lt;$C228,0,IF(T226=$C228,T227/$C229*$E229+S229/$C229*$E229,IF(AND(T226&gt;$C228,T226&lt;ROUNDDOWN(($C228+($D228+$C229-1)/12),0)),(T227/2+S229)/($C229-$E229-12*(T226-$C228-1))*12,IF(AND($D229&lt;0,T226=ROUNDDOWN(($C228+($D228+$C229-1)/12),0)),S229+T227,IF(T226=ROUNDDOWN(($C228+($D228+$C229-1)/12),0),(T227+S229)/$C229*($D229+(T226-$C228-1)*12+$E229),IF(T226&gt;ROUNDDOWN(($C228+($D228+$C229)/12),0),0,0)))))))</f>
        <v>0</v>
      </c>
      <c r="U228" s="128">
        <f t="shared" ref="U228" ca="1" si="1360">IF(U226="","",IF(U226&lt;$C228,0,IF(U226=$C228,U227/$C229*$E229+T229/$C229*$E229,IF(AND(U226&gt;$C228,U226&lt;ROUNDDOWN(($C228+($D228+$C229-1)/12),0)),(U227/2+T229)/($C229-$E229-12*(U226-$C228-1))*12,IF(AND($D229&lt;0,U226=ROUNDDOWN(($C228+($D228+$C229-1)/12),0)),T229+U227,IF(U226=ROUNDDOWN(($C228+($D228+$C229-1)/12),0),(U227+T229)/$C229*($D229+(U226-$C228-1)*12+$E229),IF(U226&gt;ROUNDDOWN(($C228+($D228+$C229)/12),0),0,0)))))))</f>
        <v>0</v>
      </c>
      <c r="V228" s="128">
        <f t="shared" ref="V228" ca="1" si="1361">IF(V226="","",IF(V226&lt;$C228,0,IF(V226=$C228,V227/$C229*$E229+U229/$C229*$E229,IF(AND(V226&gt;$C228,V226&lt;ROUNDDOWN(($C228+($D228+$C229-1)/12),0)),(V227/2+U229)/($C229-$E229-12*(V226-$C228-1))*12,IF(AND($D229&lt;0,V226=ROUNDDOWN(($C228+($D228+$C229-1)/12),0)),U229+V227,IF(V226=ROUNDDOWN(($C228+($D228+$C229-1)/12),0),(V227+U229)/$C229*($D229+(V226-$C228-1)*12+$E229),IF(V226&gt;ROUNDDOWN(($C228+($D228+$C229)/12),0),0,0)))))))</f>
        <v>0</v>
      </c>
      <c r="W228" s="128">
        <f t="shared" ref="W228" ca="1" si="1362">IF(W226="","",IF(W226&lt;$C228,0,IF(W226=$C228,W227/$C229*$E229+V229/$C229*$E229,IF(AND(W226&gt;$C228,W226&lt;ROUNDDOWN(($C228+($D228+$C229-1)/12),0)),(W227/2+V229)/($C229-$E229-12*(W226-$C228-1))*12,IF(AND($D229&lt;0,W226=ROUNDDOWN(($C228+($D228+$C229-1)/12),0)),V229+W227,IF(W226=ROUNDDOWN(($C228+($D228+$C229-1)/12),0),(W227+V229)/$C229*($D229+(W226-$C228-1)*12+$E229),IF(W226&gt;ROUNDDOWN(($C228+($D228+$C229)/12),0),0,0)))))))</f>
        <v>0</v>
      </c>
      <c r="X228" s="128" t="str">
        <f t="shared" ref="X228" ca="1" si="1363">IF(X226="","",IF(X226&lt;$C228,0,IF(X226=$C228,X227/$C229*$E229+W229/$C229*$E229,IF(AND(X226&gt;$C228,X226&lt;ROUNDDOWN(($C228+($D228+$C229-1)/12),0)),(X227/2+W229)/($C229-$E229-12*(X226-$C228-1))*12,IF(AND($D229&lt;0,X226=ROUNDDOWN(($C228+($D228+$C229-1)/12),0)),W229+X227,IF(X226=ROUNDDOWN(($C228+($D228+$C229-1)/12),0),(X227+W229)/$C229*($D229+(X226-$C228-1)*12+$E229),IF(X226&gt;ROUNDDOWN(($C228+($D228+$C229)/12),0),0,0)))))))</f>
        <v/>
      </c>
      <c r="Y228" s="128" t="str">
        <f t="shared" ref="Y228" ca="1" si="1364">IF(Y226="","",IF(Y226&lt;$C228,0,IF(Y226=$C228,Y227/$C229*$E229+X229/$C229*$E229,IF(AND(Y226&gt;$C228,Y226&lt;ROUNDDOWN(($C228+($D228+$C229-1)/12),0)),(Y227/2+X229)/($C229-$E229-12*(Y226-$C228-1))*12,IF(AND($D229&lt;0,Y226=ROUNDDOWN(($C228+($D228+$C229-1)/12),0)),X229+Y227,IF(Y226=ROUNDDOWN(($C228+($D228+$C229-1)/12),0),(Y227+X229)/$C229*($D229+(Y226-$C228-1)*12+$E229),IF(Y226&gt;ROUNDDOWN(($C228+($D228+$C229)/12),0),0,0)))))))</f>
        <v/>
      </c>
      <c r="Z228" s="128" t="str">
        <f ca="1">IF(Z226="","",IF(Z226&lt;$C228,0,IF(Z226=$C228,Z227/$C229*$E229+Y229/$C229*$E229,IF(AND(Z226&gt;$C228,Z226&lt;ROUNDDOWN(($C228+($D228+$C229-1)/12),0)),(Z227/2+Y229)/($C229-$E229-12*(Z226-$C228-1))*12,IF(AND($D229&lt;0,Z226=ROUNDDOWN(($C228+($D228+$C229-1)/12),0)),Y229+Z227,IF(Z226=ROUNDDOWN(($C228+($D228+$C229-1)/12),0),(Z227+Y229)/$C229*($D229+(Z226-$C228-1)*12+$E229),IF(Z226&gt;ROUNDDOWN(($C228+($D228+$C229)/12),0),0,0)))))))</f>
        <v/>
      </c>
      <c r="AA228" s="128" t="str">
        <f t="shared" ref="AA228" ca="1" si="1365">IF(AA226="","",IF(AA226&lt;$C228,0,IF(AA226=$C228,AA227/$C229*$E229+Z229/$C229*$E229,IF(AND(AA226&gt;$C228,AA226&lt;ROUNDDOWN(($C228+($D228+$C229-1)/12),0)),(AA227/2+Z229)/($C229-$E229-12*(AA226-$C228-1))*12,IF(AND($D229&lt;0,AA226=ROUNDDOWN(($C228+($D228+$C229-1)/12),0)),Z229+AA227,IF(AA226=ROUNDDOWN(($C228+($D228+$C229-1)/12),0),(AA227+Z229)/$C229*($D229+(AA226-$C228-1)*12+$E229),IF(AA226&gt;ROUNDDOWN(($C228+($D228+$C229)/12),0),0,0)))))))</f>
        <v/>
      </c>
      <c r="AB228" s="128" t="str">
        <f t="shared" ref="AB228" ca="1" si="1366">IF(AB226="","",IF(AB226&lt;$C228,0,IF(AB226=$C228,AB227/$C229*$E229+AA229/$C229*$E229,IF(AND(AB226&gt;$C228,AB226&lt;ROUNDDOWN(($C228+($D228+$C229-1)/12),0)),(AB227/2+AA229)/($C229-$E229-12*(AB226-$C228-1))*12,IF(AND($D229&lt;0,AB226=ROUNDDOWN(($C228+($D228+$C229-1)/12),0)),AA229+AB227,IF(AB226=ROUNDDOWN(($C228+($D228+$C229-1)/12),0),(AB227+AA229)/$C229*($D229+(AB226-$C228-1)*12+$E229),IF(AB226&gt;ROUNDDOWN(($C228+($D228+$C229)/12),0),0,0)))))))</f>
        <v/>
      </c>
      <c r="AC228" s="128" t="str">
        <f t="shared" ref="AC228" ca="1" si="1367">IF(AC226="","",IF(AC226&lt;$C228,0,IF(AC226=$C228,AC227/$C229*$E229+AB229/$C229*$E229,IF(AND(AC226&gt;$C228,AC226&lt;ROUNDDOWN(($C228+($D228+$C229-1)/12),0)),(AC227/2+AB229)/($C229-$E229-12*(AC226-$C228-1))*12,IF(AND($D229&lt;0,AC226=ROUNDDOWN(($C228+($D228+$C229-1)/12),0)),AB229+AC227,IF(AC226=ROUNDDOWN(($C228+($D228+$C229-1)/12),0),(AC227+AB229)/$C229*($D229+(AC226-$C228-1)*12+$E229),IF(AC226&gt;ROUNDDOWN(($C228+($D228+$C229)/12),0),0,0)))))))</f>
        <v/>
      </c>
      <c r="AD228" s="128" t="str">
        <f t="shared" ref="AD228" ca="1" si="1368">IF(AD226="","",IF(AD226&lt;$C228,0,IF(AD226=$C228,AD227/$C229*$E229+AC229/$C229*$E229,IF(AND(AD226&gt;$C228,AD226&lt;ROUNDDOWN(($C228+($D228+$C229-1)/12),0)),(AD227/2+AC229)/($C229-$E229-12*(AD226-$C228-1))*12,IF(AND($D229&lt;0,AD226=ROUNDDOWN(($C228+($D228+$C229-1)/12),0)),AC229+AD227,IF(AD226=ROUNDDOWN(($C228+($D228+$C229-1)/12),0),(AD227+AC229)/$C229*($D229+(AD226-$C228-1)*12+$E229),IF(AD226&gt;ROUNDDOWN(($C228+($D228+$C229)/12),0),0,0)))))))</f>
        <v/>
      </c>
      <c r="AE228" s="128" t="str">
        <f t="shared" ref="AE228" ca="1" si="1369">IF(AE226="","",IF(AE226&lt;$C228,0,IF(AE226=$C228,AE227/$C229*$E229+AD229/$C229*$E229,IF(AND(AE226&gt;$C228,AE226&lt;ROUNDDOWN(($C228+($D228+$C229-1)/12),0)),(AE227/2+AD229)/($C229-$E229-12*(AE226-$C228-1))*12,IF(AND($D229&lt;0,AE226=ROUNDDOWN(($C228+($D228+$C229-1)/12),0)),AD229+AE227,IF(AE226=ROUNDDOWN(($C228+($D228+$C229-1)/12),0),(AE227+AD229)/$C229*($D229+(AE226-$C228-1)*12+$E229),IF(AE226&gt;ROUNDDOWN(($C228+($D228+$C229)/12),0),0,0)))))))</f>
        <v/>
      </c>
      <c r="AF228" s="128" t="str">
        <f t="shared" ref="AF228" ca="1" si="1370">IF(AF226="","",IF(AF226&lt;$C228,0,IF(AF226=$C228,AF227/$C229*$E229+AE229/$C229*$E229,IF(AND(AF226&gt;$C228,AF226&lt;ROUNDDOWN(($C228+($D228+$C229-1)/12),0)),(AF227/2+AE229)/($C229-$E229-12*(AF226-$C228-1))*12,IF(AND($D229&lt;0,AF226=ROUNDDOWN(($C228+($D228+$C229-1)/12),0)),AE229+AF227,IF(AF226=ROUNDDOWN(($C228+($D228+$C229-1)/12),0),(AF227+AE229)/$C229*($D229+(AF226-$C228-1)*12+$E229),IF(AF226&gt;ROUNDDOWN(($C228+($D228+$C229)/12),0),0,0)))))))</f>
        <v/>
      </c>
      <c r="AG228" s="128" t="str">
        <f t="shared" ref="AG228" ca="1" si="1371">IF(AG226="","",IF(AG226&lt;$C228,0,IF(AG226=$C228,AG227/$C229*$E229+AF229/$C229*$E229,IF(AND(AG226&gt;$C228,AG226&lt;ROUNDDOWN(($C228+($D228+$C229-1)/12),0)),(AG227/2+AF229)/($C229-$E229-12*(AG226-$C228-1))*12,IF(AND($D229&lt;0,AG226=ROUNDDOWN(($C228+($D228+$C229-1)/12),0)),AF229+AG227,IF(AG226=ROUNDDOWN(($C228+($D228+$C229-1)/12),0),(AG227+AF229)/$C229*($D229+(AG226-$C228-1)*12+$E229),IF(AG226&gt;ROUNDDOWN(($C228+($D228+$C229)/12),0),0,0)))))))</f>
        <v/>
      </c>
      <c r="AH228" s="128" t="str">
        <f t="shared" ref="AH228" ca="1" si="1372">IF(AH226="","",IF(AH226&lt;$C228,0,IF(AH226=$C228,AH227/$C229*$E229+AG229/$C229*$E229,IF(AND(AH226&gt;$C228,AH226&lt;ROUNDDOWN(($C228+($D228+$C229-1)/12),0)),(AH227/2+AG229)/($C229-$E229-12*(AH226-$C228-1))*12,IF(AND($D229&lt;0,AH226=ROUNDDOWN(($C228+($D228+$C229-1)/12),0)),AG229+AH227,IF(AH226=ROUNDDOWN(($C228+($D228+$C229-1)/12),0),(AH227+AG229)/$C229*($D229+(AH226-$C228-1)*12+$E229),IF(AH226&gt;ROUNDDOWN(($C228+($D228+$C229)/12),0),0,0)))))))</f>
        <v/>
      </c>
      <c r="AI228" s="128" t="str">
        <f t="shared" ref="AI228" ca="1" si="1373">IF(AI226="","",IF(AI226&lt;$C228,0,IF(AI226=$C228,AI227/$C229*$E229+AH229/$C229*$E229,IF(AND(AI226&gt;$C228,AI226&lt;ROUNDDOWN(($C228+($D228+$C229-1)/12),0)),(AI227/2+AH229)/($C229-$E229-12*(AI226-$C228-1))*12,IF(AND($D229&lt;0,AI226=ROUNDDOWN(($C228+($D228+$C229-1)/12),0)),AH229+AI227,IF(AI226=ROUNDDOWN(($C228+($D228+$C229-1)/12),0),(AI227+AH229)/$C229*($D229+(AI226-$C228-1)*12+$E229),IF(AI226&gt;ROUNDDOWN(($C228+($D228+$C229)/12),0),0,0)))))))</f>
        <v/>
      </c>
      <c r="AJ228" s="128" t="str">
        <f t="shared" ref="AJ228" ca="1" si="1374">IF(AJ226="","",IF(AJ226&lt;$C228,0,IF(AJ226=$C228,AJ227/$C229*$E229+AI229/$C229*$E229,IF(AND(AJ226&gt;$C228,AJ226&lt;ROUNDDOWN(($C228+($D228+$C229-1)/12),0)),(AJ227/2+AI229)/($C229-$E229-12*(AJ226-$C228-1))*12,IF(AND($D229&lt;0,AJ226=ROUNDDOWN(($C228+($D228+$C229-1)/12),0)),AI229+AJ227,IF(AJ226=ROUNDDOWN(($C228+($D228+$C229-1)/12),0),(AJ227+AI229)/$C229*($D229+(AJ226-$C228-1)*12+$E229),IF(AJ226&gt;ROUNDDOWN(($C228+($D228+$C229)/12),0),0,0)))))))</f>
        <v/>
      </c>
      <c r="AK228" s="128" t="str">
        <f t="shared" ref="AK228" ca="1" si="1375">IF(AK226="","",IF(AK226&lt;$C228,0,IF(AK226=$C228,AK227/$C229*$E229+AJ229/$C229*$E229,IF(AND(AK226&gt;$C228,AK226&lt;ROUNDDOWN(($C228+($D228+$C229-1)/12),0)),(AK227/2+AJ229)/($C229-$E229-12*(AK226-$C228-1))*12,IF(AND($D229&lt;0,AK226=ROUNDDOWN(($C228+($D228+$C229-1)/12),0)),AJ229+AK227,IF(AK226=ROUNDDOWN(($C228+($D228+$C229-1)/12),0),(AK227+AJ229)/$C229*($D229+(AK226-$C228-1)*12+$E229),IF(AK226&gt;ROUNDDOWN(($C228+($D228+$C229)/12),0),0,0)))))))</f>
        <v/>
      </c>
      <c r="AL228" s="128" t="str">
        <f t="shared" ref="AL228" ca="1" si="1376">IF(AL226="","",IF(AL226&lt;$C228,0,IF(AL226=$C228,AL227/$C229*$E229+AK229/$C229*$E229,IF(AND(AL226&gt;$C228,AL226&lt;ROUNDDOWN(($C228+($D228+$C229-1)/12),0)),(AL227/2+AK229)/($C229-$E229-12*(AL226-$C228-1))*12,IF(AND($D229&lt;0,AL226=ROUNDDOWN(($C228+($D228+$C229-1)/12),0)),AK229+AL227,IF(AL226=ROUNDDOWN(($C228+($D228+$C229-1)/12),0),(AL227+AK229)/$C229*($D229+(AL226-$C228-1)*12+$E229),IF(AL226&gt;ROUNDDOWN(($C228+($D228+$C229)/12),0),0,0)))))))</f>
        <v/>
      </c>
      <c r="AM228" s="128" t="str">
        <f t="shared" ref="AM228" ca="1" si="1377">IF(AM226="","",IF(AM226&lt;$C228,0,IF(AM226=$C228,AM227/$C229*$E229+AL229/$C229*$E229,IF(AND(AM226&gt;$C228,AM226&lt;ROUNDDOWN(($C228+($D228+$C229-1)/12),0)),(AM227/2+AL229)/($C229-$E229-12*(AM226-$C228-1))*12,IF(AND($D229&lt;0,AM226=ROUNDDOWN(($C228+($D228+$C229-1)/12),0)),AL229+AM227,IF(AM226=ROUNDDOWN(($C228+($D228+$C229-1)/12),0),(AM227+AL229)/$C229*($D229+(AM226-$C228-1)*12+$E229),IF(AM226&gt;ROUNDDOWN(($C228+($D228+$C229)/12),0),0,0)))))))</f>
        <v/>
      </c>
      <c r="AN228" s="128" t="str">
        <f t="shared" ref="AN228" ca="1" si="1378">IF(AN226="","",IF(AN226&lt;$C228,0,IF(AN226=$C228,AN227/$C229*$E229+AM229/$C229*$E229,IF(AND(AN226&gt;$C228,AN226&lt;ROUNDDOWN(($C228+($D228+$C229-1)/12),0)),(AN227/2+AM229)/($C229-$E229-12*(AN226-$C228-1))*12,IF(AND($D229&lt;0,AN226=ROUNDDOWN(($C228+($D228+$C229-1)/12),0)),AM229+AN227,IF(AN226=ROUNDDOWN(($C228+($D228+$C229-1)/12),0),(AN227+AM229)/$C229*($D229+(AN226-$C228-1)*12+$E229),IF(AN226&gt;ROUNDDOWN(($C228+($D228+$C229)/12),0),0,0)))))))</f>
        <v/>
      </c>
      <c r="AO228" s="128" t="str">
        <f t="shared" ref="AO228" ca="1" si="1379">IF(AO226="","",IF(AO226&lt;$C228,0,IF(AO226=$C228,AO227/$C229*$E229+AN229/$C229*$E229,IF(AND(AO226&gt;$C228,AO226&lt;ROUNDDOWN(($C228+($D228+$C229-1)/12),0)),(AO227/2+AN229)/($C229-$E229-12*(AO226-$C228-1))*12,IF(AND($D229&lt;0,AO226=ROUNDDOWN(($C228+($D228+$C229-1)/12),0)),AN229+AO227,IF(AO226=ROUNDDOWN(($C228+($D228+$C229-1)/12),0),(AO227+AN229)/$C229*($D229+(AO226-$C228-1)*12+$E229),IF(AO226&gt;ROUNDDOWN(($C228+($D228+$C229)/12),0),0,0)))))))</f>
        <v/>
      </c>
      <c r="AP228" s="128" t="str">
        <f t="shared" ref="AP228" ca="1" si="1380">IF(AP226="","",IF(AP226&lt;$C228,0,IF(AP226=$C228,AP227/$C229*$E229+AO229/$C229*$E229,IF(AND(AP226&gt;$C228,AP226&lt;ROUNDDOWN(($C228+($D228+$C229-1)/12),0)),(AP227/2+AO229)/($C229-$E229-12*(AP226-$C228-1))*12,IF(AND($D229&lt;0,AP226=ROUNDDOWN(($C228+($D228+$C229-1)/12),0)),AO229+AP227,IF(AP226=ROUNDDOWN(($C228+($D228+$C229-1)/12),0),(AP227+AO229)/$C229*($D229+(AP226-$C228-1)*12+$E229),IF(AP226&gt;ROUNDDOWN(($C228+($D228+$C229)/12),0),0,0)))))))</f>
        <v/>
      </c>
      <c r="AQ228" s="128" t="str">
        <f t="shared" ref="AQ228" ca="1" si="1381">IF(AQ226="","",IF(AQ226&lt;$C228,0,IF(AQ226=$C228,AQ227/$C229*$E229+AP229/$C229*$E229,IF(AND(AQ226&gt;$C228,AQ226&lt;ROUNDDOWN(($C228+($D228+$C229-1)/12),0)),(AQ227/2+AP229)/($C229-$E229-12*(AQ226-$C228-1))*12,IF(AND($D229&lt;0,AQ226=ROUNDDOWN(($C228+($D228+$C229-1)/12),0)),AP229+AQ227,IF(AQ226=ROUNDDOWN(($C228+($D228+$C229-1)/12),0),(AQ227+AP229)/$C229*($D229+(AQ226-$C228-1)*12+$E229),IF(AQ226&gt;ROUNDDOWN(($C228+($D228+$C229)/12),0),0,0)))))))</f>
        <v/>
      </c>
      <c r="AR228" s="128" t="str">
        <f t="shared" ref="AR228" ca="1" si="1382">IF(AR226="","",IF(AR226&lt;$C228,0,IF(AR226=$C228,AR227/$C229*$E229+AQ229/$C229*$E229,IF(AND(AR226&gt;$C228,AR226&lt;ROUNDDOWN(($C228+($D228+$C229-1)/12),0)),(AR227/2+AQ229)/($C229-$E229-12*(AR226-$C228-1))*12,IF(AND($D229&lt;0,AR226=ROUNDDOWN(($C228+($D228+$C229-1)/12),0)),AQ229+AR227,IF(AR226=ROUNDDOWN(($C228+($D228+$C229-1)/12),0),(AR227+AQ229)/$C229*($D229+(AR226-$C228-1)*12+$E229),IF(AR226&gt;ROUNDDOWN(($C228+($D228+$C229)/12),0),0,0)))))))</f>
        <v/>
      </c>
      <c r="AS228" s="128" t="str">
        <f t="shared" ref="AS228" ca="1" si="1383">IF(AS226="","",IF(AS226&lt;$C228,0,IF(AS226=$C228,AS227/$C229*$E229+AR229/$C229*$E229,IF(AND(AS226&gt;$C228,AS226&lt;ROUNDDOWN(($C228+($D228+$C229-1)/12),0)),(AS227/2+AR229)/($C229-$E229-12*(AS226-$C228-1))*12,IF(AND($D229&lt;0,AS226=ROUNDDOWN(($C228+($D228+$C229-1)/12),0)),AR229+AS227,IF(AS226=ROUNDDOWN(($C228+($D228+$C229-1)/12),0),(AS227+AR229)/$C229*($D229+(AS226-$C228-1)*12+$E229),IF(AS226&gt;ROUNDDOWN(($C228+($D228+$C229)/12),0),0,0)))))))</f>
        <v/>
      </c>
      <c r="AT228" s="128" t="str">
        <f t="shared" ref="AT228" ca="1" si="1384">IF(AT226="","",IF(AT226&lt;$C228,0,IF(AT226=$C228,AT227/$C229*$E229+AS229/$C229*$E229,IF(AND(AT226&gt;$C228,AT226&lt;ROUNDDOWN(($C228+($D228+$C229-1)/12),0)),(AT227/2+AS229)/($C229-$E229-12*(AT226-$C228-1))*12,IF(AND($D229&lt;0,AT226=ROUNDDOWN(($C228+($D228+$C229-1)/12),0)),AS229+AT227,IF(AT226=ROUNDDOWN(($C228+($D228+$C229-1)/12),0),(AT227+AS229)/$C229*($D229+(AT226-$C228-1)*12+$E229),IF(AT226&gt;ROUNDDOWN(($C228+($D228+$C229)/12),0),0,0)))))))</f>
        <v/>
      </c>
      <c r="AU228" s="128" t="str">
        <f t="shared" ref="AU228" ca="1" si="1385">IF(AU226="","",IF(AU226&lt;$C228,0,IF(AU226=$C228,AU227/$C229*$E229+AT229/$C229*$E229,IF(AND(AU226&gt;$C228,AU226&lt;ROUNDDOWN(($C228+($D228+$C229-1)/12),0)),(AU227/2+AT229)/($C229-$E229-12*(AU226-$C228-1))*12,IF(AND($D229&lt;0,AU226=ROUNDDOWN(($C228+($D228+$C229-1)/12),0)),AT229+AU227,IF(AU226=ROUNDDOWN(($C228+($D228+$C229-1)/12),0),(AU227+AT229)/$C229*($D229+(AU226-$C228-1)*12+$E229),IF(AU226&gt;ROUNDDOWN(($C228+($D228+$C229)/12),0),0,0)))))))</f>
        <v/>
      </c>
      <c r="AV228" s="128" t="str">
        <f t="shared" ref="AV228" ca="1" si="1386">IF(AV226="","",IF(AV226&lt;$C228,0,IF(AV226=$C228,AV227/$C229*$E229+AU229/$C229*$E229,IF(AND(AV226&gt;$C228,AV226&lt;ROUNDDOWN(($C228+($D228+$C229-1)/12),0)),(AV227/2+AU229)/($C229-$E229-12*(AV226-$C228-1))*12,IF(AND($D229&lt;0,AV226=ROUNDDOWN(($C228+($D228+$C229-1)/12),0)),AU229+AV227,IF(AV226=ROUNDDOWN(($C228+($D228+$C229-1)/12),0),(AV227+AU229)/$C229*($D229+(AV226-$C228-1)*12+$E229),IF(AV226&gt;ROUNDDOWN(($C228+($D228+$C229)/12),0),0,0)))))))</f>
        <v/>
      </c>
      <c r="AW228" s="128" t="str">
        <f t="shared" ref="AW228" ca="1" si="1387">IF(AW226="","",IF(AW226&lt;$C228,0,IF(AW226=$C228,AW227/$C229*$E229+AV229/$C229*$E229,IF(AND(AW226&gt;$C228,AW226&lt;ROUNDDOWN(($C228+($D228+$C229-1)/12),0)),(AW227/2+AV229)/($C229-$E229-12*(AW226-$C228-1))*12,IF(AND($D229&lt;0,AW226=ROUNDDOWN(($C228+($D228+$C229-1)/12),0)),AV229+AW227,IF(AW226=ROUNDDOWN(($C228+($D228+$C229-1)/12),0),(AW227+AV229)/$C229*($D229+(AW226-$C228-1)*12+$E229),IF(AW226&gt;ROUNDDOWN(($C228+($D228+$C229)/12),0),0,0)))))))</f>
        <v/>
      </c>
      <c r="AX228" s="104"/>
      <c r="AY228" s="104"/>
      <c r="AZ228" s="101"/>
    </row>
    <row r="229" spans="3:52" ht="12.75" hidden="1" customHeight="1" outlineLevel="1" x14ac:dyDescent="0.25">
      <c r="C229" s="142">
        <f>ROUNDUP((E228-ROUNDDOWN(E228,0))*12,0)+ROUNDDOWN(E228,0)*12</f>
        <v>0</v>
      </c>
      <c r="D229" s="142">
        <f>C229-E229-ROUNDDOWN(E228,0)*12</f>
        <v>-12</v>
      </c>
      <c r="E229" s="142">
        <f>13-MONTH(C227)</f>
        <v>12</v>
      </c>
      <c r="N229" s="99"/>
      <c r="O229" s="104"/>
      <c r="P229" s="104"/>
      <c r="Q229" s="129" t="str">
        <f>INDEX(g_lang_val,MATCH("tb_2_4_3",g_lang_key,0))</f>
        <v>FF4-gæld, ultimo året</v>
      </c>
      <c r="R229" s="130"/>
      <c r="S229" s="133"/>
      <c r="T229" s="128">
        <f t="shared" ref="T229" ca="1" si="1388">IF(T226="","",S229+T227-T228)</f>
        <v>0</v>
      </c>
      <c r="U229" s="128">
        <f t="shared" ref="U229" ca="1" si="1389">IF(U226="","",T229+U227-U228)</f>
        <v>0</v>
      </c>
      <c r="V229" s="128">
        <f t="shared" ref="V229" ca="1" si="1390">IF(V226="","",U229+V227-V228)</f>
        <v>0</v>
      </c>
      <c r="W229" s="128">
        <f t="shared" ref="W229" ca="1" si="1391">IF(W226="","",V229+W227-W228)</f>
        <v>0</v>
      </c>
      <c r="X229" s="128" t="str">
        <f t="shared" ref="X229" ca="1" si="1392">IF(X226="","",W229+X227-X228)</f>
        <v/>
      </c>
      <c r="Y229" s="128" t="str">
        <f t="shared" ref="Y229" ca="1" si="1393">IF(Y226="","",X229+Y227-Y228)</f>
        <v/>
      </c>
      <c r="Z229" s="128" t="str">
        <f t="shared" ref="Z229" ca="1" si="1394">IF(Z226="","",Y229+Z227-Z228)</f>
        <v/>
      </c>
      <c r="AA229" s="128" t="str">
        <f t="shared" ref="AA229" ca="1" si="1395">IF(AA226="","",Z229+AA227-AA228)</f>
        <v/>
      </c>
      <c r="AB229" s="128" t="str">
        <f t="shared" ref="AB229" ca="1" si="1396">IF(AB226="","",AA229+AB227-AB228)</f>
        <v/>
      </c>
      <c r="AC229" s="128" t="str">
        <f t="shared" ref="AC229" ca="1" si="1397">IF(AC226="","",AB229+AC227-AC228)</f>
        <v/>
      </c>
      <c r="AD229" s="128" t="str">
        <f t="shared" ref="AD229" ca="1" si="1398">IF(AD226="","",AC229+AD227-AD228)</f>
        <v/>
      </c>
      <c r="AE229" s="128" t="str">
        <f t="shared" ref="AE229" ca="1" si="1399">IF(AE226="","",AD229+AE227-AE228)</f>
        <v/>
      </c>
      <c r="AF229" s="128" t="str">
        <f t="shared" ref="AF229" ca="1" si="1400">IF(AF226="","",AE229+AF227-AF228)</f>
        <v/>
      </c>
      <c r="AG229" s="128" t="str">
        <f t="shared" ref="AG229" ca="1" si="1401">IF(AG226="","",AF229+AG227-AG228)</f>
        <v/>
      </c>
      <c r="AH229" s="128" t="str">
        <f t="shared" ref="AH229" ca="1" si="1402">IF(AH226="","",AG229+AH227-AH228)</f>
        <v/>
      </c>
      <c r="AI229" s="128" t="str">
        <f t="shared" ref="AI229" ca="1" si="1403">IF(AI226="","",AH229+AI227-AI228)</f>
        <v/>
      </c>
      <c r="AJ229" s="128" t="str">
        <f t="shared" ref="AJ229" ca="1" si="1404">IF(AJ226="","",AI229+AJ227-AJ228)</f>
        <v/>
      </c>
      <c r="AK229" s="128" t="str">
        <f t="shared" ref="AK229" ca="1" si="1405">IF(AK226="","",AJ229+AK227-AK228)</f>
        <v/>
      </c>
      <c r="AL229" s="128" t="str">
        <f t="shared" ref="AL229" ca="1" si="1406">IF(AL226="","",AK229+AL227-AL228)</f>
        <v/>
      </c>
      <c r="AM229" s="128" t="str">
        <f t="shared" ref="AM229" ca="1" si="1407">IF(AM226="","",AL229+AM227-AM228)</f>
        <v/>
      </c>
      <c r="AN229" s="128" t="str">
        <f t="shared" ref="AN229" ca="1" si="1408">IF(AN226="","",AM229+AN227-AN228)</f>
        <v/>
      </c>
      <c r="AO229" s="128" t="str">
        <f t="shared" ref="AO229" ca="1" si="1409">IF(AO226="","",AN229+AO227-AO228)</f>
        <v/>
      </c>
      <c r="AP229" s="128" t="str">
        <f t="shared" ref="AP229" ca="1" si="1410">IF(AP226="","",AO229+AP227-AP228)</f>
        <v/>
      </c>
      <c r="AQ229" s="128" t="str">
        <f t="shared" ref="AQ229" ca="1" si="1411">IF(AQ226="","",AP229+AQ227-AQ228)</f>
        <v/>
      </c>
      <c r="AR229" s="128" t="str">
        <f t="shared" ref="AR229" ca="1" si="1412">IF(AR226="","",AQ229+AR227-AR228)</f>
        <v/>
      </c>
      <c r="AS229" s="128" t="str">
        <f t="shared" ref="AS229" ca="1" si="1413">IF(AS226="","",AR229+AS227-AS228)</f>
        <v/>
      </c>
      <c r="AT229" s="128" t="str">
        <f t="shared" ref="AT229" ca="1" si="1414">IF(AT226="","",AS229+AT227-AT228)</f>
        <v/>
      </c>
      <c r="AU229" s="128" t="str">
        <f t="shared" ref="AU229" ca="1" si="1415">IF(AU226="","",AT229+AU227-AU228)</f>
        <v/>
      </c>
      <c r="AV229" s="128" t="str">
        <f t="shared" ref="AV229" ca="1" si="1416">IF(AV226="","",AU229+AV227-AV228)</f>
        <v/>
      </c>
      <c r="AW229" s="128" t="str">
        <f t="shared" ref="AW229" ca="1" si="1417">IF(AW226="","",AV229+AW227-AW228)</f>
        <v/>
      </c>
      <c r="AX229" s="104"/>
      <c r="AY229" s="104"/>
      <c r="AZ229" s="101"/>
    </row>
    <row r="230" spans="3:52" ht="12.75" hidden="1" customHeight="1" outlineLevel="1" x14ac:dyDescent="0.25">
      <c r="N230" s="99"/>
      <c r="O230" s="104"/>
      <c r="P230" s="104"/>
      <c r="Q230" s="129" t="str">
        <f>INDEX(g_lang_val,MATCH("tb_2_4_4",g_lang_key,0))</f>
        <v>Renter (FF4)</v>
      </c>
      <c r="R230" s="130"/>
      <c r="S230" s="133">
        <f ca="1">SUM(T230:BG230)</f>
        <v>0</v>
      </c>
      <c r="T230" s="128">
        <f t="shared" ref="T230" ca="1" si="1418">IF(T226="","",g_interest_FF4*(S229+(T227/2)-(T228/2)))</f>
        <v>0</v>
      </c>
      <c r="U230" s="128">
        <f t="shared" ref="U230" ca="1" si="1419">IF(U226="","",g_interest_FF4*(T229+(U227/2)-(U228/2)))</f>
        <v>0</v>
      </c>
      <c r="V230" s="128">
        <f t="shared" ref="V230" ca="1" si="1420">IF(V226="","",g_interest_FF4*(U229+(V227/2)-(V228/2)))</f>
        <v>0</v>
      </c>
      <c r="W230" s="128">
        <f t="shared" ref="W230" ca="1" si="1421">IF(W226="","",g_interest_FF4*(V229+(W227/2)-(W228/2)))</f>
        <v>0</v>
      </c>
      <c r="X230" s="128" t="str">
        <f t="shared" ref="X230" ca="1" si="1422">IF(X226="","",g_interest_FF4*(W229+(X227/2)-(X228/2)))</f>
        <v/>
      </c>
      <c r="Y230" s="128" t="str">
        <f t="shared" ref="Y230" ca="1" si="1423">IF(Y226="","",g_interest_FF4*(X229+(Y227/2)-(Y228/2)))</f>
        <v/>
      </c>
      <c r="Z230" s="128" t="str">
        <f t="shared" ref="Z230" ca="1" si="1424">IF(Z226="","",g_interest_FF4*(Y229+(Z227/2)-(Z228/2)))</f>
        <v/>
      </c>
      <c r="AA230" s="128" t="str">
        <f t="shared" ref="AA230" ca="1" si="1425">IF(AA226="","",g_interest_FF4*(Z229+(AA227/2)-(AA228/2)))</f>
        <v/>
      </c>
      <c r="AB230" s="128" t="str">
        <f t="shared" ref="AB230" ca="1" si="1426">IF(AB226="","",g_interest_FF4*(AA229+(AB227/2)-(AB228/2)))</f>
        <v/>
      </c>
      <c r="AC230" s="128" t="str">
        <f t="shared" ref="AC230" ca="1" si="1427">IF(AC226="","",g_interest_FF4*(AB229+(AC227/2)-(AC228/2)))</f>
        <v/>
      </c>
      <c r="AD230" s="128" t="str">
        <f t="shared" ref="AD230" ca="1" si="1428">IF(AD226="","",g_interest_FF4*(AC229+(AD227/2)-(AD228/2)))</f>
        <v/>
      </c>
      <c r="AE230" s="128" t="str">
        <f t="shared" ref="AE230" ca="1" si="1429">IF(AE226="","",g_interest_FF4*(AD229+(AE227/2)-(AE228/2)))</f>
        <v/>
      </c>
      <c r="AF230" s="128" t="str">
        <f t="shared" ref="AF230" ca="1" si="1430">IF(AF226="","",g_interest_FF4*(AE229+(AF227/2)-(AF228/2)))</f>
        <v/>
      </c>
      <c r="AG230" s="128" t="str">
        <f t="shared" ref="AG230" ca="1" si="1431">IF(AG226="","",g_interest_FF4*(AF229+(AG227/2)-(AG228/2)))</f>
        <v/>
      </c>
      <c r="AH230" s="128" t="str">
        <f t="shared" ref="AH230" ca="1" si="1432">IF(AH226="","",g_interest_FF4*(AG229+(AH227/2)-(AH228/2)))</f>
        <v/>
      </c>
      <c r="AI230" s="128" t="str">
        <f t="shared" ref="AI230" ca="1" si="1433">IF(AI226="","",g_interest_FF4*(AH229+(AI227/2)-(AI228/2)))</f>
        <v/>
      </c>
      <c r="AJ230" s="128" t="str">
        <f t="shared" ref="AJ230" ca="1" si="1434">IF(AJ226="","",g_interest_FF4*(AI229+(AJ227/2)-(AJ228/2)))</f>
        <v/>
      </c>
      <c r="AK230" s="128" t="str">
        <f t="shared" ref="AK230" ca="1" si="1435">IF(AK226="","",g_interest_FF4*(AJ229+(AK227/2)-(AK228/2)))</f>
        <v/>
      </c>
      <c r="AL230" s="128" t="str">
        <f t="shared" ref="AL230" ca="1" si="1436">IF(AL226="","",g_interest_FF4*(AK229+(AL227/2)-(AL228/2)))</f>
        <v/>
      </c>
      <c r="AM230" s="128" t="str">
        <f t="shared" ref="AM230" ca="1" si="1437">IF(AM226="","",g_interest_FF4*(AL229+(AM227/2)-(AM228/2)))</f>
        <v/>
      </c>
      <c r="AN230" s="128" t="str">
        <f t="shared" ref="AN230" ca="1" si="1438">IF(AN226="","",g_interest_FF4*(AM229+(AN227/2)-(AN228/2)))</f>
        <v/>
      </c>
      <c r="AO230" s="128" t="str">
        <f t="shared" ref="AO230" ca="1" si="1439">IF(AO226="","",g_interest_FF4*(AN229+(AO227/2)-(AO228/2)))</f>
        <v/>
      </c>
      <c r="AP230" s="128" t="str">
        <f t="shared" ref="AP230" ca="1" si="1440">IF(AP226="","",g_interest_FF4*(AO229+(AP227/2)-(AP228/2)))</f>
        <v/>
      </c>
      <c r="AQ230" s="128" t="str">
        <f t="shared" ref="AQ230" ca="1" si="1441">IF(AQ226="","",g_interest_FF4*(AP229+(AQ227/2)-(AQ228/2)))</f>
        <v/>
      </c>
      <c r="AR230" s="128" t="str">
        <f t="shared" ref="AR230" ca="1" si="1442">IF(AR226="","",g_interest_FF4*(AQ229+(AR227/2)-(AR228/2)))</f>
        <v/>
      </c>
      <c r="AS230" s="128" t="str">
        <f t="shared" ref="AS230" ca="1" si="1443">IF(AS226="","",g_interest_FF4*(AR229+(AS227/2)-(AS228/2)))</f>
        <v/>
      </c>
      <c r="AT230" s="128" t="str">
        <f t="shared" ref="AT230" ca="1" si="1444">IF(AT226="","",g_interest_FF4*(AS229+(AT227/2)-(AT228/2)))</f>
        <v/>
      </c>
      <c r="AU230" s="128" t="str">
        <f t="shared" ref="AU230" ca="1" si="1445">IF(AU226="","",g_interest_FF4*(AT229+(AU227/2)-(AU228/2)))</f>
        <v/>
      </c>
      <c r="AV230" s="128" t="str">
        <f t="shared" ref="AV230" ca="1" si="1446">IF(AV226="","",g_interest_FF4*(AU229+(AV227/2)-(AV228/2)))</f>
        <v/>
      </c>
      <c r="AW230" s="128" t="str">
        <f t="shared" ref="AW230" ca="1" si="1447">IF(AW226="","",g_interest_FF4*(AV229+(AW227/2)-(AW228/2)))</f>
        <v/>
      </c>
      <c r="AX230" s="104"/>
      <c r="AY230" s="104"/>
      <c r="AZ230" s="101"/>
    </row>
    <row r="231" spans="3:52" ht="12.75" hidden="1" customHeight="1" outlineLevel="1" x14ac:dyDescent="0.25">
      <c r="N231" s="99"/>
      <c r="O231" s="104"/>
      <c r="P231" s="104"/>
      <c r="Q231" s="132" t="str">
        <f>INDEX(g_assets_sc_1,19)</f>
        <v/>
      </c>
      <c r="R231" s="132"/>
      <c r="S231" s="127"/>
      <c r="T231" s="139">
        <f ca="1">T$150</f>
        <v>2025</v>
      </c>
      <c r="U231" s="139">
        <f t="shared" ref="U231:AW231" ca="1" si="1448">U$150</f>
        <v>2026</v>
      </c>
      <c r="V231" s="139">
        <f t="shared" ca="1" si="1448"/>
        <v>2027</v>
      </c>
      <c r="W231" s="139">
        <f t="shared" ca="1" si="1448"/>
        <v>2028</v>
      </c>
      <c r="X231" s="139" t="str">
        <f t="shared" ca="1" si="1448"/>
        <v/>
      </c>
      <c r="Y231" s="139" t="str">
        <f t="shared" ca="1" si="1448"/>
        <v/>
      </c>
      <c r="Z231" s="139" t="str">
        <f t="shared" ca="1" si="1448"/>
        <v/>
      </c>
      <c r="AA231" s="139" t="str">
        <f t="shared" ca="1" si="1448"/>
        <v/>
      </c>
      <c r="AB231" s="139" t="str">
        <f t="shared" ca="1" si="1448"/>
        <v/>
      </c>
      <c r="AC231" s="139" t="str">
        <f t="shared" ca="1" si="1448"/>
        <v/>
      </c>
      <c r="AD231" s="139" t="str">
        <f t="shared" ca="1" si="1448"/>
        <v/>
      </c>
      <c r="AE231" s="139" t="str">
        <f t="shared" ca="1" si="1448"/>
        <v/>
      </c>
      <c r="AF231" s="139" t="str">
        <f t="shared" ca="1" si="1448"/>
        <v/>
      </c>
      <c r="AG231" s="139" t="str">
        <f t="shared" ca="1" si="1448"/>
        <v/>
      </c>
      <c r="AH231" s="139" t="str">
        <f t="shared" ca="1" si="1448"/>
        <v/>
      </c>
      <c r="AI231" s="139" t="str">
        <f t="shared" ca="1" si="1448"/>
        <v/>
      </c>
      <c r="AJ231" s="139" t="str">
        <f t="shared" ca="1" si="1448"/>
        <v/>
      </c>
      <c r="AK231" s="139" t="str">
        <f t="shared" ca="1" si="1448"/>
        <v/>
      </c>
      <c r="AL231" s="139" t="str">
        <f t="shared" ca="1" si="1448"/>
        <v/>
      </c>
      <c r="AM231" s="139" t="str">
        <f t="shared" ca="1" si="1448"/>
        <v/>
      </c>
      <c r="AN231" s="139" t="str">
        <f t="shared" ca="1" si="1448"/>
        <v/>
      </c>
      <c r="AO231" s="139" t="str">
        <f t="shared" ca="1" si="1448"/>
        <v/>
      </c>
      <c r="AP231" s="139" t="str">
        <f t="shared" ca="1" si="1448"/>
        <v/>
      </c>
      <c r="AQ231" s="139" t="str">
        <f t="shared" ca="1" si="1448"/>
        <v/>
      </c>
      <c r="AR231" s="139" t="str">
        <f t="shared" ca="1" si="1448"/>
        <v/>
      </c>
      <c r="AS231" s="139" t="str">
        <f t="shared" ca="1" si="1448"/>
        <v/>
      </c>
      <c r="AT231" s="139" t="str">
        <f t="shared" ca="1" si="1448"/>
        <v/>
      </c>
      <c r="AU231" s="139" t="str">
        <f t="shared" ca="1" si="1448"/>
        <v/>
      </c>
      <c r="AV231" s="139" t="str">
        <f t="shared" ca="1" si="1448"/>
        <v/>
      </c>
      <c r="AW231" s="139" t="str">
        <f t="shared" ca="1" si="1448"/>
        <v/>
      </c>
      <c r="AX231" s="104"/>
      <c r="AY231" s="104"/>
      <c r="AZ231" s="101"/>
    </row>
    <row r="232" spans="3:52" ht="12.75" hidden="1" customHeight="1" outlineLevel="1" x14ac:dyDescent="0.25">
      <c r="C232" s="140">
        <f>INDEX(g_sc_1_assets_dates,G232)</f>
        <v>0</v>
      </c>
      <c r="G232" s="141">
        <v>17</v>
      </c>
      <c r="N232" s="99"/>
      <c r="O232" s="104"/>
      <c r="P232" s="104"/>
      <c r="Q232" s="129" t="str">
        <f>INDEX(g_lang_val,MATCH("tb_2_4_1",g_lang_key,0))</f>
        <v>Køb af anlægsaktiver</v>
      </c>
      <c r="R232" s="130"/>
      <c r="S232" s="133">
        <f ca="1">SUM(T232:BG232)</f>
        <v>0</v>
      </c>
      <c r="T232" s="128">
        <f ca="1">IF(T231="","",SUMPRODUCT(--(Leverancer!$C$28:$C$88=($G232+2)),Leverancer!D$28:D$88)/1000)</f>
        <v>0</v>
      </c>
      <c r="U232" s="128">
        <f ca="1">IF(U231="","",SUMPRODUCT(--(Leverancer!$C$28:$C$88=($G232+2)),Leverancer!E$28:E$88)/1000)</f>
        <v>0</v>
      </c>
      <c r="V232" s="128">
        <f ca="1">IF(V231="","",SUMPRODUCT(--(Leverancer!$C$28:$C$88=($G232+2)),Leverancer!F$28:F$88)/1000)</f>
        <v>0</v>
      </c>
      <c r="W232" s="128">
        <f ca="1">IF(W231="","",SUMPRODUCT(--(Leverancer!$C$28:$C$88=($G232+2)),Leverancer!G$28:G$88)/1000)</f>
        <v>0</v>
      </c>
      <c r="X232" s="128" t="str">
        <f ca="1">IF(X231="","",SUMPRODUCT(--(Leverancer!$C$28:$C$88=($G232+2)),Leverancer!H$28:H$88)/1000)</f>
        <v/>
      </c>
      <c r="Y232" s="128" t="str">
        <f ca="1">IF(Y231="","",SUMPRODUCT(--(Leverancer!$C$28:$C$88=($G232+2)),Leverancer!I$28:I$88)/1000)</f>
        <v/>
      </c>
      <c r="Z232" s="128" t="str">
        <f ca="1">IF(Z231="","",SUMPRODUCT(--(Leverancer!$C$28:$C$88=($G232+2)),Leverancer!J$28:J$88)/1000)</f>
        <v/>
      </c>
      <c r="AA232" s="128" t="str">
        <f ca="1">IF(AA231="","",SUMPRODUCT(--(Leverancer!$C$28:$C$88=($G232+2)),Leverancer!K$28:K$88)/1000)</f>
        <v/>
      </c>
      <c r="AB232" s="128" t="str">
        <f ca="1">IF(AB231="","",SUMPRODUCT(--(Leverancer!$C$28:$C$88=($G232+2)),Leverancer!L$28:L$88)/1000)</f>
        <v/>
      </c>
      <c r="AC232" s="128" t="str">
        <f ca="1">IF(AC231="","",SUMPRODUCT(--(Leverancer!$C$28:$C$88=($G232+2)),Leverancer!M$28:M$88)/1000)</f>
        <v/>
      </c>
      <c r="AD232" s="128" t="str">
        <f ca="1">IF(AD231="","",SUMPRODUCT(--(Leverancer!$C$28:$C$88=($G232+2)),Leverancer!N$28:N$88)/1000)</f>
        <v/>
      </c>
      <c r="AE232" s="128" t="str">
        <f ca="1">IF(AE231="","",SUMPRODUCT(--(Leverancer!$C$28:$C$88=($G232+2)),Leverancer!O$28:O$88)/1000)</f>
        <v/>
      </c>
      <c r="AF232" s="128" t="str">
        <f ca="1">IF(AF231="","",SUMPRODUCT(--(Leverancer!$C$28:$C$88=($G232+2)),Leverancer!P$28:P$88)/1000)</f>
        <v/>
      </c>
      <c r="AG232" s="128" t="str">
        <f ca="1">IF(AG231="","",SUMPRODUCT(--(Leverancer!$C$28:$C$88=($G232+2)),Leverancer!Q$28:Q$88)/1000)</f>
        <v/>
      </c>
      <c r="AH232" s="128" t="str">
        <f ca="1">IF(AH231="","",SUMPRODUCT(--(Leverancer!$C$28:$C$88=($G232+2)),Leverancer!R$28:R$88)/1000)</f>
        <v/>
      </c>
      <c r="AI232" s="128" t="str">
        <f ca="1">IF(AI231="","",SUMPRODUCT(--(Leverancer!$C$28:$C$88=($G232+2)),Leverancer!S$28:S$88)/1000)</f>
        <v/>
      </c>
      <c r="AJ232" s="128" t="str">
        <f ca="1">IF(AJ231="","",SUMPRODUCT(--(Leverancer!$C$28:$C$88=($G232+2)),Leverancer!T$28:T$88)/1000)</f>
        <v/>
      </c>
      <c r="AK232" s="128" t="str">
        <f ca="1">IF(AK231="","",SUMPRODUCT(--(Leverancer!$C$28:$C$88=($G232+2)),Leverancer!U$28:U$88)/1000)</f>
        <v/>
      </c>
      <c r="AL232" s="128" t="str">
        <f ca="1">IF(AL231="","",SUMPRODUCT(--(Leverancer!$C$28:$C$88=($G232+2)),Leverancer!V$28:V$88)/1000)</f>
        <v/>
      </c>
      <c r="AM232" s="128" t="str">
        <f ca="1">IF(AM231="","",SUMPRODUCT(--(Leverancer!$C$28:$C$88=($G232+2)),Leverancer!W$28:W$88)/1000)</f>
        <v/>
      </c>
      <c r="AN232" s="128" t="str">
        <f ca="1">IF(AN231="","",SUMPRODUCT(--(Leverancer!$C$28:$C$88=($G232+2)),Leverancer!X$28:X$88)/1000)</f>
        <v/>
      </c>
      <c r="AO232" s="128" t="str">
        <f ca="1">IF(AO231="","",SUMPRODUCT(--(Leverancer!$C$28:$C$88=($G232+2)),Leverancer!Y$28:Y$88)/1000)</f>
        <v/>
      </c>
      <c r="AP232" s="128" t="str">
        <f ca="1">IF(AP231="","",SUMPRODUCT(--(Leverancer!$C$28:$C$88=($G232+2)),Leverancer!Z$28:Z$88)/1000)</f>
        <v/>
      </c>
      <c r="AQ232" s="128" t="str">
        <f ca="1">IF(AQ231="","",SUMPRODUCT(--(Leverancer!$C$28:$C$88=($G232+2)),Leverancer!AA$28:AA$88)/1000)</f>
        <v/>
      </c>
      <c r="AR232" s="128" t="str">
        <f ca="1">IF(AR231="","",SUMPRODUCT(--(Leverancer!$C$28:$C$88=($G232+2)),Leverancer!AB$28:AB$88)/1000)</f>
        <v/>
      </c>
      <c r="AS232" s="128" t="str">
        <f ca="1">IF(AS231="","",SUMPRODUCT(--(Leverancer!$C$28:$C$88=($G232+2)),Leverancer!AC$28:AC$88)/1000)</f>
        <v/>
      </c>
      <c r="AT232" s="128" t="str">
        <f ca="1">IF(AT231="","",SUMPRODUCT(--(Leverancer!$C$28:$C$88=($G232+2)),Leverancer!AD$28:AD$88)/1000)</f>
        <v/>
      </c>
      <c r="AU232" s="128" t="str">
        <f ca="1">IF(AU231="","",SUMPRODUCT(--(Leverancer!$C$28:$C$88=($G232+2)),Leverancer!AE$28:AE$88)/1000)</f>
        <v/>
      </c>
      <c r="AV232" s="128" t="str">
        <f ca="1">IF(AV231="","",SUMPRODUCT(--(Leverancer!$C$28:$C$88=($G232+2)),Leverancer!AF$28:AF$88)/1000)</f>
        <v/>
      </c>
      <c r="AW232" s="128" t="str">
        <f ca="1">IF(AW231="","",SUMPRODUCT(--(Leverancer!$C$28:$C$88=($G232+2)),Leverancer!AG$28:AG$88)/1000)</f>
        <v/>
      </c>
      <c r="AX232" s="104"/>
      <c r="AY232" s="104"/>
      <c r="AZ232" s="101"/>
    </row>
    <row r="233" spans="3:52" ht="12.75" hidden="1" customHeight="1" outlineLevel="1" x14ac:dyDescent="0.25">
      <c r="C233" s="142">
        <f>IFERROR(YEAR(C232),"")</f>
        <v>1900</v>
      </c>
      <c r="D233" s="142">
        <f>IFERROR(MONTH(C232),"")</f>
        <v>1</v>
      </c>
      <c r="E233" s="142">
        <f>INDEX(g_sc_1_assets_years,G232)</f>
        <v>0</v>
      </c>
      <c r="N233" s="99"/>
      <c r="O233" s="104"/>
      <c r="P233" s="104"/>
      <c r="Q233" s="129" t="str">
        <f>INDEX(g_lang_val,MATCH("tb_2_4_2",g_lang_key,0))</f>
        <v>Afskrivninger</v>
      </c>
      <c r="R233" s="130"/>
      <c r="S233" s="133">
        <f ca="1">SUM(T233:BG233)</f>
        <v>0</v>
      </c>
      <c r="T233" s="128">
        <f t="shared" ref="T233" ca="1" si="1449">IF(T231="","",IF(T231&lt;$C233,0,IF(T231=$C233,T232/$C234*$E234+S234/$C234*$E234,IF(AND(T231&gt;$C233,T231&lt;ROUNDDOWN(($C233+($D233+$C234-1)/12),0)),(T232/2+S234)/($C234-$E234-12*(T231-$C233-1))*12,IF(AND($D234&lt;0,T231=ROUNDDOWN(($C233+($D233+$C234-1)/12),0)),S234+T232,IF(T231=ROUNDDOWN(($C233+($D233+$C234-1)/12),0),(T232+S234)/$C234*($D234+(T231-$C233-1)*12+$E234),IF(T231&gt;ROUNDDOWN(($C233+($D233+$C234)/12),0),0,0)))))))</f>
        <v>0</v>
      </c>
      <c r="U233" s="128">
        <f t="shared" ref="U233" ca="1" si="1450">IF(U231="","",IF(U231&lt;$C233,0,IF(U231=$C233,U232/$C234*$E234+T234/$C234*$E234,IF(AND(U231&gt;$C233,U231&lt;ROUNDDOWN(($C233+($D233+$C234-1)/12),0)),(U232/2+T234)/($C234-$E234-12*(U231-$C233-1))*12,IF(AND($D234&lt;0,U231=ROUNDDOWN(($C233+($D233+$C234-1)/12),0)),T234+U232,IF(U231=ROUNDDOWN(($C233+($D233+$C234-1)/12),0),(U232+T234)/$C234*($D234+(U231-$C233-1)*12+$E234),IF(U231&gt;ROUNDDOWN(($C233+($D233+$C234)/12),0),0,0)))))))</f>
        <v>0</v>
      </c>
      <c r="V233" s="128">
        <f t="shared" ref="V233" ca="1" si="1451">IF(V231="","",IF(V231&lt;$C233,0,IF(V231=$C233,V232/$C234*$E234+U234/$C234*$E234,IF(AND(V231&gt;$C233,V231&lt;ROUNDDOWN(($C233+($D233+$C234-1)/12),0)),(V232/2+U234)/($C234-$E234-12*(V231-$C233-1))*12,IF(AND($D234&lt;0,V231=ROUNDDOWN(($C233+($D233+$C234-1)/12),0)),U234+V232,IF(V231=ROUNDDOWN(($C233+($D233+$C234-1)/12),0),(V232+U234)/$C234*($D234+(V231-$C233-1)*12+$E234),IF(V231&gt;ROUNDDOWN(($C233+($D233+$C234)/12),0),0,0)))))))</f>
        <v>0</v>
      </c>
      <c r="W233" s="128">
        <f t="shared" ref="W233" ca="1" si="1452">IF(W231="","",IF(W231&lt;$C233,0,IF(W231=$C233,W232/$C234*$E234+V234/$C234*$E234,IF(AND(W231&gt;$C233,W231&lt;ROUNDDOWN(($C233+($D233+$C234-1)/12),0)),(W232/2+V234)/($C234-$E234-12*(W231-$C233-1))*12,IF(AND($D234&lt;0,W231=ROUNDDOWN(($C233+($D233+$C234-1)/12),0)),V234+W232,IF(W231=ROUNDDOWN(($C233+($D233+$C234-1)/12),0),(W232+V234)/$C234*($D234+(W231-$C233-1)*12+$E234),IF(W231&gt;ROUNDDOWN(($C233+($D233+$C234)/12),0),0,0)))))))</f>
        <v>0</v>
      </c>
      <c r="X233" s="128" t="str">
        <f t="shared" ref="X233" ca="1" si="1453">IF(X231="","",IF(X231&lt;$C233,0,IF(X231=$C233,X232/$C234*$E234+W234/$C234*$E234,IF(AND(X231&gt;$C233,X231&lt;ROUNDDOWN(($C233+($D233+$C234-1)/12),0)),(X232/2+W234)/($C234-$E234-12*(X231-$C233-1))*12,IF(AND($D234&lt;0,X231=ROUNDDOWN(($C233+($D233+$C234-1)/12),0)),W234+X232,IF(X231=ROUNDDOWN(($C233+($D233+$C234-1)/12),0),(X232+W234)/$C234*($D234+(X231-$C233-1)*12+$E234),IF(X231&gt;ROUNDDOWN(($C233+($D233+$C234)/12),0),0,0)))))))</f>
        <v/>
      </c>
      <c r="Y233" s="128" t="str">
        <f t="shared" ref="Y233" ca="1" si="1454">IF(Y231="","",IF(Y231&lt;$C233,0,IF(Y231=$C233,Y232/$C234*$E234+X234/$C234*$E234,IF(AND(Y231&gt;$C233,Y231&lt;ROUNDDOWN(($C233+($D233+$C234-1)/12),0)),(Y232/2+X234)/($C234-$E234-12*(Y231-$C233-1))*12,IF(AND($D234&lt;0,Y231=ROUNDDOWN(($C233+($D233+$C234-1)/12),0)),X234+Y232,IF(Y231=ROUNDDOWN(($C233+($D233+$C234-1)/12),0),(Y232+X234)/$C234*($D234+(Y231-$C233-1)*12+$E234),IF(Y231&gt;ROUNDDOWN(($C233+($D233+$C234)/12),0),0,0)))))))</f>
        <v/>
      </c>
      <c r="Z233" s="128" t="str">
        <f ca="1">IF(Z231="","",IF(Z231&lt;$C233,0,IF(Z231=$C233,Z232/$C234*$E234+Y234/$C234*$E234,IF(AND(Z231&gt;$C233,Z231&lt;ROUNDDOWN(($C233+($D233+$C234-1)/12),0)),(Z232/2+Y234)/($C234-$E234-12*(Z231-$C233-1))*12,IF(AND($D234&lt;0,Z231=ROUNDDOWN(($C233+($D233+$C234-1)/12),0)),Y234+Z232,IF(Z231=ROUNDDOWN(($C233+($D233+$C234-1)/12),0),(Z232+Y234)/$C234*($D234+(Z231-$C233-1)*12+$E234),IF(Z231&gt;ROUNDDOWN(($C233+($D233+$C234)/12),0),0,0)))))))</f>
        <v/>
      </c>
      <c r="AA233" s="128" t="str">
        <f t="shared" ref="AA233" ca="1" si="1455">IF(AA231="","",IF(AA231&lt;$C233,0,IF(AA231=$C233,AA232/$C234*$E234+Z234/$C234*$E234,IF(AND(AA231&gt;$C233,AA231&lt;ROUNDDOWN(($C233+($D233+$C234-1)/12),0)),(AA232/2+Z234)/($C234-$E234-12*(AA231-$C233-1))*12,IF(AND($D234&lt;0,AA231=ROUNDDOWN(($C233+($D233+$C234-1)/12),0)),Z234+AA232,IF(AA231=ROUNDDOWN(($C233+($D233+$C234-1)/12),0),(AA232+Z234)/$C234*($D234+(AA231-$C233-1)*12+$E234),IF(AA231&gt;ROUNDDOWN(($C233+($D233+$C234)/12),0),0,0)))))))</f>
        <v/>
      </c>
      <c r="AB233" s="128" t="str">
        <f t="shared" ref="AB233" ca="1" si="1456">IF(AB231="","",IF(AB231&lt;$C233,0,IF(AB231=$C233,AB232/$C234*$E234+AA234/$C234*$E234,IF(AND(AB231&gt;$C233,AB231&lt;ROUNDDOWN(($C233+($D233+$C234-1)/12),0)),(AB232/2+AA234)/($C234-$E234-12*(AB231-$C233-1))*12,IF(AND($D234&lt;0,AB231=ROUNDDOWN(($C233+($D233+$C234-1)/12),0)),AA234+AB232,IF(AB231=ROUNDDOWN(($C233+($D233+$C234-1)/12),0),(AB232+AA234)/$C234*($D234+(AB231-$C233-1)*12+$E234),IF(AB231&gt;ROUNDDOWN(($C233+($D233+$C234)/12),0),0,0)))))))</f>
        <v/>
      </c>
      <c r="AC233" s="128" t="str">
        <f t="shared" ref="AC233" ca="1" si="1457">IF(AC231="","",IF(AC231&lt;$C233,0,IF(AC231=$C233,AC232/$C234*$E234+AB234/$C234*$E234,IF(AND(AC231&gt;$C233,AC231&lt;ROUNDDOWN(($C233+($D233+$C234-1)/12),0)),(AC232/2+AB234)/($C234-$E234-12*(AC231-$C233-1))*12,IF(AND($D234&lt;0,AC231=ROUNDDOWN(($C233+($D233+$C234-1)/12),0)),AB234+AC232,IF(AC231=ROUNDDOWN(($C233+($D233+$C234-1)/12),0),(AC232+AB234)/$C234*($D234+(AC231-$C233-1)*12+$E234),IF(AC231&gt;ROUNDDOWN(($C233+($D233+$C234)/12),0),0,0)))))))</f>
        <v/>
      </c>
      <c r="AD233" s="128" t="str">
        <f t="shared" ref="AD233" ca="1" si="1458">IF(AD231="","",IF(AD231&lt;$C233,0,IF(AD231=$C233,AD232/$C234*$E234+AC234/$C234*$E234,IF(AND(AD231&gt;$C233,AD231&lt;ROUNDDOWN(($C233+($D233+$C234-1)/12),0)),(AD232/2+AC234)/($C234-$E234-12*(AD231-$C233-1))*12,IF(AND($D234&lt;0,AD231=ROUNDDOWN(($C233+($D233+$C234-1)/12),0)),AC234+AD232,IF(AD231=ROUNDDOWN(($C233+($D233+$C234-1)/12),0),(AD232+AC234)/$C234*($D234+(AD231-$C233-1)*12+$E234),IF(AD231&gt;ROUNDDOWN(($C233+($D233+$C234)/12),0),0,0)))))))</f>
        <v/>
      </c>
      <c r="AE233" s="128" t="str">
        <f t="shared" ref="AE233" ca="1" si="1459">IF(AE231="","",IF(AE231&lt;$C233,0,IF(AE231=$C233,AE232/$C234*$E234+AD234/$C234*$E234,IF(AND(AE231&gt;$C233,AE231&lt;ROUNDDOWN(($C233+($D233+$C234-1)/12),0)),(AE232/2+AD234)/($C234-$E234-12*(AE231-$C233-1))*12,IF(AND($D234&lt;0,AE231=ROUNDDOWN(($C233+($D233+$C234-1)/12),0)),AD234+AE232,IF(AE231=ROUNDDOWN(($C233+($D233+$C234-1)/12),0),(AE232+AD234)/$C234*($D234+(AE231-$C233-1)*12+$E234),IF(AE231&gt;ROUNDDOWN(($C233+($D233+$C234)/12),0),0,0)))))))</f>
        <v/>
      </c>
      <c r="AF233" s="128" t="str">
        <f t="shared" ref="AF233" ca="1" si="1460">IF(AF231="","",IF(AF231&lt;$C233,0,IF(AF231=$C233,AF232/$C234*$E234+AE234/$C234*$E234,IF(AND(AF231&gt;$C233,AF231&lt;ROUNDDOWN(($C233+($D233+$C234-1)/12),0)),(AF232/2+AE234)/($C234-$E234-12*(AF231-$C233-1))*12,IF(AND($D234&lt;0,AF231=ROUNDDOWN(($C233+($D233+$C234-1)/12),0)),AE234+AF232,IF(AF231=ROUNDDOWN(($C233+($D233+$C234-1)/12),0),(AF232+AE234)/$C234*($D234+(AF231-$C233-1)*12+$E234),IF(AF231&gt;ROUNDDOWN(($C233+($D233+$C234)/12),0),0,0)))))))</f>
        <v/>
      </c>
      <c r="AG233" s="128" t="str">
        <f t="shared" ref="AG233" ca="1" si="1461">IF(AG231="","",IF(AG231&lt;$C233,0,IF(AG231=$C233,AG232/$C234*$E234+AF234/$C234*$E234,IF(AND(AG231&gt;$C233,AG231&lt;ROUNDDOWN(($C233+($D233+$C234-1)/12),0)),(AG232/2+AF234)/($C234-$E234-12*(AG231-$C233-1))*12,IF(AND($D234&lt;0,AG231=ROUNDDOWN(($C233+($D233+$C234-1)/12),0)),AF234+AG232,IF(AG231=ROUNDDOWN(($C233+($D233+$C234-1)/12),0),(AG232+AF234)/$C234*($D234+(AG231-$C233-1)*12+$E234),IF(AG231&gt;ROUNDDOWN(($C233+($D233+$C234)/12),0),0,0)))))))</f>
        <v/>
      </c>
      <c r="AH233" s="128" t="str">
        <f t="shared" ref="AH233" ca="1" si="1462">IF(AH231="","",IF(AH231&lt;$C233,0,IF(AH231=$C233,AH232/$C234*$E234+AG234/$C234*$E234,IF(AND(AH231&gt;$C233,AH231&lt;ROUNDDOWN(($C233+($D233+$C234-1)/12),0)),(AH232/2+AG234)/($C234-$E234-12*(AH231-$C233-1))*12,IF(AND($D234&lt;0,AH231=ROUNDDOWN(($C233+($D233+$C234-1)/12),0)),AG234+AH232,IF(AH231=ROUNDDOWN(($C233+($D233+$C234-1)/12),0),(AH232+AG234)/$C234*($D234+(AH231-$C233-1)*12+$E234),IF(AH231&gt;ROUNDDOWN(($C233+($D233+$C234)/12),0),0,0)))))))</f>
        <v/>
      </c>
      <c r="AI233" s="128" t="str">
        <f t="shared" ref="AI233" ca="1" si="1463">IF(AI231="","",IF(AI231&lt;$C233,0,IF(AI231=$C233,AI232/$C234*$E234+AH234/$C234*$E234,IF(AND(AI231&gt;$C233,AI231&lt;ROUNDDOWN(($C233+($D233+$C234-1)/12),0)),(AI232/2+AH234)/($C234-$E234-12*(AI231-$C233-1))*12,IF(AND($D234&lt;0,AI231=ROUNDDOWN(($C233+($D233+$C234-1)/12),0)),AH234+AI232,IF(AI231=ROUNDDOWN(($C233+($D233+$C234-1)/12),0),(AI232+AH234)/$C234*($D234+(AI231-$C233-1)*12+$E234),IF(AI231&gt;ROUNDDOWN(($C233+($D233+$C234)/12),0),0,0)))))))</f>
        <v/>
      </c>
      <c r="AJ233" s="128" t="str">
        <f t="shared" ref="AJ233" ca="1" si="1464">IF(AJ231="","",IF(AJ231&lt;$C233,0,IF(AJ231=$C233,AJ232/$C234*$E234+AI234/$C234*$E234,IF(AND(AJ231&gt;$C233,AJ231&lt;ROUNDDOWN(($C233+($D233+$C234-1)/12),0)),(AJ232/2+AI234)/($C234-$E234-12*(AJ231-$C233-1))*12,IF(AND($D234&lt;0,AJ231=ROUNDDOWN(($C233+($D233+$C234-1)/12),0)),AI234+AJ232,IF(AJ231=ROUNDDOWN(($C233+($D233+$C234-1)/12),0),(AJ232+AI234)/$C234*($D234+(AJ231-$C233-1)*12+$E234),IF(AJ231&gt;ROUNDDOWN(($C233+($D233+$C234)/12),0),0,0)))))))</f>
        <v/>
      </c>
      <c r="AK233" s="128" t="str">
        <f t="shared" ref="AK233" ca="1" si="1465">IF(AK231="","",IF(AK231&lt;$C233,0,IF(AK231=$C233,AK232/$C234*$E234+AJ234/$C234*$E234,IF(AND(AK231&gt;$C233,AK231&lt;ROUNDDOWN(($C233+($D233+$C234-1)/12),0)),(AK232/2+AJ234)/($C234-$E234-12*(AK231-$C233-1))*12,IF(AND($D234&lt;0,AK231=ROUNDDOWN(($C233+($D233+$C234-1)/12),0)),AJ234+AK232,IF(AK231=ROUNDDOWN(($C233+($D233+$C234-1)/12),0),(AK232+AJ234)/$C234*($D234+(AK231-$C233-1)*12+$E234),IF(AK231&gt;ROUNDDOWN(($C233+($D233+$C234)/12),0),0,0)))))))</f>
        <v/>
      </c>
      <c r="AL233" s="128" t="str">
        <f t="shared" ref="AL233" ca="1" si="1466">IF(AL231="","",IF(AL231&lt;$C233,0,IF(AL231=$C233,AL232/$C234*$E234+AK234/$C234*$E234,IF(AND(AL231&gt;$C233,AL231&lt;ROUNDDOWN(($C233+($D233+$C234-1)/12),0)),(AL232/2+AK234)/($C234-$E234-12*(AL231-$C233-1))*12,IF(AND($D234&lt;0,AL231=ROUNDDOWN(($C233+($D233+$C234-1)/12),0)),AK234+AL232,IF(AL231=ROUNDDOWN(($C233+($D233+$C234-1)/12),0),(AL232+AK234)/$C234*($D234+(AL231-$C233-1)*12+$E234),IF(AL231&gt;ROUNDDOWN(($C233+($D233+$C234)/12),0),0,0)))))))</f>
        <v/>
      </c>
      <c r="AM233" s="128" t="str">
        <f t="shared" ref="AM233" ca="1" si="1467">IF(AM231="","",IF(AM231&lt;$C233,0,IF(AM231=$C233,AM232/$C234*$E234+AL234/$C234*$E234,IF(AND(AM231&gt;$C233,AM231&lt;ROUNDDOWN(($C233+($D233+$C234-1)/12),0)),(AM232/2+AL234)/($C234-$E234-12*(AM231-$C233-1))*12,IF(AND($D234&lt;0,AM231=ROUNDDOWN(($C233+($D233+$C234-1)/12),0)),AL234+AM232,IF(AM231=ROUNDDOWN(($C233+($D233+$C234-1)/12),0),(AM232+AL234)/$C234*($D234+(AM231-$C233-1)*12+$E234),IF(AM231&gt;ROUNDDOWN(($C233+($D233+$C234)/12),0),0,0)))))))</f>
        <v/>
      </c>
      <c r="AN233" s="128" t="str">
        <f t="shared" ref="AN233" ca="1" si="1468">IF(AN231="","",IF(AN231&lt;$C233,0,IF(AN231=$C233,AN232/$C234*$E234+AM234/$C234*$E234,IF(AND(AN231&gt;$C233,AN231&lt;ROUNDDOWN(($C233+($D233+$C234-1)/12),0)),(AN232/2+AM234)/($C234-$E234-12*(AN231-$C233-1))*12,IF(AND($D234&lt;0,AN231=ROUNDDOWN(($C233+($D233+$C234-1)/12),0)),AM234+AN232,IF(AN231=ROUNDDOWN(($C233+($D233+$C234-1)/12),0),(AN232+AM234)/$C234*($D234+(AN231-$C233-1)*12+$E234),IF(AN231&gt;ROUNDDOWN(($C233+($D233+$C234)/12),0),0,0)))))))</f>
        <v/>
      </c>
      <c r="AO233" s="128" t="str">
        <f t="shared" ref="AO233" ca="1" si="1469">IF(AO231="","",IF(AO231&lt;$C233,0,IF(AO231=$C233,AO232/$C234*$E234+AN234/$C234*$E234,IF(AND(AO231&gt;$C233,AO231&lt;ROUNDDOWN(($C233+($D233+$C234-1)/12),0)),(AO232/2+AN234)/($C234-$E234-12*(AO231-$C233-1))*12,IF(AND($D234&lt;0,AO231=ROUNDDOWN(($C233+($D233+$C234-1)/12),0)),AN234+AO232,IF(AO231=ROUNDDOWN(($C233+($D233+$C234-1)/12),0),(AO232+AN234)/$C234*($D234+(AO231-$C233-1)*12+$E234),IF(AO231&gt;ROUNDDOWN(($C233+($D233+$C234)/12),0),0,0)))))))</f>
        <v/>
      </c>
      <c r="AP233" s="128" t="str">
        <f t="shared" ref="AP233" ca="1" si="1470">IF(AP231="","",IF(AP231&lt;$C233,0,IF(AP231=$C233,AP232/$C234*$E234+AO234/$C234*$E234,IF(AND(AP231&gt;$C233,AP231&lt;ROUNDDOWN(($C233+($D233+$C234-1)/12),0)),(AP232/2+AO234)/($C234-$E234-12*(AP231-$C233-1))*12,IF(AND($D234&lt;0,AP231=ROUNDDOWN(($C233+($D233+$C234-1)/12),0)),AO234+AP232,IF(AP231=ROUNDDOWN(($C233+($D233+$C234-1)/12),0),(AP232+AO234)/$C234*($D234+(AP231-$C233-1)*12+$E234),IF(AP231&gt;ROUNDDOWN(($C233+($D233+$C234)/12),0),0,0)))))))</f>
        <v/>
      </c>
      <c r="AQ233" s="128" t="str">
        <f t="shared" ref="AQ233" ca="1" si="1471">IF(AQ231="","",IF(AQ231&lt;$C233,0,IF(AQ231=$C233,AQ232/$C234*$E234+AP234/$C234*$E234,IF(AND(AQ231&gt;$C233,AQ231&lt;ROUNDDOWN(($C233+($D233+$C234-1)/12),0)),(AQ232/2+AP234)/($C234-$E234-12*(AQ231-$C233-1))*12,IF(AND($D234&lt;0,AQ231=ROUNDDOWN(($C233+($D233+$C234-1)/12),0)),AP234+AQ232,IF(AQ231=ROUNDDOWN(($C233+($D233+$C234-1)/12),0),(AQ232+AP234)/$C234*($D234+(AQ231-$C233-1)*12+$E234),IF(AQ231&gt;ROUNDDOWN(($C233+($D233+$C234)/12),0),0,0)))))))</f>
        <v/>
      </c>
      <c r="AR233" s="128" t="str">
        <f t="shared" ref="AR233" ca="1" si="1472">IF(AR231="","",IF(AR231&lt;$C233,0,IF(AR231=$C233,AR232/$C234*$E234+AQ234/$C234*$E234,IF(AND(AR231&gt;$C233,AR231&lt;ROUNDDOWN(($C233+($D233+$C234-1)/12),0)),(AR232/2+AQ234)/($C234-$E234-12*(AR231-$C233-1))*12,IF(AND($D234&lt;0,AR231=ROUNDDOWN(($C233+($D233+$C234-1)/12),0)),AQ234+AR232,IF(AR231=ROUNDDOWN(($C233+($D233+$C234-1)/12),0),(AR232+AQ234)/$C234*($D234+(AR231-$C233-1)*12+$E234),IF(AR231&gt;ROUNDDOWN(($C233+($D233+$C234)/12),0),0,0)))))))</f>
        <v/>
      </c>
      <c r="AS233" s="128" t="str">
        <f t="shared" ref="AS233" ca="1" si="1473">IF(AS231="","",IF(AS231&lt;$C233,0,IF(AS231=$C233,AS232/$C234*$E234+AR234/$C234*$E234,IF(AND(AS231&gt;$C233,AS231&lt;ROUNDDOWN(($C233+($D233+$C234-1)/12),0)),(AS232/2+AR234)/($C234-$E234-12*(AS231-$C233-1))*12,IF(AND($D234&lt;0,AS231=ROUNDDOWN(($C233+($D233+$C234-1)/12),0)),AR234+AS232,IF(AS231=ROUNDDOWN(($C233+($D233+$C234-1)/12),0),(AS232+AR234)/$C234*($D234+(AS231-$C233-1)*12+$E234),IF(AS231&gt;ROUNDDOWN(($C233+($D233+$C234)/12),0),0,0)))))))</f>
        <v/>
      </c>
      <c r="AT233" s="128" t="str">
        <f t="shared" ref="AT233" ca="1" si="1474">IF(AT231="","",IF(AT231&lt;$C233,0,IF(AT231=$C233,AT232/$C234*$E234+AS234/$C234*$E234,IF(AND(AT231&gt;$C233,AT231&lt;ROUNDDOWN(($C233+($D233+$C234-1)/12),0)),(AT232/2+AS234)/($C234-$E234-12*(AT231-$C233-1))*12,IF(AND($D234&lt;0,AT231=ROUNDDOWN(($C233+($D233+$C234-1)/12),0)),AS234+AT232,IF(AT231=ROUNDDOWN(($C233+($D233+$C234-1)/12),0),(AT232+AS234)/$C234*($D234+(AT231-$C233-1)*12+$E234),IF(AT231&gt;ROUNDDOWN(($C233+($D233+$C234)/12),0),0,0)))))))</f>
        <v/>
      </c>
      <c r="AU233" s="128" t="str">
        <f t="shared" ref="AU233" ca="1" si="1475">IF(AU231="","",IF(AU231&lt;$C233,0,IF(AU231=$C233,AU232/$C234*$E234+AT234/$C234*$E234,IF(AND(AU231&gt;$C233,AU231&lt;ROUNDDOWN(($C233+($D233+$C234-1)/12),0)),(AU232/2+AT234)/($C234-$E234-12*(AU231-$C233-1))*12,IF(AND($D234&lt;0,AU231=ROUNDDOWN(($C233+($D233+$C234-1)/12),0)),AT234+AU232,IF(AU231=ROUNDDOWN(($C233+($D233+$C234-1)/12),0),(AU232+AT234)/$C234*($D234+(AU231-$C233-1)*12+$E234),IF(AU231&gt;ROUNDDOWN(($C233+($D233+$C234)/12),0),0,0)))))))</f>
        <v/>
      </c>
      <c r="AV233" s="128" t="str">
        <f t="shared" ref="AV233" ca="1" si="1476">IF(AV231="","",IF(AV231&lt;$C233,0,IF(AV231=$C233,AV232/$C234*$E234+AU234/$C234*$E234,IF(AND(AV231&gt;$C233,AV231&lt;ROUNDDOWN(($C233+($D233+$C234-1)/12),0)),(AV232/2+AU234)/($C234-$E234-12*(AV231-$C233-1))*12,IF(AND($D234&lt;0,AV231=ROUNDDOWN(($C233+($D233+$C234-1)/12),0)),AU234+AV232,IF(AV231=ROUNDDOWN(($C233+($D233+$C234-1)/12),0),(AV232+AU234)/$C234*($D234+(AV231-$C233-1)*12+$E234),IF(AV231&gt;ROUNDDOWN(($C233+($D233+$C234)/12),0),0,0)))))))</f>
        <v/>
      </c>
      <c r="AW233" s="128" t="str">
        <f t="shared" ref="AW233" ca="1" si="1477">IF(AW231="","",IF(AW231&lt;$C233,0,IF(AW231=$C233,AW232/$C234*$E234+AV234/$C234*$E234,IF(AND(AW231&gt;$C233,AW231&lt;ROUNDDOWN(($C233+($D233+$C234-1)/12),0)),(AW232/2+AV234)/($C234-$E234-12*(AW231-$C233-1))*12,IF(AND($D234&lt;0,AW231=ROUNDDOWN(($C233+($D233+$C234-1)/12),0)),AV234+AW232,IF(AW231=ROUNDDOWN(($C233+($D233+$C234-1)/12),0),(AW232+AV234)/$C234*($D234+(AW231-$C233-1)*12+$E234),IF(AW231&gt;ROUNDDOWN(($C233+($D233+$C234)/12),0),0,0)))))))</f>
        <v/>
      </c>
      <c r="AX233" s="104"/>
      <c r="AY233" s="104"/>
      <c r="AZ233" s="101"/>
    </row>
    <row r="234" spans="3:52" ht="12.75" hidden="1" customHeight="1" outlineLevel="1" x14ac:dyDescent="0.25">
      <c r="C234" s="142">
        <f>ROUNDUP((E233-ROUNDDOWN(E233,0))*12,0)+ROUNDDOWN(E233,0)*12</f>
        <v>0</v>
      </c>
      <c r="D234" s="142">
        <f>C234-E234-ROUNDDOWN(E233,0)*12</f>
        <v>-12</v>
      </c>
      <c r="E234" s="142">
        <f>13-MONTH(C232)</f>
        <v>12</v>
      </c>
      <c r="N234" s="99"/>
      <c r="O234" s="104"/>
      <c r="P234" s="104"/>
      <c r="Q234" s="129" t="str">
        <f>INDEX(g_lang_val,MATCH("tb_2_4_3",g_lang_key,0))</f>
        <v>FF4-gæld, ultimo året</v>
      </c>
      <c r="R234" s="130"/>
      <c r="S234" s="133"/>
      <c r="T234" s="128">
        <f t="shared" ref="T234" ca="1" si="1478">IF(T231="","",S234+T232-T233)</f>
        <v>0</v>
      </c>
      <c r="U234" s="128">
        <f t="shared" ref="U234" ca="1" si="1479">IF(U231="","",T234+U232-U233)</f>
        <v>0</v>
      </c>
      <c r="V234" s="128">
        <f t="shared" ref="V234" ca="1" si="1480">IF(V231="","",U234+V232-V233)</f>
        <v>0</v>
      </c>
      <c r="W234" s="128">
        <f t="shared" ref="W234" ca="1" si="1481">IF(W231="","",V234+W232-W233)</f>
        <v>0</v>
      </c>
      <c r="X234" s="128" t="str">
        <f t="shared" ref="X234" ca="1" si="1482">IF(X231="","",W234+X232-X233)</f>
        <v/>
      </c>
      <c r="Y234" s="128" t="str">
        <f t="shared" ref="Y234" ca="1" si="1483">IF(Y231="","",X234+Y232-Y233)</f>
        <v/>
      </c>
      <c r="Z234" s="128" t="str">
        <f t="shared" ref="Z234" ca="1" si="1484">IF(Z231="","",Y234+Z232-Z233)</f>
        <v/>
      </c>
      <c r="AA234" s="128" t="str">
        <f t="shared" ref="AA234" ca="1" si="1485">IF(AA231="","",Z234+AA232-AA233)</f>
        <v/>
      </c>
      <c r="AB234" s="128" t="str">
        <f t="shared" ref="AB234" ca="1" si="1486">IF(AB231="","",AA234+AB232-AB233)</f>
        <v/>
      </c>
      <c r="AC234" s="128" t="str">
        <f t="shared" ref="AC234" ca="1" si="1487">IF(AC231="","",AB234+AC232-AC233)</f>
        <v/>
      </c>
      <c r="AD234" s="128" t="str">
        <f t="shared" ref="AD234" ca="1" si="1488">IF(AD231="","",AC234+AD232-AD233)</f>
        <v/>
      </c>
      <c r="AE234" s="128" t="str">
        <f t="shared" ref="AE234" ca="1" si="1489">IF(AE231="","",AD234+AE232-AE233)</f>
        <v/>
      </c>
      <c r="AF234" s="128" t="str">
        <f t="shared" ref="AF234" ca="1" si="1490">IF(AF231="","",AE234+AF232-AF233)</f>
        <v/>
      </c>
      <c r="AG234" s="128" t="str">
        <f t="shared" ref="AG234" ca="1" si="1491">IF(AG231="","",AF234+AG232-AG233)</f>
        <v/>
      </c>
      <c r="AH234" s="128" t="str">
        <f t="shared" ref="AH234" ca="1" si="1492">IF(AH231="","",AG234+AH232-AH233)</f>
        <v/>
      </c>
      <c r="AI234" s="128" t="str">
        <f t="shared" ref="AI234" ca="1" si="1493">IF(AI231="","",AH234+AI232-AI233)</f>
        <v/>
      </c>
      <c r="AJ234" s="128" t="str">
        <f t="shared" ref="AJ234" ca="1" si="1494">IF(AJ231="","",AI234+AJ232-AJ233)</f>
        <v/>
      </c>
      <c r="AK234" s="128" t="str">
        <f t="shared" ref="AK234" ca="1" si="1495">IF(AK231="","",AJ234+AK232-AK233)</f>
        <v/>
      </c>
      <c r="AL234" s="128" t="str">
        <f t="shared" ref="AL234" ca="1" si="1496">IF(AL231="","",AK234+AL232-AL233)</f>
        <v/>
      </c>
      <c r="AM234" s="128" t="str">
        <f t="shared" ref="AM234" ca="1" si="1497">IF(AM231="","",AL234+AM232-AM233)</f>
        <v/>
      </c>
      <c r="AN234" s="128" t="str">
        <f t="shared" ref="AN234" ca="1" si="1498">IF(AN231="","",AM234+AN232-AN233)</f>
        <v/>
      </c>
      <c r="AO234" s="128" t="str">
        <f t="shared" ref="AO234" ca="1" si="1499">IF(AO231="","",AN234+AO232-AO233)</f>
        <v/>
      </c>
      <c r="AP234" s="128" t="str">
        <f t="shared" ref="AP234" ca="1" si="1500">IF(AP231="","",AO234+AP232-AP233)</f>
        <v/>
      </c>
      <c r="AQ234" s="128" t="str">
        <f t="shared" ref="AQ234" ca="1" si="1501">IF(AQ231="","",AP234+AQ232-AQ233)</f>
        <v/>
      </c>
      <c r="AR234" s="128" t="str">
        <f t="shared" ref="AR234" ca="1" si="1502">IF(AR231="","",AQ234+AR232-AR233)</f>
        <v/>
      </c>
      <c r="AS234" s="128" t="str">
        <f t="shared" ref="AS234" ca="1" si="1503">IF(AS231="","",AR234+AS232-AS233)</f>
        <v/>
      </c>
      <c r="AT234" s="128" t="str">
        <f t="shared" ref="AT234" ca="1" si="1504">IF(AT231="","",AS234+AT232-AT233)</f>
        <v/>
      </c>
      <c r="AU234" s="128" t="str">
        <f t="shared" ref="AU234" ca="1" si="1505">IF(AU231="","",AT234+AU232-AU233)</f>
        <v/>
      </c>
      <c r="AV234" s="128" t="str">
        <f t="shared" ref="AV234" ca="1" si="1506">IF(AV231="","",AU234+AV232-AV233)</f>
        <v/>
      </c>
      <c r="AW234" s="128" t="str">
        <f t="shared" ref="AW234" ca="1" si="1507">IF(AW231="","",AV234+AW232-AW233)</f>
        <v/>
      </c>
      <c r="AX234" s="104"/>
      <c r="AY234" s="104"/>
      <c r="AZ234" s="101"/>
    </row>
    <row r="235" spans="3:52" ht="12.75" hidden="1" customHeight="1" outlineLevel="1" x14ac:dyDescent="0.25">
      <c r="N235" s="99"/>
      <c r="O235" s="104"/>
      <c r="P235" s="104"/>
      <c r="Q235" s="129" t="str">
        <f>INDEX(g_lang_val,MATCH("tb_2_4_4",g_lang_key,0))</f>
        <v>Renter (FF4)</v>
      </c>
      <c r="R235" s="130"/>
      <c r="S235" s="133">
        <f ca="1">SUM(T235:BG235)</f>
        <v>0</v>
      </c>
      <c r="T235" s="128">
        <f t="shared" ref="T235" ca="1" si="1508">IF(T231="","",g_interest_FF4*(S234+(T232/2)-(T233/2)))</f>
        <v>0</v>
      </c>
      <c r="U235" s="128">
        <f t="shared" ref="U235" ca="1" si="1509">IF(U231="","",g_interest_FF4*(T234+(U232/2)-(U233/2)))</f>
        <v>0</v>
      </c>
      <c r="V235" s="128">
        <f t="shared" ref="V235" ca="1" si="1510">IF(V231="","",g_interest_FF4*(U234+(V232/2)-(V233/2)))</f>
        <v>0</v>
      </c>
      <c r="W235" s="128">
        <f t="shared" ref="W235" ca="1" si="1511">IF(W231="","",g_interest_FF4*(V234+(W232/2)-(W233/2)))</f>
        <v>0</v>
      </c>
      <c r="X235" s="128" t="str">
        <f t="shared" ref="X235" ca="1" si="1512">IF(X231="","",g_interest_FF4*(W234+(X232/2)-(X233/2)))</f>
        <v/>
      </c>
      <c r="Y235" s="128" t="str">
        <f t="shared" ref="Y235" ca="1" si="1513">IF(Y231="","",g_interest_FF4*(X234+(Y232/2)-(Y233/2)))</f>
        <v/>
      </c>
      <c r="Z235" s="128" t="str">
        <f t="shared" ref="Z235" ca="1" si="1514">IF(Z231="","",g_interest_FF4*(Y234+(Z232/2)-(Z233/2)))</f>
        <v/>
      </c>
      <c r="AA235" s="128" t="str">
        <f t="shared" ref="AA235" ca="1" si="1515">IF(AA231="","",g_interest_FF4*(Z234+(AA232/2)-(AA233/2)))</f>
        <v/>
      </c>
      <c r="AB235" s="128" t="str">
        <f t="shared" ref="AB235" ca="1" si="1516">IF(AB231="","",g_interest_FF4*(AA234+(AB232/2)-(AB233/2)))</f>
        <v/>
      </c>
      <c r="AC235" s="128" t="str">
        <f t="shared" ref="AC235" ca="1" si="1517">IF(AC231="","",g_interest_FF4*(AB234+(AC232/2)-(AC233/2)))</f>
        <v/>
      </c>
      <c r="AD235" s="128" t="str">
        <f t="shared" ref="AD235" ca="1" si="1518">IF(AD231="","",g_interest_FF4*(AC234+(AD232/2)-(AD233/2)))</f>
        <v/>
      </c>
      <c r="AE235" s="128" t="str">
        <f t="shared" ref="AE235" ca="1" si="1519">IF(AE231="","",g_interest_FF4*(AD234+(AE232/2)-(AE233/2)))</f>
        <v/>
      </c>
      <c r="AF235" s="128" t="str">
        <f t="shared" ref="AF235" ca="1" si="1520">IF(AF231="","",g_interest_FF4*(AE234+(AF232/2)-(AF233/2)))</f>
        <v/>
      </c>
      <c r="AG235" s="128" t="str">
        <f t="shared" ref="AG235" ca="1" si="1521">IF(AG231="","",g_interest_FF4*(AF234+(AG232/2)-(AG233/2)))</f>
        <v/>
      </c>
      <c r="AH235" s="128" t="str">
        <f t="shared" ref="AH235" ca="1" si="1522">IF(AH231="","",g_interest_FF4*(AG234+(AH232/2)-(AH233/2)))</f>
        <v/>
      </c>
      <c r="AI235" s="128" t="str">
        <f t="shared" ref="AI235" ca="1" si="1523">IF(AI231="","",g_interest_FF4*(AH234+(AI232/2)-(AI233/2)))</f>
        <v/>
      </c>
      <c r="AJ235" s="128" t="str">
        <f t="shared" ref="AJ235" ca="1" si="1524">IF(AJ231="","",g_interest_FF4*(AI234+(AJ232/2)-(AJ233/2)))</f>
        <v/>
      </c>
      <c r="AK235" s="128" t="str">
        <f t="shared" ref="AK235" ca="1" si="1525">IF(AK231="","",g_interest_FF4*(AJ234+(AK232/2)-(AK233/2)))</f>
        <v/>
      </c>
      <c r="AL235" s="128" t="str">
        <f t="shared" ref="AL235" ca="1" si="1526">IF(AL231="","",g_interest_FF4*(AK234+(AL232/2)-(AL233/2)))</f>
        <v/>
      </c>
      <c r="AM235" s="128" t="str">
        <f t="shared" ref="AM235" ca="1" si="1527">IF(AM231="","",g_interest_FF4*(AL234+(AM232/2)-(AM233/2)))</f>
        <v/>
      </c>
      <c r="AN235" s="128" t="str">
        <f t="shared" ref="AN235" ca="1" si="1528">IF(AN231="","",g_interest_FF4*(AM234+(AN232/2)-(AN233/2)))</f>
        <v/>
      </c>
      <c r="AO235" s="128" t="str">
        <f t="shared" ref="AO235" ca="1" si="1529">IF(AO231="","",g_interest_FF4*(AN234+(AO232/2)-(AO233/2)))</f>
        <v/>
      </c>
      <c r="AP235" s="128" t="str">
        <f t="shared" ref="AP235" ca="1" si="1530">IF(AP231="","",g_interest_FF4*(AO234+(AP232/2)-(AP233/2)))</f>
        <v/>
      </c>
      <c r="AQ235" s="128" t="str">
        <f t="shared" ref="AQ235" ca="1" si="1531">IF(AQ231="","",g_interest_FF4*(AP234+(AQ232/2)-(AQ233/2)))</f>
        <v/>
      </c>
      <c r="AR235" s="128" t="str">
        <f t="shared" ref="AR235" ca="1" si="1532">IF(AR231="","",g_interest_FF4*(AQ234+(AR232/2)-(AR233/2)))</f>
        <v/>
      </c>
      <c r="AS235" s="128" t="str">
        <f t="shared" ref="AS235" ca="1" si="1533">IF(AS231="","",g_interest_FF4*(AR234+(AS232/2)-(AS233/2)))</f>
        <v/>
      </c>
      <c r="AT235" s="128" t="str">
        <f t="shared" ref="AT235" ca="1" si="1534">IF(AT231="","",g_interest_FF4*(AS234+(AT232/2)-(AT233/2)))</f>
        <v/>
      </c>
      <c r="AU235" s="128" t="str">
        <f t="shared" ref="AU235" ca="1" si="1535">IF(AU231="","",g_interest_FF4*(AT234+(AU232/2)-(AU233/2)))</f>
        <v/>
      </c>
      <c r="AV235" s="128" t="str">
        <f t="shared" ref="AV235" ca="1" si="1536">IF(AV231="","",g_interest_FF4*(AU234+(AV232/2)-(AV233/2)))</f>
        <v/>
      </c>
      <c r="AW235" s="128" t="str">
        <f t="shared" ref="AW235" ca="1" si="1537">IF(AW231="","",g_interest_FF4*(AV234+(AW232/2)-(AW233/2)))</f>
        <v/>
      </c>
      <c r="AX235" s="104"/>
      <c r="AY235" s="104"/>
      <c r="AZ235" s="101"/>
    </row>
    <row r="236" spans="3:52" ht="12.75" hidden="1" customHeight="1" outlineLevel="1" x14ac:dyDescent="0.25">
      <c r="N236" s="99"/>
      <c r="O236" s="116"/>
      <c r="P236" s="116"/>
      <c r="Q236" s="132" t="str">
        <f>INDEX(g_assets_sc_1,20)</f>
        <v/>
      </c>
      <c r="R236" s="130"/>
      <c r="S236" s="133"/>
      <c r="T236" s="139">
        <f ca="1">T$150</f>
        <v>2025</v>
      </c>
      <c r="U236" s="139">
        <f t="shared" ref="U236:AW236" ca="1" si="1538">U$150</f>
        <v>2026</v>
      </c>
      <c r="V236" s="139">
        <f t="shared" ca="1" si="1538"/>
        <v>2027</v>
      </c>
      <c r="W236" s="139">
        <f t="shared" ca="1" si="1538"/>
        <v>2028</v>
      </c>
      <c r="X236" s="139" t="str">
        <f t="shared" ca="1" si="1538"/>
        <v/>
      </c>
      <c r="Y236" s="139" t="str">
        <f t="shared" ca="1" si="1538"/>
        <v/>
      </c>
      <c r="Z236" s="139" t="str">
        <f t="shared" ca="1" si="1538"/>
        <v/>
      </c>
      <c r="AA236" s="139" t="str">
        <f t="shared" ca="1" si="1538"/>
        <v/>
      </c>
      <c r="AB236" s="139" t="str">
        <f t="shared" ca="1" si="1538"/>
        <v/>
      </c>
      <c r="AC236" s="139" t="str">
        <f t="shared" ca="1" si="1538"/>
        <v/>
      </c>
      <c r="AD236" s="139" t="str">
        <f t="shared" ca="1" si="1538"/>
        <v/>
      </c>
      <c r="AE236" s="139" t="str">
        <f t="shared" ca="1" si="1538"/>
        <v/>
      </c>
      <c r="AF236" s="139" t="str">
        <f t="shared" ca="1" si="1538"/>
        <v/>
      </c>
      <c r="AG236" s="139" t="str">
        <f t="shared" ca="1" si="1538"/>
        <v/>
      </c>
      <c r="AH236" s="139" t="str">
        <f t="shared" ca="1" si="1538"/>
        <v/>
      </c>
      <c r="AI236" s="139" t="str">
        <f t="shared" ca="1" si="1538"/>
        <v/>
      </c>
      <c r="AJ236" s="139" t="str">
        <f t="shared" ca="1" si="1538"/>
        <v/>
      </c>
      <c r="AK236" s="139" t="str">
        <f t="shared" ca="1" si="1538"/>
        <v/>
      </c>
      <c r="AL236" s="139" t="str">
        <f t="shared" ca="1" si="1538"/>
        <v/>
      </c>
      <c r="AM236" s="139" t="str">
        <f t="shared" ca="1" si="1538"/>
        <v/>
      </c>
      <c r="AN236" s="139" t="str">
        <f t="shared" ca="1" si="1538"/>
        <v/>
      </c>
      <c r="AO236" s="139" t="str">
        <f t="shared" ca="1" si="1538"/>
        <v/>
      </c>
      <c r="AP236" s="139" t="str">
        <f t="shared" ca="1" si="1538"/>
        <v/>
      </c>
      <c r="AQ236" s="139" t="str">
        <f t="shared" ca="1" si="1538"/>
        <v/>
      </c>
      <c r="AR236" s="139" t="str">
        <f t="shared" ca="1" si="1538"/>
        <v/>
      </c>
      <c r="AS236" s="139" t="str">
        <f t="shared" ca="1" si="1538"/>
        <v/>
      </c>
      <c r="AT236" s="139" t="str">
        <f t="shared" ca="1" si="1538"/>
        <v/>
      </c>
      <c r="AU236" s="139" t="str">
        <f t="shared" ca="1" si="1538"/>
        <v/>
      </c>
      <c r="AV236" s="139" t="str">
        <f t="shared" ca="1" si="1538"/>
        <v/>
      </c>
      <c r="AW236" s="139" t="str">
        <f t="shared" ca="1" si="1538"/>
        <v/>
      </c>
      <c r="AX236" s="116"/>
      <c r="AY236" s="116"/>
      <c r="AZ236" s="101"/>
    </row>
    <row r="237" spans="3:52" ht="12.75" hidden="1" customHeight="1" outlineLevel="1" x14ac:dyDescent="0.25">
      <c r="C237" s="140">
        <f>INDEX(g_sc_1_assets_dates,G237)</f>
        <v>0</v>
      </c>
      <c r="G237" s="141">
        <v>18</v>
      </c>
      <c r="N237" s="99"/>
      <c r="O237" s="104"/>
      <c r="P237" s="104"/>
      <c r="Q237" s="129" t="str">
        <f>INDEX(g_lang_val,MATCH("tb_2_4_1",g_lang_key,0))</f>
        <v>Køb af anlægsaktiver</v>
      </c>
      <c r="R237" s="130"/>
      <c r="S237" s="133">
        <f ca="1">SUM(T237:BG237)</f>
        <v>0</v>
      </c>
      <c r="T237" s="128">
        <f ca="1">IF(T236="","",SUMPRODUCT(--(Leverancer!$C$28:$C$88=($G237+2)),Leverancer!D$28:D$88)/1000)</f>
        <v>0</v>
      </c>
      <c r="U237" s="128">
        <f ca="1">IF(U236="","",SUMPRODUCT(--(Leverancer!$C$28:$C$88=($G237+2)),Leverancer!E$28:E$88)/1000)</f>
        <v>0</v>
      </c>
      <c r="V237" s="128">
        <f ca="1">IF(V236="","",SUMPRODUCT(--(Leverancer!$C$28:$C$88=($G237+2)),Leverancer!F$28:F$88)/1000)</f>
        <v>0</v>
      </c>
      <c r="W237" s="128">
        <f ca="1">IF(W236="","",SUMPRODUCT(--(Leverancer!$C$28:$C$88=($G237+2)),Leverancer!G$28:G$88)/1000)</f>
        <v>0</v>
      </c>
      <c r="X237" s="128" t="str">
        <f ca="1">IF(X236="","",SUMPRODUCT(--(Leverancer!$C$28:$C$88=($G237+2)),Leverancer!H$28:H$88)/1000)</f>
        <v/>
      </c>
      <c r="Y237" s="128" t="str">
        <f ca="1">IF(Y236="","",SUMPRODUCT(--(Leverancer!$C$28:$C$88=($G237+2)),Leverancer!I$28:I$88)/1000)</f>
        <v/>
      </c>
      <c r="Z237" s="128" t="str">
        <f ca="1">IF(Z236="","",SUMPRODUCT(--(Leverancer!$C$28:$C$88=($G237+2)),Leverancer!J$28:J$88)/1000)</f>
        <v/>
      </c>
      <c r="AA237" s="128" t="str">
        <f ca="1">IF(AA236="","",SUMPRODUCT(--(Leverancer!$C$28:$C$88=($G237+2)),Leverancer!K$28:K$88)/1000)</f>
        <v/>
      </c>
      <c r="AB237" s="128" t="str">
        <f ca="1">IF(AB236="","",SUMPRODUCT(--(Leverancer!$C$28:$C$88=($G237+2)),Leverancer!L$28:L$88)/1000)</f>
        <v/>
      </c>
      <c r="AC237" s="128" t="str">
        <f ca="1">IF(AC236="","",SUMPRODUCT(--(Leverancer!$C$28:$C$88=($G237+2)),Leverancer!M$28:M$88)/1000)</f>
        <v/>
      </c>
      <c r="AD237" s="128" t="str">
        <f ca="1">IF(AD236="","",SUMPRODUCT(--(Leverancer!$C$28:$C$88=($G237+2)),Leverancer!N$28:N$88)/1000)</f>
        <v/>
      </c>
      <c r="AE237" s="128" t="str">
        <f ca="1">IF(AE236="","",SUMPRODUCT(--(Leverancer!$C$28:$C$88=($G237+2)),Leverancer!O$28:O$88)/1000)</f>
        <v/>
      </c>
      <c r="AF237" s="128" t="str">
        <f ca="1">IF(AF236="","",SUMPRODUCT(--(Leverancer!$C$28:$C$88=($G237+2)),Leverancer!P$28:P$88)/1000)</f>
        <v/>
      </c>
      <c r="AG237" s="128" t="str">
        <f ca="1">IF(AG236="","",SUMPRODUCT(--(Leverancer!$C$28:$C$88=($G237+2)),Leverancer!Q$28:Q$88)/1000)</f>
        <v/>
      </c>
      <c r="AH237" s="128" t="str">
        <f ca="1">IF(AH236="","",SUMPRODUCT(--(Leverancer!$C$28:$C$88=($G237+2)),Leverancer!R$28:R$88)/1000)</f>
        <v/>
      </c>
      <c r="AI237" s="128" t="str">
        <f ca="1">IF(AI236="","",SUMPRODUCT(--(Leverancer!$C$28:$C$88=($G237+2)),Leverancer!S$28:S$88)/1000)</f>
        <v/>
      </c>
      <c r="AJ237" s="128" t="str">
        <f ca="1">IF(AJ236="","",SUMPRODUCT(--(Leverancer!$C$28:$C$88=($G237+2)),Leverancer!T$28:T$88)/1000)</f>
        <v/>
      </c>
      <c r="AK237" s="128" t="str">
        <f ca="1">IF(AK236="","",SUMPRODUCT(--(Leverancer!$C$28:$C$88=($G237+2)),Leverancer!U$28:U$88)/1000)</f>
        <v/>
      </c>
      <c r="AL237" s="128" t="str">
        <f ca="1">IF(AL236="","",SUMPRODUCT(--(Leverancer!$C$28:$C$88=($G237+2)),Leverancer!V$28:V$88)/1000)</f>
        <v/>
      </c>
      <c r="AM237" s="128" t="str">
        <f ca="1">IF(AM236="","",SUMPRODUCT(--(Leverancer!$C$28:$C$88=($G237+2)),Leverancer!W$28:W$88)/1000)</f>
        <v/>
      </c>
      <c r="AN237" s="128" t="str">
        <f ca="1">IF(AN236="","",SUMPRODUCT(--(Leverancer!$C$28:$C$88=($G237+2)),Leverancer!X$28:X$88)/1000)</f>
        <v/>
      </c>
      <c r="AO237" s="128" t="str">
        <f ca="1">IF(AO236="","",SUMPRODUCT(--(Leverancer!$C$28:$C$88=($G237+2)),Leverancer!Y$28:Y$88)/1000)</f>
        <v/>
      </c>
      <c r="AP237" s="128" t="str">
        <f ca="1">IF(AP236="","",SUMPRODUCT(--(Leverancer!$C$28:$C$88=($G237+2)),Leverancer!Z$28:Z$88)/1000)</f>
        <v/>
      </c>
      <c r="AQ237" s="128" t="str">
        <f ca="1">IF(AQ236="","",SUMPRODUCT(--(Leverancer!$C$28:$C$88=($G237+2)),Leverancer!AA$28:AA$88)/1000)</f>
        <v/>
      </c>
      <c r="AR237" s="128" t="str">
        <f ca="1">IF(AR236="","",SUMPRODUCT(--(Leverancer!$C$28:$C$88=($G237+2)),Leverancer!AB$28:AB$88)/1000)</f>
        <v/>
      </c>
      <c r="AS237" s="128" t="str">
        <f ca="1">IF(AS236="","",SUMPRODUCT(--(Leverancer!$C$28:$C$88=($G237+2)),Leverancer!AC$28:AC$88)/1000)</f>
        <v/>
      </c>
      <c r="AT237" s="128" t="str">
        <f ca="1">IF(AT236="","",SUMPRODUCT(--(Leverancer!$C$28:$C$88=($G237+2)),Leverancer!AD$28:AD$88)/1000)</f>
        <v/>
      </c>
      <c r="AU237" s="128" t="str">
        <f ca="1">IF(AU236="","",SUMPRODUCT(--(Leverancer!$C$28:$C$88=($G237+2)),Leverancer!AE$28:AE$88)/1000)</f>
        <v/>
      </c>
      <c r="AV237" s="128" t="str">
        <f ca="1">IF(AV236="","",SUMPRODUCT(--(Leverancer!$C$28:$C$88=($G237+2)),Leverancer!AF$28:AF$88)/1000)</f>
        <v/>
      </c>
      <c r="AW237" s="128" t="str">
        <f ca="1">IF(AW236="","",SUMPRODUCT(--(Leverancer!$C$28:$C$88=($G237+2)),Leverancer!AG$28:AG$88)/1000)</f>
        <v/>
      </c>
      <c r="AX237" s="104"/>
      <c r="AY237" s="104"/>
      <c r="AZ237" s="101"/>
    </row>
    <row r="238" spans="3:52" ht="12.75" hidden="1" customHeight="1" outlineLevel="1" x14ac:dyDescent="0.25">
      <c r="C238" s="142">
        <f>IFERROR(YEAR(C237),"")</f>
        <v>1900</v>
      </c>
      <c r="D238" s="142">
        <f>IFERROR(MONTH(C237),"")</f>
        <v>1</v>
      </c>
      <c r="E238" s="142">
        <f>INDEX(g_sc_1_assets_years,G237)</f>
        <v>0</v>
      </c>
      <c r="N238" s="99"/>
      <c r="O238" s="104"/>
      <c r="P238" s="104"/>
      <c r="Q238" s="129" t="str">
        <f>INDEX(g_lang_val,MATCH("tb_2_4_2",g_lang_key,0))</f>
        <v>Afskrivninger</v>
      </c>
      <c r="R238" s="130"/>
      <c r="S238" s="133">
        <f ca="1">SUM(T238:BG238)</f>
        <v>0</v>
      </c>
      <c r="T238" s="128">
        <f t="shared" ref="T238" ca="1" si="1539">IF(T236="","",IF(T236&lt;$C238,0,IF(T236=$C238,T237/$C239*$E239+S239/$C239*$E239,IF(AND(T236&gt;$C238,T236&lt;ROUNDDOWN(($C238+($D238+$C239-1)/12),0)),(T237/2+S239)/($C239-$E239-12*(T236-$C238-1))*12,IF(AND($D239&lt;0,T236=ROUNDDOWN(($C238+($D238+$C239-1)/12),0)),S239+T237,IF(T236=ROUNDDOWN(($C238+($D238+$C239-1)/12),0),(T237+S239)/$C239*($D239+(T236-$C238-1)*12+$E239),IF(T236&gt;ROUNDDOWN(($C238+($D238+$C239)/12),0),0,0)))))))</f>
        <v>0</v>
      </c>
      <c r="U238" s="128">
        <f t="shared" ref="U238" ca="1" si="1540">IF(U236="","",IF(U236&lt;$C238,0,IF(U236=$C238,U237/$C239*$E239+T239/$C239*$E239,IF(AND(U236&gt;$C238,U236&lt;ROUNDDOWN(($C238+($D238+$C239-1)/12),0)),(U237/2+T239)/($C239-$E239-12*(U236-$C238-1))*12,IF(AND($D239&lt;0,U236=ROUNDDOWN(($C238+($D238+$C239-1)/12),0)),T239+U237,IF(U236=ROUNDDOWN(($C238+($D238+$C239-1)/12),0),(U237+T239)/$C239*($D239+(U236-$C238-1)*12+$E239),IF(U236&gt;ROUNDDOWN(($C238+($D238+$C239)/12),0),0,0)))))))</f>
        <v>0</v>
      </c>
      <c r="V238" s="128">
        <f t="shared" ref="V238" ca="1" si="1541">IF(V236="","",IF(V236&lt;$C238,0,IF(V236=$C238,V237/$C239*$E239+U239/$C239*$E239,IF(AND(V236&gt;$C238,V236&lt;ROUNDDOWN(($C238+($D238+$C239-1)/12),0)),(V237/2+U239)/($C239-$E239-12*(V236-$C238-1))*12,IF(AND($D239&lt;0,V236=ROUNDDOWN(($C238+($D238+$C239-1)/12),0)),U239+V237,IF(V236=ROUNDDOWN(($C238+($D238+$C239-1)/12),0),(V237+U239)/$C239*($D239+(V236-$C238-1)*12+$E239),IF(V236&gt;ROUNDDOWN(($C238+($D238+$C239)/12),0),0,0)))))))</f>
        <v>0</v>
      </c>
      <c r="W238" s="128">
        <f t="shared" ref="W238" ca="1" si="1542">IF(W236="","",IF(W236&lt;$C238,0,IF(W236=$C238,W237/$C239*$E239+V239/$C239*$E239,IF(AND(W236&gt;$C238,W236&lt;ROUNDDOWN(($C238+($D238+$C239-1)/12),0)),(W237/2+V239)/($C239-$E239-12*(W236-$C238-1))*12,IF(AND($D239&lt;0,W236=ROUNDDOWN(($C238+($D238+$C239-1)/12),0)),V239+W237,IF(W236=ROUNDDOWN(($C238+($D238+$C239-1)/12),0),(W237+V239)/$C239*($D239+(W236-$C238-1)*12+$E239),IF(W236&gt;ROUNDDOWN(($C238+($D238+$C239)/12),0),0,0)))))))</f>
        <v>0</v>
      </c>
      <c r="X238" s="128" t="str">
        <f t="shared" ref="X238" ca="1" si="1543">IF(X236="","",IF(X236&lt;$C238,0,IF(X236=$C238,X237/$C239*$E239+W239/$C239*$E239,IF(AND(X236&gt;$C238,X236&lt;ROUNDDOWN(($C238+($D238+$C239-1)/12),0)),(X237/2+W239)/($C239-$E239-12*(X236-$C238-1))*12,IF(AND($D239&lt;0,X236=ROUNDDOWN(($C238+($D238+$C239-1)/12),0)),W239+X237,IF(X236=ROUNDDOWN(($C238+($D238+$C239-1)/12),0),(X237+W239)/$C239*($D239+(X236-$C238-1)*12+$E239),IF(X236&gt;ROUNDDOWN(($C238+($D238+$C239)/12),0),0,0)))))))</f>
        <v/>
      </c>
      <c r="Y238" s="128" t="str">
        <f t="shared" ref="Y238" ca="1" si="1544">IF(Y236="","",IF(Y236&lt;$C238,0,IF(Y236=$C238,Y237/$C239*$E239+X239/$C239*$E239,IF(AND(Y236&gt;$C238,Y236&lt;ROUNDDOWN(($C238+($D238+$C239-1)/12),0)),(Y237/2+X239)/($C239-$E239-12*(Y236-$C238-1))*12,IF(AND($D239&lt;0,Y236=ROUNDDOWN(($C238+($D238+$C239-1)/12),0)),X239+Y237,IF(Y236=ROUNDDOWN(($C238+($D238+$C239-1)/12),0),(Y237+X239)/$C239*($D239+(Y236-$C238-1)*12+$E239),IF(Y236&gt;ROUNDDOWN(($C238+($D238+$C239)/12),0),0,0)))))))</f>
        <v/>
      </c>
      <c r="Z238" s="128" t="str">
        <f ca="1">IF(Z236="","",IF(Z236&lt;$C238,0,IF(Z236=$C238,Z237/$C239*$E239+Y239/$C239*$E239,IF(AND(Z236&gt;$C238,Z236&lt;ROUNDDOWN(($C238+($D238+$C239-1)/12),0)),(Z237/2+Y239)/($C239-$E239-12*(Z236-$C238-1))*12,IF(AND($D239&lt;0,Z236=ROUNDDOWN(($C238+($D238+$C239-1)/12),0)),Y239+Z237,IF(Z236=ROUNDDOWN(($C238+($D238+$C239-1)/12),0),(Z237+Y239)/$C239*($D239+(Z236-$C238-1)*12+$E239),IF(Z236&gt;ROUNDDOWN(($C238+($D238+$C239)/12),0),0,0)))))))</f>
        <v/>
      </c>
      <c r="AA238" s="128" t="str">
        <f t="shared" ref="AA238" ca="1" si="1545">IF(AA236="","",IF(AA236&lt;$C238,0,IF(AA236=$C238,AA237/$C239*$E239+Z239/$C239*$E239,IF(AND(AA236&gt;$C238,AA236&lt;ROUNDDOWN(($C238+($D238+$C239-1)/12),0)),(AA237/2+Z239)/($C239-$E239-12*(AA236-$C238-1))*12,IF(AND($D239&lt;0,AA236=ROUNDDOWN(($C238+($D238+$C239-1)/12),0)),Z239+AA237,IF(AA236=ROUNDDOWN(($C238+($D238+$C239-1)/12),0),(AA237+Z239)/$C239*($D239+(AA236-$C238-1)*12+$E239),IF(AA236&gt;ROUNDDOWN(($C238+($D238+$C239)/12),0),0,0)))))))</f>
        <v/>
      </c>
      <c r="AB238" s="128" t="str">
        <f t="shared" ref="AB238" ca="1" si="1546">IF(AB236="","",IF(AB236&lt;$C238,0,IF(AB236=$C238,AB237/$C239*$E239+AA239/$C239*$E239,IF(AND(AB236&gt;$C238,AB236&lt;ROUNDDOWN(($C238+($D238+$C239-1)/12),0)),(AB237/2+AA239)/($C239-$E239-12*(AB236-$C238-1))*12,IF(AND($D239&lt;0,AB236=ROUNDDOWN(($C238+($D238+$C239-1)/12),0)),AA239+AB237,IF(AB236=ROUNDDOWN(($C238+($D238+$C239-1)/12),0),(AB237+AA239)/$C239*($D239+(AB236-$C238-1)*12+$E239),IF(AB236&gt;ROUNDDOWN(($C238+($D238+$C239)/12),0),0,0)))))))</f>
        <v/>
      </c>
      <c r="AC238" s="128" t="str">
        <f t="shared" ref="AC238" ca="1" si="1547">IF(AC236="","",IF(AC236&lt;$C238,0,IF(AC236=$C238,AC237/$C239*$E239+AB239/$C239*$E239,IF(AND(AC236&gt;$C238,AC236&lt;ROUNDDOWN(($C238+($D238+$C239-1)/12),0)),(AC237/2+AB239)/($C239-$E239-12*(AC236-$C238-1))*12,IF(AND($D239&lt;0,AC236=ROUNDDOWN(($C238+($D238+$C239-1)/12),0)),AB239+AC237,IF(AC236=ROUNDDOWN(($C238+($D238+$C239-1)/12),0),(AC237+AB239)/$C239*($D239+(AC236-$C238-1)*12+$E239),IF(AC236&gt;ROUNDDOWN(($C238+($D238+$C239)/12),0),0,0)))))))</f>
        <v/>
      </c>
      <c r="AD238" s="128" t="str">
        <f t="shared" ref="AD238" ca="1" si="1548">IF(AD236="","",IF(AD236&lt;$C238,0,IF(AD236=$C238,AD237/$C239*$E239+AC239/$C239*$E239,IF(AND(AD236&gt;$C238,AD236&lt;ROUNDDOWN(($C238+($D238+$C239-1)/12),0)),(AD237/2+AC239)/($C239-$E239-12*(AD236-$C238-1))*12,IF(AND($D239&lt;0,AD236=ROUNDDOWN(($C238+($D238+$C239-1)/12),0)),AC239+AD237,IF(AD236=ROUNDDOWN(($C238+($D238+$C239-1)/12),0),(AD237+AC239)/$C239*($D239+(AD236-$C238-1)*12+$E239),IF(AD236&gt;ROUNDDOWN(($C238+($D238+$C239)/12),0),0,0)))))))</f>
        <v/>
      </c>
      <c r="AE238" s="128" t="str">
        <f t="shared" ref="AE238" ca="1" si="1549">IF(AE236="","",IF(AE236&lt;$C238,0,IF(AE236=$C238,AE237/$C239*$E239+AD239/$C239*$E239,IF(AND(AE236&gt;$C238,AE236&lt;ROUNDDOWN(($C238+($D238+$C239-1)/12),0)),(AE237/2+AD239)/($C239-$E239-12*(AE236-$C238-1))*12,IF(AND($D239&lt;0,AE236=ROUNDDOWN(($C238+($D238+$C239-1)/12),0)),AD239+AE237,IF(AE236=ROUNDDOWN(($C238+($D238+$C239-1)/12),0),(AE237+AD239)/$C239*($D239+(AE236-$C238-1)*12+$E239),IF(AE236&gt;ROUNDDOWN(($C238+($D238+$C239)/12),0),0,0)))))))</f>
        <v/>
      </c>
      <c r="AF238" s="128" t="str">
        <f t="shared" ref="AF238" ca="1" si="1550">IF(AF236="","",IF(AF236&lt;$C238,0,IF(AF236=$C238,AF237/$C239*$E239+AE239/$C239*$E239,IF(AND(AF236&gt;$C238,AF236&lt;ROUNDDOWN(($C238+($D238+$C239-1)/12),0)),(AF237/2+AE239)/($C239-$E239-12*(AF236-$C238-1))*12,IF(AND($D239&lt;0,AF236=ROUNDDOWN(($C238+($D238+$C239-1)/12),0)),AE239+AF237,IF(AF236=ROUNDDOWN(($C238+($D238+$C239-1)/12),0),(AF237+AE239)/$C239*($D239+(AF236-$C238-1)*12+$E239),IF(AF236&gt;ROUNDDOWN(($C238+($D238+$C239)/12),0),0,0)))))))</f>
        <v/>
      </c>
      <c r="AG238" s="128" t="str">
        <f t="shared" ref="AG238" ca="1" si="1551">IF(AG236="","",IF(AG236&lt;$C238,0,IF(AG236=$C238,AG237/$C239*$E239+AF239/$C239*$E239,IF(AND(AG236&gt;$C238,AG236&lt;ROUNDDOWN(($C238+($D238+$C239-1)/12),0)),(AG237/2+AF239)/($C239-$E239-12*(AG236-$C238-1))*12,IF(AND($D239&lt;0,AG236=ROUNDDOWN(($C238+($D238+$C239-1)/12),0)),AF239+AG237,IF(AG236=ROUNDDOWN(($C238+($D238+$C239-1)/12),0),(AG237+AF239)/$C239*($D239+(AG236-$C238-1)*12+$E239),IF(AG236&gt;ROUNDDOWN(($C238+($D238+$C239)/12),0),0,0)))))))</f>
        <v/>
      </c>
      <c r="AH238" s="128" t="str">
        <f t="shared" ref="AH238" ca="1" si="1552">IF(AH236="","",IF(AH236&lt;$C238,0,IF(AH236=$C238,AH237/$C239*$E239+AG239/$C239*$E239,IF(AND(AH236&gt;$C238,AH236&lt;ROUNDDOWN(($C238+($D238+$C239-1)/12),0)),(AH237/2+AG239)/($C239-$E239-12*(AH236-$C238-1))*12,IF(AND($D239&lt;0,AH236=ROUNDDOWN(($C238+($D238+$C239-1)/12),0)),AG239+AH237,IF(AH236=ROUNDDOWN(($C238+($D238+$C239-1)/12),0),(AH237+AG239)/$C239*($D239+(AH236-$C238-1)*12+$E239),IF(AH236&gt;ROUNDDOWN(($C238+($D238+$C239)/12),0),0,0)))))))</f>
        <v/>
      </c>
      <c r="AI238" s="128" t="str">
        <f t="shared" ref="AI238" ca="1" si="1553">IF(AI236="","",IF(AI236&lt;$C238,0,IF(AI236=$C238,AI237/$C239*$E239+AH239/$C239*$E239,IF(AND(AI236&gt;$C238,AI236&lt;ROUNDDOWN(($C238+($D238+$C239-1)/12),0)),(AI237/2+AH239)/($C239-$E239-12*(AI236-$C238-1))*12,IF(AND($D239&lt;0,AI236=ROUNDDOWN(($C238+($D238+$C239-1)/12),0)),AH239+AI237,IF(AI236=ROUNDDOWN(($C238+($D238+$C239-1)/12),0),(AI237+AH239)/$C239*($D239+(AI236-$C238-1)*12+$E239),IF(AI236&gt;ROUNDDOWN(($C238+($D238+$C239)/12),0),0,0)))))))</f>
        <v/>
      </c>
      <c r="AJ238" s="128" t="str">
        <f t="shared" ref="AJ238" ca="1" si="1554">IF(AJ236="","",IF(AJ236&lt;$C238,0,IF(AJ236=$C238,AJ237/$C239*$E239+AI239/$C239*$E239,IF(AND(AJ236&gt;$C238,AJ236&lt;ROUNDDOWN(($C238+($D238+$C239-1)/12),0)),(AJ237/2+AI239)/($C239-$E239-12*(AJ236-$C238-1))*12,IF(AND($D239&lt;0,AJ236=ROUNDDOWN(($C238+($D238+$C239-1)/12),0)),AI239+AJ237,IF(AJ236=ROUNDDOWN(($C238+($D238+$C239-1)/12),0),(AJ237+AI239)/$C239*($D239+(AJ236-$C238-1)*12+$E239),IF(AJ236&gt;ROUNDDOWN(($C238+($D238+$C239)/12),0),0,0)))))))</f>
        <v/>
      </c>
      <c r="AK238" s="128" t="str">
        <f t="shared" ref="AK238" ca="1" si="1555">IF(AK236="","",IF(AK236&lt;$C238,0,IF(AK236=$C238,AK237/$C239*$E239+AJ239/$C239*$E239,IF(AND(AK236&gt;$C238,AK236&lt;ROUNDDOWN(($C238+($D238+$C239-1)/12),0)),(AK237/2+AJ239)/($C239-$E239-12*(AK236-$C238-1))*12,IF(AND($D239&lt;0,AK236=ROUNDDOWN(($C238+($D238+$C239-1)/12),0)),AJ239+AK237,IF(AK236=ROUNDDOWN(($C238+($D238+$C239-1)/12),0),(AK237+AJ239)/$C239*($D239+(AK236-$C238-1)*12+$E239),IF(AK236&gt;ROUNDDOWN(($C238+($D238+$C239)/12),0),0,0)))))))</f>
        <v/>
      </c>
      <c r="AL238" s="128" t="str">
        <f t="shared" ref="AL238" ca="1" si="1556">IF(AL236="","",IF(AL236&lt;$C238,0,IF(AL236=$C238,AL237/$C239*$E239+AK239/$C239*$E239,IF(AND(AL236&gt;$C238,AL236&lt;ROUNDDOWN(($C238+($D238+$C239-1)/12),0)),(AL237/2+AK239)/($C239-$E239-12*(AL236-$C238-1))*12,IF(AND($D239&lt;0,AL236=ROUNDDOWN(($C238+($D238+$C239-1)/12),0)),AK239+AL237,IF(AL236=ROUNDDOWN(($C238+($D238+$C239-1)/12),0),(AL237+AK239)/$C239*($D239+(AL236-$C238-1)*12+$E239),IF(AL236&gt;ROUNDDOWN(($C238+($D238+$C239)/12),0),0,0)))))))</f>
        <v/>
      </c>
      <c r="AM238" s="128" t="str">
        <f t="shared" ref="AM238" ca="1" si="1557">IF(AM236="","",IF(AM236&lt;$C238,0,IF(AM236=$C238,AM237/$C239*$E239+AL239/$C239*$E239,IF(AND(AM236&gt;$C238,AM236&lt;ROUNDDOWN(($C238+($D238+$C239-1)/12),0)),(AM237/2+AL239)/($C239-$E239-12*(AM236-$C238-1))*12,IF(AND($D239&lt;0,AM236=ROUNDDOWN(($C238+($D238+$C239-1)/12),0)),AL239+AM237,IF(AM236=ROUNDDOWN(($C238+($D238+$C239-1)/12),0),(AM237+AL239)/$C239*($D239+(AM236-$C238-1)*12+$E239),IF(AM236&gt;ROUNDDOWN(($C238+($D238+$C239)/12),0),0,0)))))))</f>
        <v/>
      </c>
      <c r="AN238" s="128" t="str">
        <f t="shared" ref="AN238" ca="1" si="1558">IF(AN236="","",IF(AN236&lt;$C238,0,IF(AN236=$C238,AN237/$C239*$E239+AM239/$C239*$E239,IF(AND(AN236&gt;$C238,AN236&lt;ROUNDDOWN(($C238+($D238+$C239-1)/12),0)),(AN237/2+AM239)/($C239-$E239-12*(AN236-$C238-1))*12,IF(AND($D239&lt;0,AN236=ROUNDDOWN(($C238+($D238+$C239-1)/12),0)),AM239+AN237,IF(AN236=ROUNDDOWN(($C238+($D238+$C239-1)/12),0),(AN237+AM239)/$C239*($D239+(AN236-$C238-1)*12+$E239),IF(AN236&gt;ROUNDDOWN(($C238+($D238+$C239)/12),0),0,0)))))))</f>
        <v/>
      </c>
      <c r="AO238" s="128" t="str">
        <f t="shared" ref="AO238" ca="1" si="1559">IF(AO236="","",IF(AO236&lt;$C238,0,IF(AO236=$C238,AO237/$C239*$E239+AN239/$C239*$E239,IF(AND(AO236&gt;$C238,AO236&lt;ROUNDDOWN(($C238+($D238+$C239-1)/12),0)),(AO237/2+AN239)/($C239-$E239-12*(AO236-$C238-1))*12,IF(AND($D239&lt;0,AO236=ROUNDDOWN(($C238+($D238+$C239-1)/12),0)),AN239+AO237,IF(AO236=ROUNDDOWN(($C238+($D238+$C239-1)/12),0),(AO237+AN239)/$C239*($D239+(AO236-$C238-1)*12+$E239),IF(AO236&gt;ROUNDDOWN(($C238+($D238+$C239)/12),0),0,0)))))))</f>
        <v/>
      </c>
      <c r="AP238" s="128" t="str">
        <f t="shared" ref="AP238" ca="1" si="1560">IF(AP236="","",IF(AP236&lt;$C238,0,IF(AP236=$C238,AP237/$C239*$E239+AO239/$C239*$E239,IF(AND(AP236&gt;$C238,AP236&lt;ROUNDDOWN(($C238+($D238+$C239-1)/12),0)),(AP237/2+AO239)/($C239-$E239-12*(AP236-$C238-1))*12,IF(AND($D239&lt;0,AP236=ROUNDDOWN(($C238+($D238+$C239-1)/12),0)),AO239+AP237,IF(AP236=ROUNDDOWN(($C238+($D238+$C239-1)/12),0),(AP237+AO239)/$C239*($D239+(AP236-$C238-1)*12+$E239),IF(AP236&gt;ROUNDDOWN(($C238+($D238+$C239)/12),0),0,0)))))))</f>
        <v/>
      </c>
      <c r="AQ238" s="128" t="str">
        <f t="shared" ref="AQ238" ca="1" si="1561">IF(AQ236="","",IF(AQ236&lt;$C238,0,IF(AQ236=$C238,AQ237/$C239*$E239+AP239/$C239*$E239,IF(AND(AQ236&gt;$C238,AQ236&lt;ROUNDDOWN(($C238+($D238+$C239-1)/12),0)),(AQ237/2+AP239)/($C239-$E239-12*(AQ236-$C238-1))*12,IF(AND($D239&lt;0,AQ236=ROUNDDOWN(($C238+($D238+$C239-1)/12),0)),AP239+AQ237,IF(AQ236=ROUNDDOWN(($C238+($D238+$C239-1)/12),0),(AQ237+AP239)/$C239*($D239+(AQ236-$C238-1)*12+$E239),IF(AQ236&gt;ROUNDDOWN(($C238+($D238+$C239)/12),0),0,0)))))))</f>
        <v/>
      </c>
      <c r="AR238" s="128" t="str">
        <f t="shared" ref="AR238" ca="1" si="1562">IF(AR236="","",IF(AR236&lt;$C238,0,IF(AR236=$C238,AR237/$C239*$E239+AQ239/$C239*$E239,IF(AND(AR236&gt;$C238,AR236&lt;ROUNDDOWN(($C238+($D238+$C239-1)/12),0)),(AR237/2+AQ239)/($C239-$E239-12*(AR236-$C238-1))*12,IF(AND($D239&lt;0,AR236=ROUNDDOWN(($C238+($D238+$C239-1)/12),0)),AQ239+AR237,IF(AR236=ROUNDDOWN(($C238+($D238+$C239-1)/12),0),(AR237+AQ239)/$C239*($D239+(AR236-$C238-1)*12+$E239),IF(AR236&gt;ROUNDDOWN(($C238+($D238+$C239)/12),0),0,0)))))))</f>
        <v/>
      </c>
      <c r="AS238" s="128" t="str">
        <f t="shared" ref="AS238" ca="1" si="1563">IF(AS236="","",IF(AS236&lt;$C238,0,IF(AS236=$C238,AS237/$C239*$E239+AR239/$C239*$E239,IF(AND(AS236&gt;$C238,AS236&lt;ROUNDDOWN(($C238+($D238+$C239-1)/12),0)),(AS237/2+AR239)/($C239-$E239-12*(AS236-$C238-1))*12,IF(AND($D239&lt;0,AS236=ROUNDDOWN(($C238+($D238+$C239-1)/12),0)),AR239+AS237,IF(AS236=ROUNDDOWN(($C238+($D238+$C239-1)/12),0),(AS237+AR239)/$C239*($D239+(AS236-$C238-1)*12+$E239),IF(AS236&gt;ROUNDDOWN(($C238+($D238+$C239)/12),0),0,0)))))))</f>
        <v/>
      </c>
      <c r="AT238" s="128" t="str">
        <f t="shared" ref="AT238" ca="1" si="1564">IF(AT236="","",IF(AT236&lt;$C238,0,IF(AT236=$C238,AT237/$C239*$E239+AS239/$C239*$E239,IF(AND(AT236&gt;$C238,AT236&lt;ROUNDDOWN(($C238+($D238+$C239-1)/12),0)),(AT237/2+AS239)/($C239-$E239-12*(AT236-$C238-1))*12,IF(AND($D239&lt;0,AT236=ROUNDDOWN(($C238+($D238+$C239-1)/12),0)),AS239+AT237,IF(AT236=ROUNDDOWN(($C238+($D238+$C239-1)/12),0),(AT237+AS239)/$C239*($D239+(AT236-$C238-1)*12+$E239),IF(AT236&gt;ROUNDDOWN(($C238+($D238+$C239)/12),0),0,0)))))))</f>
        <v/>
      </c>
      <c r="AU238" s="128" t="str">
        <f t="shared" ref="AU238" ca="1" si="1565">IF(AU236="","",IF(AU236&lt;$C238,0,IF(AU236=$C238,AU237/$C239*$E239+AT239/$C239*$E239,IF(AND(AU236&gt;$C238,AU236&lt;ROUNDDOWN(($C238+($D238+$C239-1)/12),0)),(AU237/2+AT239)/($C239-$E239-12*(AU236-$C238-1))*12,IF(AND($D239&lt;0,AU236=ROUNDDOWN(($C238+($D238+$C239-1)/12),0)),AT239+AU237,IF(AU236=ROUNDDOWN(($C238+($D238+$C239-1)/12),0),(AU237+AT239)/$C239*($D239+(AU236-$C238-1)*12+$E239),IF(AU236&gt;ROUNDDOWN(($C238+($D238+$C239)/12),0),0,0)))))))</f>
        <v/>
      </c>
      <c r="AV238" s="128" t="str">
        <f t="shared" ref="AV238" ca="1" si="1566">IF(AV236="","",IF(AV236&lt;$C238,0,IF(AV236=$C238,AV237/$C239*$E239+AU239/$C239*$E239,IF(AND(AV236&gt;$C238,AV236&lt;ROUNDDOWN(($C238+($D238+$C239-1)/12),0)),(AV237/2+AU239)/($C239-$E239-12*(AV236-$C238-1))*12,IF(AND($D239&lt;0,AV236=ROUNDDOWN(($C238+($D238+$C239-1)/12),0)),AU239+AV237,IF(AV236=ROUNDDOWN(($C238+($D238+$C239-1)/12),0),(AV237+AU239)/$C239*($D239+(AV236-$C238-1)*12+$E239),IF(AV236&gt;ROUNDDOWN(($C238+($D238+$C239)/12),0),0,0)))))))</f>
        <v/>
      </c>
      <c r="AW238" s="128" t="str">
        <f t="shared" ref="AW238" ca="1" si="1567">IF(AW236="","",IF(AW236&lt;$C238,0,IF(AW236=$C238,AW237/$C239*$E239+AV239/$C239*$E239,IF(AND(AW236&gt;$C238,AW236&lt;ROUNDDOWN(($C238+($D238+$C239-1)/12),0)),(AW237/2+AV239)/($C239-$E239-12*(AW236-$C238-1))*12,IF(AND($D239&lt;0,AW236=ROUNDDOWN(($C238+($D238+$C239-1)/12),0)),AV239+AW237,IF(AW236=ROUNDDOWN(($C238+($D238+$C239-1)/12),0),(AW237+AV239)/$C239*($D239+(AW236-$C238-1)*12+$E239),IF(AW236&gt;ROUNDDOWN(($C238+($D238+$C239)/12),0),0,0)))))))</f>
        <v/>
      </c>
      <c r="AX238" s="104"/>
      <c r="AY238" s="104"/>
      <c r="AZ238" s="101"/>
    </row>
    <row r="239" spans="3:52" ht="12.75" hidden="1" customHeight="1" outlineLevel="1" x14ac:dyDescent="0.25">
      <c r="C239" s="142">
        <f>ROUNDUP((E238-ROUNDDOWN(E238,0))*12,0)+ROUNDDOWN(E238,0)*12</f>
        <v>0</v>
      </c>
      <c r="D239" s="142">
        <f>C239-E239-ROUNDDOWN(E238,0)*12</f>
        <v>-12</v>
      </c>
      <c r="E239" s="142">
        <f>13-MONTH(C237)</f>
        <v>12</v>
      </c>
      <c r="N239" s="99"/>
      <c r="O239" s="104"/>
      <c r="P239" s="104"/>
      <c r="Q239" s="129" t="str">
        <f>INDEX(g_lang_val,MATCH("tb_2_4_3",g_lang_key,0))</f>
        <v>FF4-gæld, ultimo året</v>
      </c>
      <c r="R239" s="130"/>
      <c r="S239" s="133"/>
      <c r="T239" s="128">
        <f t="shared" ref="T239" ca="1" si="1568">IF(T236="","",S239+T237-T238)</f>
        <v>0</v>
      </c>
      <c r="U239" s="128">
        <f t="shared" ref="U239" ca="1" si="1569">IF(U236="","",T239+U237-U238)</f>
        <v>0</v>
      </c>
      <c r="V239" s="128">
        <f t="shared" ref="V239" ca="1" si="1570">IF(V236="","",U239+V237-V238)</f>
        <v>0</v>
      </c>
      <c r="W239" s="128">
        <f t="shared" ref="W239" ca="1" si="1571">IF(W236="","",V239+W237-W238)</f>
        <v>0</v>
      </c>
      <c r="X239" s="128" t="str">
        <f t="shared" ref="X239" ca="1" si="1572">IF(X236="","",W239+X237-X238)</f>
        <v/>
      </c>
      <c r="Y239" s="128" t="str">
        <f t="shared" ref="Y239" ca="1" si="1573">IF(Y236="","",X239+Y237-Y238)</f>
        <v/>
      </c>
      <c r="Z239" s="128" t="str">
        <f t="shared" ref="Z239" ca="1" si="1574">IF(Z236="","",Y239+Z237-Z238)</f>
        <v/>
      </c>
      <c r="AA239" s="128" t="str">
        <f t="shared" ref="AA239" ca="1" si="1575">IF(AA236="","",Z239+AA237-AA238)</f>
        <v/>
      </c>
      <c r="AB239" s="128" t="str">
        <f t="shared" ref="AB239" ca="1" si="1576">IF(AB236="","",AA239+AB237-AB238)</f>
        <v/>
      </c>
      <c r="AC239" s="128" t="str">
        <f t="shared" ref="AC239" ca="1" si="1577">IF(AC236="","",AB239+AC237-AC238)</f>
        <v/>
      </c>
      <c r="AD239" s="128" t="str">
        <f t="shared" ref="AD239" ca="1" si="1578">IF(AD236="","",AC239+AD237-AD238)</f>
        <v/>
      </c>
      <c r="AE239" s="128" t="str">
        <f t="shared" ref="AE239" ca="1" si="1579">IF(AE236="","",AD239+AE237-AE238)</f>
        <v/>
      </c>
      <c r="AF239" s="128" t="str">
        <f t="shared" ref="AF239" ca="1" si="1580">IF(AF236="","",AE239+AF237-AF238)</f>
        <v/>
      </c>
      <c r="AG239" s="128" t="str">
        <f t="shared" ref="AG239" ca="1" si="1581">IF(AG236="","",AF239+AG237-AG238)</f>
        <v/>
      </c>
      <c r="AH239" s="128" t="str">
        <f t="shared" ref="AH239" ca="1" si="1582">IF(AH236="","",AG239+AH237-AH238)</f>
        <v/>
      </c>
      <c r="AI239" s="128" t="str">
        <f t="shared" ref="AI239" ca="1" si="1583">IF(AI236="","",AH239+AI237-AI238)</f>
        <v/>
      </c>
      <c r="AJ239" s="128" t="str">
        <f t="shared" ref="AJ239" ca="1" si="1584">IF(AJ236="","",AI239+AJ237-AJ238)</f>
        <v/>
      </c>
      <c r="AK239" s="128" t="str">
        <f t="shared" ref="AK239" ca="1" si="1585">IF(AK236="","",AJ239+AK237-AK238)</f>
        <v/>
      </c>
      <c r="AL239" s="128" t="str">
        <f t="shared" ref="AL239" ca="1" si="1586">IF(AL236="","",AK239+AL237-AL238)</f>
        <v/>
      </c>
      <c r="AM239" s="128" t="str">
        <f t="shared" ref="AM239" ca="1" si="1587">IF(AM236="","",AL239+AM237-AM238)</f>
        <v/>
      </c>
      <c r="AN239" s="128" t="str">
        <f t="shared" ref="AN239" ca="1" si="1588">IF(AN236="","",AM239+AN237-AN238)</f>
        <v/>
      </c>
      <c r="AO239" s="128" t="str">
        <f t="shared" ref="AO239" ca="1" si="1589">IF(AO236="","",AN239+AO237-AO238)</f>
        <v/>
      </c>
      <c r="AP239" s="128" t="str">
        <f t="shared" ref="AP239" ca="1" si="1590">IF(AP236="","",AO239+AP237-AP238)</f>
        <v/>
      </c>
      <c r="AQ239" s="128" t="str">
        <f t="shared" ref="AQ239" ca="1" si="1591">IF(AQ236="","",AP239+AQ237-AQ238)</f>
        <v/>
      </c>
      <c r="AR239" s="128" t="str">
        <f t="shared" ref="AR239" ca="1" si="1592">IF(AR236="","",AQ239+AR237-AR238)</f>
        <v/>
      </c>
      <c r="AS239" s="128" t="str">
        <f t="shared" ref="AS239" ca="1" si="1593">IF(AS236="","",AR239+AS237-AS238)</f>
        <v/>
      </c>
      <c r="AT239" s="128" t="str">
        <f t="shared" ref="AT239" ca="1" si="1594">IF(AT236="","",AS239+AT237-AT238)</f>
        <v/>
      </c>
      <c r="AU239" s="128" t="str">
        <f t="shared" ref="AU239" ca="1" si="1595">IF(AU236="","",AT239+AU237-AU238)</f>
        <v/>
      </c>
      <c r="AV239" s="128" t="str">
        <f t="shared" ref="AV239" ca="1" si="1596">IF(AV236="","",AU239+AV237-AV238)</f>
        <v/>
      </c>
      <c r="AW239" s="128" t="str">
        <f t="shared" ref="AW239" ca="1" si="1597">IF(AW236="","",AV239+AW237-AW238)</f>
        <v/>
      </c>
      <c r="AX239" s="104"/>
      <c r="AY239" s="104"/>
      <c r="AZ239" s="101"/>
    </row>
    <row r="240" spans="3:52" ht="12.75" hidden="1" customHeight="1" outlineLevel="1" x14ac:dyDescent="0.25">
      <c r="N240" s="99"/>
      <c r="O240" s="104"/>
      <c r="P240" s="104"/>
      <c r="Q240" s="129" t="str">
        <f>INDEX(g_lang_val,MATCH("tb_2_4_4",g_lang_key,0))</f>
        <v>Renter (FF4)</v>
      </c>
      <c r="R240" s="130"/>
      <c r="S240" s="133">
        <f ca="1">SUM(T240:BG240)</f>
        <v>0</v>
      </c>
      <c r="T240" s="128">
        <f t="shared" ref="T240" ca="1" si="1598">IF(T236="","",g_interest_FF4*(S239+(T237/2)-(T238/2)))</f>
        <v>0</v>
      </c>
      <c r="U240" s="128">
        <f t="shared" ref="U240" ca="1" si="1599">IF(U236="","",g_interest_FF4*(T239+(U237/2)-(U238/2)))</f>
        <v>0</v>
      </c>
      <c r="V240" s="128">
        <f t="shared" ref="V240" ca="1" si="1600">IF(V236="","",g_interest_FF4*(U239+(V237/2)-(V238/2)))</f>
        <v>0</v>
      </c>
      <c r="W240" s="128">
        <f t="shared" ref="W240" ca="1" si="1601">IF(W236="","",g_interest_FF4*(V239+(W237/2)-(W238/2)))</f>
        <v>0</v>
      </c>
      <c r="X240" s="128" t="str">
        <f t="shared" ref="X240" ca="1" si="1602">IF(X236="","",g_interest_FF4*(W239+(X237/2)-(X238/2)))</f>
        <v/>
      </c>
      <c r="Y240" s="128" t="str">
        <f t="shared" ref="Y240" ca="1" si="1603">IF(Y236="","",g_interest_FF4*(X239+(Y237/2)-(Y238/2)))</f>
        <v/>
      </c>
      <c r="Z240" s="128" t="str">
        <f t="shared" ref="Z240" ca="1" si="1604">IF(Z236="","",g_interest_FF4*(Y239+(Z237/2)-(Z238/2)))</f>
        <v/>
      </c>
      <c r="AA240" s="128" t="str">
        <f t="shared" ref="AA240" ca="1" si="1605">IF(AA236="","",g_interest_FF4*(Z239+(AA237/2)-(AA238/2)))</f>
        <v/>
      </c>
      <c r="AB240" s="128" t="str">
        <f t="shared" ref="AB240" ca="1" si="1606">IF(AB236="","",g_interest_FF4*(AA239+(AB237/2)-(AB238/2)))</f>
        <v/>
      </c>
      <c r="AC240" s="128" t="str">
        <f t="shared" ref="AC240" ca="1" si="1607">IF(AC236="","",g_interest_FF4*(AB239+(AC237/2)-(AC238/2)))</f>
        <v/>
      </c>
      <c r="AD240" s="128" t="str">
        <f t="shared" ref="AD240" ca="1" si="1608">IF(AD236="","",g_interest_FF4*(AC239+(AD237/2)-(AD238/2)))</f>
        <v/>
      </c>
      <c r="AE240" s="128" t="str">
        <f t="shared" ref="AE240" ca="1" si="1609">IF(AE236="","",g_interest_FF4*(AD239+(AE237/2)-(AE238/2)))</f>
        <v/>
      </c>
      <c r="AF240" s="128" t="str">
        <f t="shared" ref="AF240" ca="1" si="1610">IF(AF236="","",g_interest_FF4*(AE239+(AF237/2)-(AF238/2)))</f>
        <v/>
      </c>
      <c r="AG240" s="128" t="str">
        <f t="shared" ref="AG240" ca="1" si="1611">IF(AG236="","",g_interest_FF4*(AF239+(AG237/2)-(AG238/2)))</f>
        <v/>
      </c>
      <c r="AH240" s="128" t="str">
        <f t="shared" ref="AH240" ca="1" si="1612">IF(AH236="","",g_interest_FF4*(AG239+(AH237/2)-(AH238/2)))</f>
        <v/>
      </c>
      <c r="AI240" s="128" t="str">
        <f t="shared" ref="AI240" ca="1" si="1613">IF(AI236="","",g_interest_FF4*(AH239+(AI237/2)-(AI238/2)))</f>
        <v/>
      </c>
      <c r="AJ240" s="128" t="str">
        <f t="shared" ref="AJ240" ca="1" si="1614">IF(AJ236="","",g_interest_FF4*(AI239+(AJ237/2)-(AJ238/2)))</f>
        <v/>
      </c>
      <c r="AK240" s="128" t="str">
        <f t="shared" ref="AK240" ca="1" si="1615">IF(AK236="","",g_interest_FF4*(AJ239+(AK237/2)-(AK238/2)))</f>
        <v/>
      </c>
      <c r="AL240" s="128" t="str">
        <f t="shared" ref="AL240" ca="1" si="1616">IF(AL236="","",g_interest_FF4*(AK239+(AL237/2)-(AL238/2)))</f>
        <v/>
      </c>
      <c r="AM240" s="128" t="str">
        <f t="shared" ref="AM240" ca="1" si="1617">IF(AM236="","",g_interest_FF4*(AL239+(AM237/2)-(AM238/2)))</f>
        <v/>
      </c>
      <c r="AN240" s="128" t="str">
        <f t="shared" ref="AN240" ca="1" si="1618">IF(AN236="","",g_interest_FF4*(AM239+(AN237/2)-(AN238/2)))</f>
        <v/>
      </c>
      <c r="AO240" s="128" t="str">
        <f t="shared" ref="AO240" ca="1" si="1619">IF(AO236="","",g_interest_FF4*(AN239+(AO237/2)-(AO238/2)))</f>
        <v/>
      </c>
      <c r="AP240" s="128" t="str">
        <f t="shared" ref="AP240" ca="1" si="1620">IF(AP236="","",g_interest_FF4*(AO239+(AP237/2)-(AP238/2)))</f>
        <v/>
      </c>
      <c r="AQ240" s="128" t="str">
        <f t="shared" ref="AQ240" ca="1" si="1621">IF(AQ236="","",g_interest_FF4*(AP239+(AQ237/2)-(AQ238/2)))</f>
        <v/>
      </c>
      <c r="AR240" s="128" t="str">
        <f t="shared" ref="AR240" ca="1" si="1622">IF(AR236="","",g_interest_FF4*(AQ239+(AR237/2)-(AR238/2)))</f>
        <v/>
      </c>
      <c r="AS240" s="128" t="str">
        <f t="shared" ref="AS240" ca="1" si="1623">IF(AS236="","",g_interest_FF4*(AR239+(AS237/2)-(AS238/2)))</f>
        <v/>
      </c>
      <c r="AT240" s="128" t="str">
        <f t="shared" ref="AT240" ca="1" si="1624">IF(AT236="","",g_interest_FF4*(AS239+(AT237/2)-(AT238/2)))</f>
        <v/>
      </c>
      <c r="AU240" s="128" t="str">
        <f t="shared" ref="AU240" ca="1" si="1625">IF(AU236="","",g_interest_FF4*(AT239+(AU237/2)-(AU238/2)))</f>
        <v/>
      </c>
      <c r="AV240" s="128" t="str">
        <f t="shared" ref="AV240" ca="1" si="1626">IF(AV236="","",g_interest_FF4*(AU239+(AV237/2)-(AV238/2)))</f>
        <v/>
      </c>
      <c r="AW240" s="128" t="str">
        <f t="shared" ref="AW240" ca="1" si="1627">IF(AW236="","",g_interest_FF4*(AV239+(AW237/2)-(AW238/2)))</f>
        <v/>
      </c>
      <c r="AX240" s="104"/>
      <c r="AY240" s="104"/>
      <c r="AZ240" s="101"/>
    </row>
    <row r="241" spans="3:52" ht="12.75" hidden="1" customHeight="1" outlineLevel="1" x14ac:dyDescent="0.25">
      <c r="N241" s="99"/>
      <c r="O241" s="104"/>
      <c r="P241" s="104"/>
      <c r="Q241" s="132" t="str">
        <f>INDEX(g_assets_sc_1,21)</f>
        <v/>
      </c>
      <c r="R241" s="132"/>
      <c r="S241" s="127"/>
      <c r="T241" s="139">
        <f ca="1">T$150</f>
        <v>2025</v>
      </c>
      <c r="U241" s="139">
        <f t="shared" ref="U241:AW241" ca="1" si="1628">U$150</f>
        <v>2026</v>
      </c>
      <c r="V241" s="139">
        <f t="shared" ca="1" si="1628"/>
        <v>2027</v>
      </c>
      <c r="W241" s="139">
        <f t="shared" ca="1" si="1628"/>
        <v>2028</v>
      </c>
      <c r="X241" s="139" t="str">
        <f t="shared" ca="1" si="1628"/>
        <v/>
      </c>
      <c r="Y241" s="139" t="str">
        <f t="shared" ca="1" si="1628"/>
        <v/>
      </c>
      <c r="Z241" s="139" t="str">
        <f t="shared" ca="1" si="1628"/>
        <v/>
      </c>
      <c r="AA241" s="139" t="str">
        <f t="shared" ca="1" si="1628"/>
        <v/>
      </c>
      <c r="AB241" s="139" t="str">
        <f t="shared" ca="1" si="1628"/>
        <v/>
      </c>
      <c r="AC241" s="139" t="str">
        <f t="shared" ca="1" si="1628"/>
        <v/>
      </c>
      <c r="AD241" s="139" t="str">
        <f t="shared" ca="1" si="1628"/>
        <v/>
      </c>
      <c r="AE241" s="139" t="str">
        <f t="shared" ca="1" si="1628"/>
        <v/>
      </c>
      <c r="AF241" s="139" t="str">
        <f t="shared" ca="1" si="1628"/>
        <v/>
      </c>
      <c r="AG241" s="139" t="str">
        <f t="shared" ca="1" si="1628"/>
        <v/>
      </c>
      <c r="AH241" s="139" t="str">
        <f t="shared" ca="1" si="1628"/>
        <v/>
      </c>
      <c r="AI241" s="139" t="str">
        <f t="shared" ca="1" si="1628"/>
        <v/>
      </c>
      <c r="AJ241" s="139" t="str">
        <f t="shared" ca="1" si="1628"/>
        <v/>
      </c>
      <c r="AK241" s="139" t="str">
        <f t="shared" ca="1" si="1628"/>
        <v/>
      </c>
      <c r="AL241" s="139" t="str">
        <f t="shared" ca="1" si="1628"/>
        <v/>
      </c>
      <c r="AM241" s="139" t="str">
        <f t="shared" ca="1" si="1628"/>
        <v/>
      </c>
      <c r="AN241" s="139" t="str">
        <f t="shared" ca="1" si="1628"/>
        <v/>
      </c>
      <c r="AO241" s="139" t="str">
        <f t="shared" ca="1" si="1628"/>
        <v/>
      </c>
      <c r="AP241" s="139" t="str">
        <f t="shared" ca="1" si="1628"/>
        <v/>
      </c>
      <c r="AQ241" s="139" t="str">
        <f t="shared" ca="1" si="1628"/>
        <v/>
      </c>
      <c r="AR241" s="139" t="str">
        <f t="shared" ca="1" si="1628"/>
        <v/>
      </c>
      <c r="AS241" s="139" t="str">
        <f t="shared" ca="1" si="1628"/>
        <v/>
      </c>
      <c r="AT241" s="139" t="str">
        <f t="shared" ca="1" si="1628"/>
        <v/>
      </c>
      <c r="AU241" s="139" t="str">
        <f t="shared" ca="1" si="1628"/>
        <v/>
      </c>
      <c r="AV241" s="139" t="str">
        <f t="shared" ca="1" si="1628"/>
        <v/>
      </c>
      <c r="AW241" s="139" t="str">
        <f t="shared" ca="1" si="1628"/>
        <v/>
      </c>
      <c r="AX241" s="104"/>
      <c r="AY241" s="104"/>
      <c r="AZ241" s="101"/>
    </row>
    <row r="242" spans="3:52" ht="12.75" hidden="1" customHeight="1" outlineLevel="1" x14ac:dyDescent="0.25">
      <c r="C242" s="140">
        <f>INDEX(g_sc_1_assets_dates,G242)</f>
        <v>0</v>
      </c>
      <c r="G242" s="141">
        <v>19</v>
      </c>
      <c r="N242" s="99"/>
      <c r="O242" s="104"/>
      <c r="P242" s="104"/>
      <c r="Q242" s="129" t="str">
        <f>INDEX(g_lang_val,MATCH("tb_2_4_1",g_lang_key,0))</f>
        <v>Køb af anlægsaktiver</v>
      </c>
      <c r="R242" s="130"/>
      <c r="S242" s="133">
        <f ca="1">SUM(T242:BG242)</f>
        <v>0</v>
      </c>
      <c r="T242" s="128">
        <f ca="1">IF(T241="","",SUMPRODUCT(--(Leverancer!$C$28:$C$88=($G242+2)),Leverancer!D$28:D$88)/1000)</f>
        <v>0</v>
      </c>
      <c r="U242" s="128">
        <f ca="1">IF(U241="","",SUMPRODUCT(--(Leverancer!$C$28:$C$88=($G242+2)),Leverancer!E$28:E$88)/1000)</f>
        <v>0</v>
      </c>
      <c r="V242" s="128">
        <f ca="1">IF(V241="","",SUMPRODUCT(--(Leverancer!$C$28:$C$88=($G242+2)),Leverancer!F$28:F$88)/1000)</f>
        <v>0</v>
      </c>
      <c r="W242" s="128">
        <f ca="1">IF(W241="","",SUMPRODUCT(--(Leverancer!$C$28:$C$88=($G242+2)),Leverancer!G$28:G$88)/1000)</f>
        <v>0</v>
      </c>
      <c r="X242" s="128" t="str">
        <f ca="1">IF(X241="","",SUMPRODUCT(--(Leverancer!$C$28:$C$88=($G242+2)),Leverancer!H$28:H$88)/1000)</f>
        <v/>
      </c>
      <c r="Y242" s="128" t="str">
        <f ca="1">IF(Y241="","",SUMPRODUCT(--(Leverancer!$C$28:$C$88=($G242+2)),Leverancer!I$28:I$88)/1000)</f>
        <v/>
      </c>
      <c r="Z242" s="128" t="str">
        <f ca="1">IF(Z241="","",SUMPRODUCT(--(Leverancer!$C$28:$C$88=($G242+2)),Leverancer!J$28:J$88)/1000)</f>
        <v/>
      </c>
      <c r="AA242" s="128" t="str">
        <f ca="1">IF(AA241="","",SUMPRODUCT(--(Leverancer!$C$28:$C$88=($G242+2)),Leverancer!K$28:K$88)/1000)</f>
        <v/>
      </c>
      <c r="AB242" s="128" t="str">
        <f ca="1">IF(AB241="","",SUMPRODUCT(--(Leverancer!$C$28:$C$88=($G242+2)),Leverancer!L$28:L$88)/1000)</f>
        <v/>
      </c>
      <c r="AC242" s="128" t="str">
        <f ca="1">IF(AC241="","",SUMPRODUCT(--(Leverancer!$C$28:$C$88=($G242+2)),Leverancer!M$28:M$88)/1000)</f>
        <v/>
      </c>
      <c r="AD242" s="128" t="str">
        <f ca="1">IF(AD241="","",SUMPRODUCT(--(Leverancer!$C$28:$C$88=($G242+2)),Leverancer!N$28:N$88)/1000)</f>
        <v/>
      </c>
      <c r="AE242" s="128" t="str">
        <f ca="1">IF(AE241="","",SUMPRODUCT(--(Leverancer!$C$28:$C$88=($G242+2)),Leverancer!O$28:O$88)/1000)</f>
        <v/>
      </c>
      <c r="AF242" s="128" t="str">
        <f ca="1">IF(AF241="","",SUMPRODUCT(--(Leverancer!$C$28:$C$88=($G242+2)),Leverancer!P$28:P$88)/1000)</f>
        <v/>
      </c>
      <c r="AG242" s="128" t="str">
        <f ca="1">IF(AG241="","",SUMPRODUCT(--(Leverancer!$C$28:$C$88=($G242+2)),Leverancer!Q$28:Q$88)/1000)</f>
        <v/>
      </c>
      <c r="AH242" s="128" t="str">
        <f ca="1">IF(AH241="","",SUMPRODUCT(--(Leverancer!$C$28:$C$88=($G242+2)),Leverancer!R$28:R$88)/1000)</f>
        <v/>
      </c>
      <c r="AI242" s="128" t="str">
        <f ca="1">IF(AI241="","",SUMPRODUCT(--(Leverancer!$C$28:$C$88=($G242+2)),Leverancer!S$28:S$88)/1000)</f>
        <v/>
      </c>
      <c r="AJ242" s="128" t="str">
        <f ca="1">IF(AJ241="","",SUMPRODUCT(--(Leverancer!$C$28:$C$88=($G242+2)),Leverancer!T$28:T$88)/1000)</f>
        <v/>
      </c>
      <c r="AK242" s="128" t="str">
        <f ca="1">IF(AK241="","",SUMPRODUCT(--(Leverancer!$C$28:$C$88=($G242+2)),Leverancer!U$28:U$88)/1000)</f>
        <v/>
      </c>
      <c r="AL242" s="128" t="str">
        <f ca="1">IF(AL241="","",SUMPRODUCT(--(Leverancer!$C$28:$C$88=($G242+2)),Leverancer!V$28:V$88)/1000)</f>
        <v/>
      </c>
      <c r="AM242" s="128" t="str">
        <f ca="1">IF(AM241="","",SUMPRODUCT(--(Leverancer!$C$28:$C$88=($G242+2)),Leverancer!W$28:W$88)/1000)</f>
        <v/>
      </c>
      <c r="AN242" s="128" t="str">
        <f ca="1">IF(AN241="","",SUMPRODUCT(--(Leverancer!$C$28:$C$88=($G242+2)),Leverancer!X$28:X$88)/1000)</f>
        <v/>
      </c>
      <c r="AO242" s="128" t="str">
        <f ca="1">IF(AO241="","",SUMPRODUCT(--(Leverancer!$C$28:$C$88=($G242+2)),Leverancer!Y$28:Y$88)/1000)</f>
        <v/>
      </c>
      <c r="AP242" s="128" t="str">
        <f ca="1">IF(AP241="","",SUMPRODUCT(--(Leverancer!$C$28:$C$88=($G242+2)),Leverancer!Z$28:Z$88)/1000)</f>
        <v/>
      </c>
      <c r="AQ242" s="128" t="str">
        <f ca="1">IF(AQ241="","",SUMPRODUCT(--(Leverancer!$C$28:$C$88=($G242+2)),Leverancer!AA$28:AA$88)/1000)</f>
        <v/>
      </c>
      <c r="AR242" s="128" t="str">
        <f ca="1">IF(AR241="","",SUMPRODUCT(--(Leverancer!$C$28:$C$88=($G242+2)),Leverancer!AB$28:AB$88)/1000)</f>
        <v/>
      </c>
      <c r="AS242" s="128" t="str">
        <f ca="1">IF(AS241="","",SUMPRODUCT(--(Leverancer!$C$28:$C$88=($G242+2)),Leverancer!AC$28:AC$88)/1000)</f>
        <v/>
      </c>
      <c r="AT242" s="128" t="str">
        <f ca="1">IF(AT241="","",SUMPRODUCT(--(Leverancer!$C$28:$C$88=($G242+2)),Leverancer!AD$28:AD$88)/1000)</f>
        <v/>
      </c>
      <c r="AU242" s="128" t="str">
        <f ca="1">IF(AU241="","",SUMPRODUCT(--(Leverancer!$C$28:$C$88=($G242+2)),Leverancer!AE$28:AE$88)/1000)</f>
        <v/>
      </c>
      <c r="AV242" s="128" t="str">
        <f ca="1">IF(AV241="","",SUMPRODUCT(--(Leverancer!$C$28:$C$88=($G242+2)),Leverancer!AF$28:AF$88)/1000)</f>
        <v/>
      </c>
      <c r="AW242" s="128" t="str">
        <f ca="1">IF(AW241="","",SUMPRODUCT(--(Leverancer!$C$28:$C$88=($G242+2)),Leverancer!AG$28:AG$88)/1000)</f>
        <v/>
      </c>
      <c r="AX242" s="104"/>
      <c r="AY242" s="104"/>
      <c r="AZ242" s="101"/>
    </row>
    <row r="243" spans="3:52" ht="12.75" hidden="1" customHeight="1" outlineLevel="1" x14ac:dyDescent="0.25">
      <c r="C243" s="142">
        <f>IFERROR(YEAR(C242),"")</f>
        <v>1900</v>
      </c>
      <c r="D243" s="142">
        <f>IFERROR(MONTH(C242),"")</f>
        <v>1</v>
      </c>
      <c r="E243" s="142">
        <f>INDEX(g_sc_1_assets_years,G242)</f>
        <v>0</v>
      </c>
      <c r="N243" s="99"/>
      <c r="O243" s="104"/>
      <c r="P243" s="104"/>
      <c r="Q243" s="129" t="str">
        <f>INDEX(g_lang_val,MATCH("tb_2_4_2",g_lang_key,0))</f>
        <v>Afskrivninger</v>
      </c>
      <c r="R243" s="130"/>
      <c r="S243" s="133">
        <f ca="1">SUM(T243:BG243)</f>
        <v>0</v>
      </c>
      <c r="T243" s="128">
        <f t="shared" ref="T243" ca="1" si="1629">IF(T241="","",IF(T241&lt;$C243,0,IF(T241=$C243,T242/$C244*$E244+S244/$C244*$E244,IF(AND(T241&gt;$C243,T241&lt;ROUNDDOWN(($C243+($D243+$C244-1)/12),0)),(T242/2+S244)/($C244-$E244-12*(T241-$C243-1))*12,IF(AND($D244&lt;0,T241=ROUNDDOWN(($C243+($D243+$C244-1)/12),0)),S244+T242,IF(T241=ROUNDDOWN(($C243+($D243+$C244-1)/12),0),(T242+S244)/$C244*($D244+(T241-$C243-1)*12+$E244),IF(T241&gt;ROUNDDOWN(($C243+($D243+$C244)/12),0),0,0)))))))</f>
        <v>0</v>
      </c>
      <c r="U243" s="128">
        <f t="shared" ref="U243" ca="1" si="1630">IF(U241="","",IF(U241&lt;$C243,0,IF(U241=$C243,U242/$C244*$E244+T244/$C244*$E244,IF(AND(U241&gt;$C243,U241&lt;ROUNDDOWN(($C243+($D243+$C244-1)/12),0)),(U242/2+T244)/($C244-$E244-12*(U241-$C243-1))*12,IF(AND($D244&lt;0,U241=ROUNDDOWN(($C243+($D243+$C244-1)/12),0)),T244+U242,IF(U241=ROUNDDOWN(($C243+($D243+$C244-1)/12),0),(U242+T244)/$C244*($D244+(U241-$C243-1)*12+$E244),IF(U241&gt;ROUNDDOWN(($C243+($D243+$C244)/12),0),0,0)))))))</f>
        <v>0</v>
      </c>
      <c r="V243" s="128">
        <f t="shared" ref="V243" ca="1" si="1631">IF(V241="","",IF(V241&lt;$C243,0,IF(V241=$C243,V242/$C244*$E244+U244/$C244*$E244,IF(AND(V241&gt;$C243,V241&lt;ROUNDDOWN(($C243+($D243+$C244-1)/12),0)),(V242/2+U244)/($C244-$E244-12*(V241-$C243-1))*12,IF(AND($D244&lt;0,V241=ROUNDDOWN(($C243+($D243+$C244-1)/12),0)),U244+V242,IF(V241=ROUNDDOWN(($C243+($D243+$C244-1)/12),0),(V242+U244)/$C244*($D244+(V241-$C243-1)*12+$E244),IF(V241&gt;ROUNDDOWN(($C243+($D243+$C244)/12),0),0,0)))))))</f>
        <v>0</v>
      </c>
      <c r="W243" s="128">
        <f t="shared" ref="W243" ca="1" si="1632">IF(W241="","",IF(W241&lt;$C243,0,IF(W241=$C243,W242/$C244*$E244+V244/$C244*$E244,IF(AND(W241&gt;$C243,W241&lt;ROUNDDOWN(($C243+($D243+$C244-1)/12),0)),(W242/2+V244)/($C244-$E244-12*(W241-$C243-1))*12,IF(AND($D244&lt;0,W241=ROUNDDOWN(($C243+($D243+$C244-1)/12),0)),V244+W242,IF(W241=ROUNDDOWN(($C243+($D243+$C244-1)/12),0),(W242+V244)/$C244*($D244+(W241-$C243-1)*12+$E244),IF(W241&gt;ROUNDDOWN(($C243+($D243+$C244)/12),0),0,0)))))))</f>
        <v>0</v>
      </c>
      <c r="X243" s="128" t="str">
        <f t="shared" ref="X243" ca="1" si="1633">IF(X241="","",IF(X241&lt;$C243,0,IF(X241=$C243,X242/$C244*$E244+W244/$C244*$E244,IF(AND(X241&gt;$C243,X241&lt;ROUNDDOWN(($C243+($D243+$C244-1)/12),0)),(X242/2+W244)/($C244-$E244-12*(X241-$C243-1))*12,IF(AND($D244&lt;0,X241=ROUNDDOWN(($C243+($D243+$C244-1)/12),0)),W244+X242,IF(X241=ROUNDDOWN(($C243+($D243+$C244-1)/12),0),(X242+W244)/$C244*($D244+(X241-$C243-1)*12+$E244),IF(X241&gt;ROUNDDOWN(($C243+($D243+$C244)/12),0),0,0)))))))</f>
        <v/>
      </c>
      <c r="Y243" s="128" t="str">
        <f t="shared" ref="Y243" ca="1" si="1634">IF(Y241="","",IF(Y241&lt;$C243,0,IF(Y241=$C243,Y242/$C244*$E244+X244/$C244*$E244,IF(AND(Y241&gt;$C243,Y241&lt;ROUNDDOWN(($C243+($D243+$C244-1)/12),0)),(Y242/2+X244)/($C244-$E244-12*(Y241-$C243-1))*12,IF(AND($D244&lt;0,Y241=ROUNDDOWN(($C243+($D243+$C244-1)/12),0)),X244+Y242,IF(Y241=ROUNDDOWN(($C243+($D243+$C244-1)/12),0),(Y242+X244)/$C244*($D244+(Y241-$C243-1)*12+$E244),IF(Y241&gt;ROUNDDOWN(($C243+($D243+$C244)/12),0),0,0)))))))</f>
        <v/>
      </c>
      <c r="Z243" s="128" t="str">
        <f ca="1">IF(Z241="","",IF(Z241&lt;$C243,0,IF(Z241=$C243,Z242/$C244*$E244+Y244/$C244*$E244,IF(AND(Z241&gt;$C243,Z241&lt;ROUNDDOWN(($C243+($D243+$C244-1)/12),0)),(Z242/2+Y244)/($C244-$E244-12*(Z241-$C243-1))*12,IF(AND($D244&lt;0,Z241=ROUNDDOWN(($C243+($D243+$C244-1)/12),0)),Y244+Z242,IF(Z241=ROUNDDOWN(($C243+($D243+$C244-1)/12),0),(Z242+Y244)/$C244*($D244+(Z241-$C243-1)*12+$E244),IF(Z241&gt;ROUNDDOWN(($C243+($D243+$C244)/12),0),0,0)))))))</f>
        <v/>
      </c>
      <c r="AA243" s="128" t="str">
        <f t="shared" ref="AA243" ca="1" si="1635">IF(AA241="","",IF(AA241&lt;$C243,0,IF(AA241=$C243,AA242/$C244*$E244+Z244/$C244*$E244,IF(AND(AA241&gt;$C243,AA241&lt;ROUNDDOWN(($C243+($D243+$C244-1)/12),0)),(AA242/2+Z244)/($C244-$E244-12*(AA241-$C243-1))*12,IF(AND($D244&lt;0,AA241=ROUNDDOWN(($C243+($D243+$C244-1)/12),0)),Z244+AA242,IF(AA241=ROUNDDOWN(($C243+($D243+$C244-1)/12),0),(AA242+Z244)/$C244*($D244+(AA241-$C243-1)*12+$E244),IF(AA241&gt;ROUNDDOWN(($C243+($D243+$C244)/12),0),0,0)))))))</f>
        <v/>
      </c>
      <c r="AB243" s="128" t="str">
        <f t="shared" ref="AB243" ca="1" si="1636">IF(AB241="","",IF(AB241&lt;$C243,0,IF(AB241=$C243,AB242/$C244*$E244+AA244/$C244*$E244,IF(AND(AB241&gt;$C243,AB241&lt;ROUNDDOWN(($C243+($D243+$C244-1)/12),0)),(AB242/2+AA244)/($C244-$E244-12*(AB241-$C243-1))*12,IF(AND($D244&lt;0,AB241=ROUNDDOWN(($C243+($D243+$C244-1)/12),0)),AA244+AB242,IF(AB241=ROUNDDOWN(($C243+($D243+$C244-1)/12),0),(AB242+AA244)/$C244*($D244+(AB241-$C243-1)*12+$E244),IF(AB241&gt;ROUNDDOWN(($C243+($D243+$C244)/12),0),0,0)))))))</f>
        <v/>
      </c>
      <c r="AC243" s="128" t="str">
        <f t="shared" ref="AC243" ca="1" si="1637">IF(AC241="","",IF(AC241&lt;$C243,0,IF(AC241=$C243,AC242/$C244*$E244+AB244/$C244*$E244,IF(AND(AC241&gt;$C243,AC241&lt;ROUNDDOWN(($C243+($D243+$C244-1)/12),0)),(AC242/2+AB244)/($C244-$E244-12*(AC241-$C243-1))*12,IF(AND($D244&lt;0,AC241=ROUNDDOWN(($C243+($D243+$C244-1)/12),0)),AB244+AC242,IF(AC241=ROUNDDOWN(($C243+($D243+$C244-1)/12),0),(AC242+AB244)/$C244*($D244+(AC241-$C243-1)*12+$E244),IF(AC241&gt;ROUNDDOWN(($C243+($D243+$C244)/12),0),0,0)))))))</f>
        <v/>
      </c>
      <c r="AD243" s="128" t="str">
        <f t="shared" ref="AD243" ca="1" si="1638">IF(AD241="","",IF(AD241&lt;$C243,0,IF(AD241=$C243,AD242/$C244*$E244+AC244/$C244*$E244,IF(AND(AD241&gt;$C243,AD241&lt;ROUNDDOWN(($C243+($D243+$C244-1)/12),0)),(AD242/2+AC244)/($C244-$E244-12*(AD241-$C243-1))*12,IF(AND($D244&lt;0,AD241=ROUNDDOWN(($C243+($D243+$C244-1)/12),0)),AC244+AD242,IF(AD241=ROUNDDOWN(($C243+($D243+$C244-1)/12),0),(AD242+AC244)/$C244*($D244+(AD241-$C243-1)*12+$E244),IF(AD241&gt;ROUNDDOWN(($C243+($D243+$C244)/12),0),0,0)))))))</f>
        <v/>
      </c>
      <c r="AE243" s="128" t="str">
        <f t="shared" ref="AE243" ca="1" si="1639">IF(AE241="","",IF(AE241&lt;$C243,0,IF(AE241=$C243,AE242/$C244*$E244+AD244/$C244*$E244,IF(AND(AE241&gt;$C243,AE241&lt;ROUNDDOWN(($C243+($D243+$C244-1)/12),0)),(AE242/2+AD244)/($C244-$E244-12*(AE241-$C243-1))*12,IF(AND($D244&lt;0,AE241=ROUNDDOWN(($C243+($D243+$C244-1)/12),0)),AD244+AE242,IF(AE241=ROUNDDOWN(($C243+($D243+$C244-1)/12),0),(AE242+AD244)/$C244*($D244+(AE241-$C243-1)*12+$E244),IF(AE241&gt;ROUNDDOWN(($C243+($D243+$C244)/12),0),0,0)))))))</f>
        <v/>
      </c>
      <c r="AF243" s="128" t="str">
        <f t="shared" ref="AF243" ca="1" si="1640">IF(AF241="","",IF(AF241&lt;$C243,0,IF(AF241=$C243,AF242/$C244*$E244+AE244/$C244*$E244,IF(AND(AF241&gt;$C243,AF241&lt;ROUNDDOWN(($C243+($D243+$C244-1)/12),0)),(AF242/2+AE244)/($C244-$E244-12*(AF241-$C243-1))*12,IF(AND($D244&lt;0,AF241=ROUNDDOWN(($C243+($D243+$C244-1)/12),0)),AE244+AF242,IF(AF241=ROUNDDOWN(($C243+($D243+$C244-1)/12),0),(AF242+AE244)/$C244*($D244+(AF241-$C243-1)*12+$E244),IF(AF241&gt;ROUNDDOWN(($C243+($D243+$C244)/12),0),0,0)))))))</f>
        <v/>
      </c>
      <c r="AG243" s="128" t="str">
        <f t="shared" ref="AG243" ca="1" si="1641">IF(AG241="","",IF(AG241&lt;$C243,0,IF(AG241=$C243,AG242/$C244*$E244+AF244/$C244*$E244,IF(AND(AG241&gt;$C243,AG241&lt;ROUNDDOWN(($C243+($D243+$C244-1)/12),0)),(AG242/2+AF244)/($C244-$E244-12*(AG241-$C243-1))*12,IF(AND($D244&lt;0,AG241=ROUNDDOWN(($C243+($D243+$C244-1)/12),0)),AF244+AG242,IF(AG241=ROUNDDOWN(($C243+($D243+$C244-1)/12),0),(AG242+AF244)/$C244*($D244+(AG241-$C243-1)*12+$E244),IF(AG241&gt;ROUNDDOWN(($C243+($D243+$C244)/12),0),0,0)))))))</f>
        <v/>
      </c>
      <c r="AH243" s="128" t="str">
        <f t="shared" ref="AH243" ca="1" si="1642">IF(AH241="","",IF(AH241&lt;$C243,0,IF(AH241=$C243,AH242/$C244*$E244+AG244/$C244*$E244,IF(AND(AH241&gt;$C243,AH241&lt;ROUNDDOWN(($C243+($D243+$C244-1)/12),0)),(AH242/2+AG244)/($C244-$E244-12*(AH241-$C243-1))*12,IF(AND($D244&lt;0,AH241=ROUNDDOWN(($C243+($D243+$C244-1)/12),0)),AG244+AH242,IF(AH241=ROUNDDOWN(($C243+($D243+$C244-1)/12),0),(AH242+AG244)/$C244*($D244+(AH241-$C243-1)*12+$E244),IF(AH241&gt;ROUNDDOWN(($C243+($D243+$C244)/12),0),0,0)))))))</f>
        <v/>
      </c>
      <c r="AI243" s="128" t="str">
        <f t="shared" ref="AI243" ca="1" si="1643">IF(AI241="","",IF(AI241&lt;$C243,0,IF(AI241=$C243,AI242/$C244*$E244+AH244/$C244*$E244,IF(AND(AI241&gt;$C243,AI241&lt;ROUNDDOWN(($C243+($D243+$C244-1)/12),0)),(AI242/2+AH244)/($C244-$E244-12*(AI241-$C243-1))*12,IF(AND($D244&lt;0,AI241=ROUNDDOWN(($C243+($D243+$C244-1)/12),0)),AH244+AI242,IF(AI241=ROUNDDOWN(($C243+($D243+$C244-1)/12),0),(AI242+AH244)/$C244*($D244+(AI241-$C243-1)*12+$E244),IF(AI241&gt;ROUNDDOWN(($C243+($D243+$C244)/12),0),0,0)))))))</f>
        <v/>
      </c>
      <c r="AJ243" s="128" t="str">
        <f t="shared" ref="AJ243" ca="1" si="1644">IF(AJ241="","",IF(AJ241&lt;$C243,0,IF(AJ241=$C243,AJ242/$C244*$E244+AI244/$C244*$E244,IF(AND(AJ241&gt;$C243,AJ241&lt;ROUNDDOWN(($C243+($D243+$C244-1)/12),0)),(AJ242/2+AI244)/($C244-$E244-12*(AJ241-$C243-1))*12,IF(AND($D244&lt;0,AJ241=ROUNDDOWN(($C243+($D243+$C244-1)/12),0)),AI244+AJ242,IF(AJ241=ROUNDDOWN(($C243+($D243+$C244-1)/12),0),(AJ242+AI244)/$C244*($D244+(AJ241-$C243-1)*12+$E244),IF(AJ241&gt;ROUNDDOWN(($C243+($D243+$C244)/12),0),0,0)))))))</f>
        <v/>
      </c>
      <c r="AK243" s="128" t="str">
        <f t="shared" ref="AK243" ca="1" si="1645">IF(AK241="","",IF(AK241&lt;$C243,0,IF(AK241=$C243,AK242/$C244*$E244+AJ244/$C244*$E244,IF(AND(AK241&gt;$C243,AK241&lt;ROUNDDOWN(($C243+($D243+$C244-1)/12),0)),(AK242/2+AJ244)/($C244-$E244-12*(AK241-$C243-1))*12,IF(AND($D244&lt;0,AK241=ROUNDDOWN(($C243+($D243+$C244-1)/12),0)),AJ244+AK242,IF(AK241=ROUNDDOWN(($C243+($D243+$C244-1)/12),0),(AK242+AJ244)/$C244*($D244+(AK241-$C243-1)*12+$E244),IF(AK241&gt;ROUNDDOWN(($C243+($D243+$C244)/12),0),0,0)))))))</f>
        <v/>
      </c>
      <c r="AL243" s="128" t="str">
        <f t="shared" ref="AL243" ca="1" si="1646">IF(AL241="","",IF(AL241&lt;$C243,0,IF(AL241=$C243,AL242/$C244*$E244+AK244/$C244*$E244,IF(AND(AL241&gt;$C243,AL241&lt;ROUNDDOWN(($C243+($D243+$C244-1)/12),0)),(AL242/2+AK244)/($C244-$E244-12*(AL241-$C243-1))*12,IF(AND($D244&lt;0,AL241=ROUNDDOWN(($C243+($D243+$C244-1)/12),0)),AK244+AL242,IF(AL241=ROUNDDOWN(($C243+($D243+$C244-1)/12),0),(AL242+AK244)/$C244*($D244+(AL241-$C243-1)*12+$E244),IF(AL241&gt;ROUNDDOWN(($C243+($D243+$C244)/12),0),0,0)))))))</f>
        <v/>
      </c>
      <c r="AM243" s="128" t="str">
        <f t="shared" ref="AM243" ca="1" si="1647">IF(AM241="","",IF(AM241&lt;$C243,0,IF(AM241=$C243,AM242/$C244*$E244+AL244/$C244*$E244,IF(AND(AM241&gt;$C243,AM241&lt;ROUNDDOWN(($C243+($D243+$C244-1)/12),0)),(AM242/2+AL244)/($C244-$E244-12*(AM241-$C243-1))*12,IF(AND($D244&lt;0,AM241=ROUNDDOWN(($C243+($D243+$C244-1)/12),0)),AL244+AM242,IF(AM241=ROUNDDOWN(($C243+($D243+$C244-1)/12),0),(AM242+AL244)/$C244*($D244+(AM241-$C243-1)*12+$E244),IF(AM241&gt;ROUNDDOWN(($C243+($D243+$C244)/12),0),0,0)))))))</f>
        <v/>
      </c>
      <c r="AN243" s="128" t="str">
        <f t="shared" ref="AN243" ca="1" si="1648">IF(AN241="","",IF(AN241&lt;$C243,0,IF(AN241=$C243,AN242/$C244*$E244+AM244/$C244*$E244,IF(AND(AN241&gt;$C243,AN241&lt;ROUNDDOWN(($C243+($D243+$C244-1)/12),0)),(AN242/2+AM244)/($C244-$E244-12*(AN241-$C243-1))*12,IF(AND($D244&lt;0,AN241=ROUNDDOWN(($C243+($D243+$C244-1)/12),0)),AM244+AN242,IF(AN241=ROUNDDOWN(($C243+($D243+$C244-1)/12),0),(AN242+AM244)/$C244*($D244+(AN241-$C243-1)*12+$E244),IF(AN241&gt;ROUNDDOWN(($C243+($D243+$C244)/12),0),0,0)))))))</f>
        <v/>
      </c>
      <c r="AO243" s="128" t="str">
        <f t="shared" ref="AO243" ca="1" si="1649">IF(AO241="","",IF(AO241&lt;$C243,0,IF(AO241=$C243,AO242/$C244*$E244+AN244/$C244*$E244,IF(AND(AO241&gt;$C243,AO241&lt;ROUNDDOWN(($C243+($D243+$C244-1)/12),0)),(AO242/2+AN244)/($C244-$E244-12*(AO241-$C243-1))*12,IF(AND($D244&lt;0,AO241=ROUNDDOWN(($C243+($D243+$C244-1)/12),0)),AN244+AO242,IF(AO241=ROUNDDOWN(($C243+($D243+$C244-1)/12),0),(AO242+AN244)/$C244*($D244+(AO241-$C243-1)*12+$E244),IF(AO241&gt;ROUNDDOWN(($C243+($D243+$C244)/12),0),0,0)))))))</f>
        <v/>
      </c>
      <c r="AP243" s="128" t="str">
        <f t="shared" ref="AP243" ca="1" si="1650">IF(AP241="","",IF(AP241&lt;$C243,0,IF(AP241=$C243,AP242/$C244*$E244+AO244/$C244*$E244,IF(AND(AP241&gt;$C243,AP241&lt;ROUNDDOWN(($C243+($D243+$C244-1)/12),0)),(AP242/2+AO244)/($C244-$E244-12*(AP241-$C243-1))*12,IF(AND($D244&lt;0,AP241=ROUNDDOWN(($C243+($D243+$C244-1)/12),0)),AO244+AP242,IF(AP241=ROUNDDOWN(($C243+($D243+$C244-1)/12),0),(AP242+AO244)/$C244*($D244+(AP241-$C243-1)*12+$E244),IF(AP241&gt;ROUNDDOWN(($C243+($D243+$C244)/12),0),0,0)))))))</f>
        <v/>
      </c>
      <c r="AQ243" s="128" t="str">
        <f t="shared" ref="AQ243" ca="1" si="1651">IF(AQ241="","",IF(AQ241&lt;$C243,0,IF(AQ241=$C243,AQ242/$C244*$E244+AP244/$C244*$E244,IF(AND(AQ241&gt;$C243,AQ241&lt;ROUNDDOWN(($C243+($D243+$C244-1)/12),0)),(AQ242/2+AP244)/($C244-$E244-12*(AQ241-$C243-1))*12,IF(AND($D244&lt;0,AQ241=ROUNDDOWN(($C243+($D243+$C244-1)/12),0)),AP244+AQ242,IF(AQ241=ROUNDDOWN(($C243+($D243+$C244-1)/12),0),(AQ242+AP244)/$C244*($D244+(AQ241-$C243-1)*12+$E244),IF(AQ241&gt;ROUNDDOWN(($C243+($D243+$C244)/12),0),0,0)))))))</f>
        <v/>
      </c>
      <c r="AR243" s="128" t="str">
        <f t="shared" ref="AR243" ca="1" si="1652">IF(AR241="","",IF(AR241&lt;$C243,0,IF(AR241=$C243,AR242/$C244*$E244+AQ244/$C244*$E244,IF(AND(AR241&gt;$C243,AR241&lt;ROUNDDOWN(($C243+($D243+$C244-1)/12),0)),(AR242/2+AQ244)/($C244-$E244-12*(AR241-$C243-1))*12,IF(AND($D244&lt;0,AR241=ROUNDDOWN(($C243+($D243+$C244-1)/12),0)),AQ244+AR242,IF(AR241=ROUNDDOWN(($C243+($D243+$C244-1)/12),0),(AR242+AQ244)/$C244*($D244+(AR241-$C243-1)*12+$E244),IF(AR241&gt;ROUNDDOWN(($C243+($D243+$C244)/12),0),0,0)))))))</f>
        <v/>
      </c>
      <c r="AS243" s="128" t="str">
        <f t="shared" ref="AS243" ca="1" si="1653">IF(AS241="","",IF(AS241&lt;$C243,0,IF(AS241=$C243,AS242/$C244*$E244+AR244/$C244*$E244,IF(AND(AS241&gt;$C243,AS241&lt;ROUNDDOWN(($C243+($D243+$C244-1)/12),0)),(AS242/2+AR244)/($C244-$E244-12*(AS241-$C243-1))*12,IF(AND($D244&lt;0,AS241=ROUNDDOWN(($C243+($D243+$C244-1)/12),0)),AR244+AS242,IF(AS241=ROUNDDOWN(($C243+($D243+$C244-1)/12),0),(AS242+AR244)/$C244*($D244+(AS241-$C243-1)*12+$E244),IF(AS241&gt;ROUNDDOWN(($C243+($D243+$C244)/12),0),0,0)))))))</f>
        <v/>
      </c>
      <c r="AT243" s="128" t="str">
        <f t="shared" ref="AT243" ca="1" si="1654">IF(AT241="","",IF(AT241&lt;$C243,0,IF(AT241=$C243,AT242/$C244*$E244+AS244/$C244*$E244,IF(AND(AT241&gt;$C243,AT241&lt;ROUNDDOWN(($C243+($D243+$C244-1)/12),0)),(AT242/2+AS244)/($C244-$E244-12*(AT241-$C243-1))*12,IF(AND($D244&lt;0,AT241=ROUNDDOWN(($C243+($D243+$C244-1)/12),0)),AS244+AT242,IF(AT241=ROUNDDOWN(($C243+($D243+$C244-1)/12),0),(AT242+AS244)/$C244*($D244+(AT241-$C243-1)*12+$E244),IF(AT241&gt;ROUNDDOWN(($C243+($D243+$C244)/12),0),0,0)))))))</f>
        <v/>
      </c>
      <c r="AU243" s="128" t="str">
        <f t="shared" ref="AU243" ca="1" si="1655">IF(AU241="","",IF(AU241&lt;$C243,0,IF(AU241=$C243,AU242/$C244*$E244+AT244/$C244*$E244,IF(AND(AU241&gt;$C243,AU241&lt;ROUNDDOWN(($C243+($D243+$C244-1)/12),0)),(AU242/2+AT244)/($C244-$E244-12*(AU241-$C243-1))*12,IF(AND($D244&lt;0,AU241=ROUNDDOWN(($C243+($D243+$C244-1)/12),0)),AT244+AU242,IF(AU241=ROUNDDOWN(($C243+($D243+$C244-1)/12),0),(AU242+AT244)/$C244*($D244+(AU241-$C243-1)*12+$E244),IF(AU241&gt;ROUNDDOWN(($C243+($D243+$C244)/12),0),0,0)))))))</f>
        <v/>
      </c>
      <c r="AV243" s="128" t="str">
        <f t="shared" ref="AV243" ca="1" si="1656">IF(AV241="","",IF(AV241&lt;$C243,0,IF(AV241=$C243,AV242/$C244*$E244+AU244/$C244*$E244,IF(AND(AV241&gt;$C243,AV241&lt;ROUNDDOWN(($C243+($D243+$C244-1)/12),0)),(AV242/2+AU244)/($C244-$E244-12*(AV241-$C243-1))*12,IF(AND($D244&lt;0,AV241=ROUNDDOWN(($C243+($D243+$C244-1)/12),0)),AU244+AV242,IF(AV241=ROUNDDOWN(($C243+($D243+$C244-1)/12),0),(AV242+AU244)/$C244*($D244+(AV241-$C243-1)*12+$E244),IF(AV241&gt;ROUNDDOWN(($C243+($D243+$C244)/12),0),0,0)))))))</f>
        <v/>
      </c>
      <c r="AW243" s="128" t="str">
        <f t="shared" ref="AW243" ca="1" si="1657">IF(AW241="","",IF(AW241&lt;$C243,0,IF(AW241=$C243,AW242/$C244*$E244+AV244/$C244*$E244,IF(AND(AW241&gt;$C243,AW241&lt;ROUNDDOWN(($C243+($D243+$C244-1)/12),0)),(AW242/2+AV244)/($C244-$E244-12*(AW241-$C243-1))*12,IF(AND($D244&lt;0,AW241=ROUNDDOWN(($C243+($D243+$C244-1)/12),0)),AV244+AW242,IF(AW241=ROUNDDOWN(($C243+($D243+$C244-1)/12),0),(AW242+AV244)/$C244*($D244+(AW241-$C243-1)*12+$E244),IF(AW241&gt;ROUNDDOWN(($C243+($D243+$C244)/12),0),0,0)))))))</f>
        <v/>
      </c>
      <c r="AX243" s="104"/>
      <c r="AY243" s="104"/>
      <c r="AZ243" s="101"/>
    </row>
    <row r="244" spans="3:52" ht="12.75" hidden="1" customHeight="1" outlineLevel="1" x14ac:dyDescent="0.25">
      <c r="C244" s="142">
        <f>ROUNDUP((E243-ROUNDDOWN(E243,0))*12,0)+ROUNDDOWN(E243,0)*12</f>
        <v>0</v>
      </c>
      <c r="D244" s="142">
        <f>C244-E244-ROUNDDOWN(E243,0)*12</f>
        <v>-12</v>
      </c>
      <c r="E244" s="142">
        <f>13-MONTH(C242)</f>
        <v>12</v>
      </c>
      <c r="N244" s="99"/>
      <c r="O244" s="104"/>
      <c r="P244" s="104"/>
      <c r="Q244" s="129" t="str">
        <f>INDEX(g_lang_val,MATCH("tb_2_4_3",g_lang_key,0))</f>
        <v>FF4-gæld, ultimo året</v>
      </c>
      <c r="R244" s="130"/>
      <c r="S244" s="133"/>
      <c r="T244" s="128">
        <f t="shared" ref="T244" ca="1" si="1658">IF(T241="","",S244+T242-T243)</f>
        <v>0</v>
      </c>
      <c r="U244" s="128">
        <f t="shared" ref="U244" ca="1" si="1659">IF(U241="","",T244+U242-U243)</f>
        <v>0</v>
      </c>
      <c r="V244" s="128">
        <f t="shared" ref="V244" ca="1" si="1660">IF(V241="","",U244+V242-V243)</f>
        <v>0</v>
      </c>
      <c r="W244" s="128">
        <f t="shared" ref="W244" ca="1" si="1661">IF(W241="","",V244+W242-W243)</f>
        <v>0</v>
      </c>
      <c r="X244" s="128" t="str">
        <f t="shared" ref="X244" ca="1" si="1662">IF(X241="","",W244+X242-X243)</f>
        <v/>
      </c>
      <c r="Y244" s="128" t="str">
        <f t="shared" ref="Y244" ca="1" si="1663">IF(Y241="","",X244+Y242-Y243)</f>
        <v/>
      </c>
      <c r="Z244" s="128" t="str">
        <f t="shared" ref="Z244" ca="1" si="1664">IF(Z241="","",Y244+Z242-Z243)</f>
        <v/>
      </c>
      <c r="AA244" s="128" t="str">
        <f t="shared" ref="AA244" ca="1" si="1665">IF(AA241="","",Z244+AA242-AA243)</f>
        <v/>
      </c>
      <c r="AB244" s="128" t="str">
        <f t="shared" ref="AB244" ca="1" si="1666">IF(AB241="","",AA244+AB242-AB243)</f>
        <v/>
      </c>
      <c r="AC244" s="128" t="str">
        <f t="shared" ref="AC244" ca="1" si="1667">IF(AC241="","",AB244+AC242-AC243)</f>
        <v/>
      </c>
      <c r="AD244" s="128" t="str">
        <f t="shared" ref="AD244" ca="1" si="1668">IF(AD241="","",AC244+AD242-AD243)</f>
        <v/>
      </c>
      <c r="AE244" s="128" t="str">
        <f t="shared" ref="AE244" ca="1" si="1669">IF(AE241="","",AD244+AE242-AE243)</f>
        <v/>
      </c>
      <c r="AF244" s="128" t="str">
        <f t="shared" ref="AF244" ca="1" si="1670">IF(AF241="","",AE244+AF242-AF243)</f>
        <v/>
      </c>
      <c r="AG244" s="128" t="str">
        <f t="shared" ref="AG244" ca="1" si="1671">IF(AG241="","",AF244+AG242-AG243)</f>
        <v/>
      </c>
      <c r="AH244" s="128" t="str">
        <f t="shared" ref="AH244" ca="1" si="1672">IF(AH241="","",AG244+AH242-AH243)</f>
        <v/>
      </c>
      <c r="AI244" s="128" t="str">
        <f t="shared" ref="AI244" ca="1" si="1673">IF(AI241="","",AH244+AI242-AI243)</f>
        <v/>
      </c>
      <c r="AJ244" s="128" t="str">
        <f t="shared" ref="AJ244" ca="1" si="1674">IF(AJ241="","",AI244+AJ242-AJ243)</f>
        <v/>
      </c>
      <c r="AK244" s="128" t="str">
        <f t="shared" ref="AK244" ca="1" si="1675">IF(AK241="","",AJ244+AK242-AK243)</f>
        <v/>
      </c>
      <c r="AL244" s="128" t="str">
        <f t="shared" ref="AL244" ca="1" si="1676">IF(AL241="","",AK244+AL242-AL243)</f>
        <v/>
      </c>
      <c r="AM244" s="128" t="str">
        <f t="shared" ref="AM244" ca="1" si="1677">IF(AM241="","",AL244+AM242-AM243)</f>
        <v/>
      </c>
      <c r="AN244" s="128" t="str">
        <f t="shared" ref="AN244" ca="1" si="1678">IF(AN241="","",AM244+AN242-AN243)</f>
        <v/>
      </c>
      <c r="AO244" s="128" t="str">
        <f t="shared" ref="AO244" ca="1" si="1679">IF(AO241="","",AN244+AO242-AO243)</f>
        <v/>
      </c>
      <c r="AP244" s="128" t="str">
        <f t="shared" ref="AP244" ca="1" si="1680">IF(AP241="","",AO244+AP242-AP243)</f>
        <v/>
      </c>
      <c r="AQ244" s="128" t="str">
        <f t="shared" ref="AQ244" ca="1" si="1681">IF(AQ241="","",AP244+AQ242-AQ243)</f>
        <v/>
      </c>
      <c r="AR244" s="128" t="str">
        <f t="shared" ref="AR244" ca="1" si="1682">IF(AR241="","",AQ244+AR242-AR243)</f>
        <v/>
      </c>
      <c r="AS244" s="128" t="str">
        <f t="shared" ref="AS244" ca="1" si="1683">IF(AS241="","",AR244+AS242-AS243)</f>
        <v/>
      </c>
      <c r="AT244" s="128" t="str">
        <f t="shared" ref="AT244" ca="1" si="1684">IF(AT241="","",AS244+AT242-AT243)</f>
        <v/>
      </c>
      <c r="AU244" s="128" t="str">
        <f t="shared" ref="AU244" ca="1" si="1685">IF(AU241="","",AT244+AU242-AU243)</f>
        <v/>
      </c>
      <c r="AV244" s="128" t="str">
        <f t="shared" ref="AV244" ca="1" si="1686">IF(AV241="","",AU244+AV242-AV243)</f>
        <v/>
      </c>
      <c r="AW244" s="128" t="str">
        <f t="shared" ref="AW244" ca="1" si="1687">IF(AW241="","",AV244+AW242-AW243)</f>
        <v/>
      </c>
      <c r="AX244" s="104"/>
      <c r="AY244" s="104"/>
      <c r="AZ244" s="101"/>
    </row>
    <row r="245" spans="3:52" ht="12.75" hidden="1" customHeight="1" outlineLevel="1" x14ac:dyDescent="0.25">
      <c r="N245" s="99"/>
      <c r="O245" s="104"/>
      <c r="P245" s="104"/>
      <c r="Q245" s="129" t="str">
        <f>INDEX(g_lang_val,MATCH("tb_2_4_4",g_lang_key,0))</f>
        <v>Renter (FF4)</v>
      </c>
      <c r="R245" s="130"/>
      <c r="S245" s="133">
        <f ca="1">SUM(T245:BG245)</f>
        <v>0</v>
      </c>
      <c r="T245" s="128">
        <f t="shared" ref="T245" ca="1" si="1688">IF(T241="","",g_interest_FF4*(S244+(T242/2)-(T243/2)))</f>
        <v>0</v>
      </c>
      <c r="U245" s="128">
        <f t="shared" ref="U245" ca="1" si="1689">IF(U241="","",g_interest_FF4*(T244+(U242/2)-(U243/2)))</f>
        <v>0</v>
      </c>
      <c r="V245" s="128">
        <f t="shared" ref="V245" ca="1" si="1690">IF(V241="","",g_interest_FF4*(U244+(V242/2)-(V243/2)))</f>
        <v>0</v>
      </c>
      <c r="W245" s="128">
        <f t="shared" ref="W245" ca="1" si="1691">IF(W241="","",g_interest_FF4*(V244+(W242/2)-(W243/2)))</f>
        <v>0</v>
      </c>
      <c r="X245" s="128" t="str">
        <f t="shared" ref="X245" ca="1" si="1692">IF(X241="","",g_interest_FF4*(W244+(X242/2)-(X243/2)))</f>
        <v/>
      </c>
      <c r="Y245" s="128" t="str">
        <f t="shared" ref="Y245" ca="1" si="1693">IF(Y241="","",g_interest_FF4*(X244+(Y242/2)-(Y243/2)))</f>
        <v/>
      </c>
      <c r="Z245" s="128" t="str">
        <f t="shared" ref="Z245" ca="1" si="1694">IF(Z241="","",g_interest_FF4*(Y244+(Z242/2)-(Z243/2)))</f>
        <v/>
      </c>
      <c r="AA245" s="128" t="str">
        <f t="shared" ref="AA245" ca="1" si="1695">IF(AA241="","",g_interest_FF4*(Z244+(AA242/2)-(AA243/2)))</f>
        <v/>
      </c>
      <c r="AB245" s="128" t="str">
        <f t="shared" ref="AB245" ca="1" si="1696">IF(AB241="","",g_interest_FF4*(AA244+(AB242/2)-(AB243/2)))</f>
        <v/>
      </c>
      <c r="AC245" s="128" t="str">
        <f t="shared" ref="AC245" ca="1" si="1697">IF(AC241="","",g_interest_FF4*(AB244+(AC242/2)-(AC243/2)))</f>
        <v/>
      </c>
      <c r="AD245" s="128" t="str">
        <f t="shared" ref="AD245" ca="1" si="1698">IF(AD241="","",g_interest_FF4*(AC244+(AD242/2)-(AD243/2)))</f>
        <v/>
      </c>
      <c r="AE245" s="128" t="str">
        <f t="shared" ref="AE245" ca="1" si="1699">IF(AE241="","",g_interest_FF4*(AD244+(AE242/2)-(AE243/2)))</f>
        <v/>
      </c>
      <c r="AF245" s="128" t="str">
        <f t="shared" ref="AF245" ca="1" si="1700">IF(AF241="","",g_interest_FF4*(AE244+(AF242/2)-(AF243/2)))</f>
        <v/>
      </c>
      <c r="AG245" s="128" t="str">
        <f t="shared" ref="AG245" ca="1" si="1701">IF(AG241="","",g_interest_FF4*(AF244+(AG242/2)-(AG243/2)))</f>
        <v/>
      </c>
      <c r="AH245" s="128" t="str">
        <f t="shared" ref="AH245" ca="1" si="1702">IF(AH241="","",g_interest_FF4*(AG244+(AH242/2)-(AH243/2)))</f>
        <v/>
      </c>
      <c r="AI245" s="128" t="str">
        <f t="shared" ref="AI245" ca="1" si="1703">IF(AI241="","",g_interest_FF4*(AH244+(AI242/2)-(AI243/2)))</f>
        <v/>
      </c>
      <c r="AJ245" s="128" t="str">
        <f t="shared" ref="AJ245" ca="1" si="1704">IF(AJ241="","",g_interest_FF4*(AI244+(AJ242/2)-(AJ243/2)))</f>
        <v/>
      </c>
      <c r="AK245" s="128" t="str">
        <f t="shared" ref="AK245" ca="1" si="1705">IF(AK241="","",g_interest_FF4*(AJ244+(AK242/2)-(AK243/2)))</f>
        <v/>
      </c>
      <c r="AL245" s="128" t="str">
        <f t="shared" ref="AL245" ca="1" si="1706">IF(AL241="","",g_interest_FF4*(AK244+(AL242/2)-(AL243/2)))</f>
        <v/>
      </c>
      <c r="AM245" s="128" t="str">
        <f t="shared" ref="AM245" ca="1" si="1707">IF(AM241="","",g_interest_FF4*(AL244+(AM242/2)-(AM243/2)))</f>
        <v/>
      </c>
      <c r="AN245" s="128" t="str">
        <f t="shared" ref="AN245" ca="1" si="1708">IF(AN241="","",g_interest_FF4*(AM244+(AN242/2)-(AN243/2)))</f>
        <v/>
      </c>
      <c r="AO245" s="128" t="str">
        <f t="shared" ref="AO245" ca="1" si="1709">IF(AO241="","",g_interest_FF4*(AN244+(AO242/2)-(AO243/2)))</f>
        <v/>
      </c>
      <c r="AP245" s="128" t="str">
        <f t="shared" ref="AP245" ca="1" si="1710">IF(AP241="","",g_interest_FF4*(AO244+(AP242/2)-(AP243/2)))</f>
        <v/>
      </c>
      <c r="AQ245" s="128" t="str">
        <f t="shared" ref="AQ245" ca="1" si="1711">IF(AQ241="","",g_interest_FF4*(AP244+(AQ242/2)-(AQ243/2)))</f>
        <v/>
      </c>
      <c r="AR245" s="128" t="str">
        <f t="shared" ref="AR245" ca="1" si="1712">IF(AR241="","",g_interest_FF4*(AQ244+(AR242/2)-(AR243/2)))</f>
        <v/>
      </c>
      <c r="AS245" s="128" t="str">
        <f t="shared" ref="AS245" ca="1" si="1713">IF(AS241="","",g_interest_FF4*(AR244+(AS242/2)-(AS243/2)))</f>
        <v/>
      </c>
      <c r="AT245" s="128" t="str">
        <f t="shared" ref="AT245" ca="1" si="1714">IF(AT241="","",g_interest_FF4*(AS244+(AT242/2)-(AT243/2)))</f>
        <v/>
      </c>
      <c r="AU245" s="128" t="str">
        <f t="shared" ref="AU245" ca="1" si="1715">IF(AU241="","",g_interest_FF4*(AT244+(AU242/2)-(AU243/2)))</f>
        <v/>
      </c>
      <c r="AV245" s="128" t="str">
        <f t="shared" ref="AV245" ca="1" si="1716">IF(AV241="","",g_interest_FF4*(AU244+(AV242/2)-(AV243/2)))</f>
        <v/>
      </c>
      <c r="AW245" s="128" t="str">
        <f t="shared" ref="AW245" ca="1" si="1717">IF(AW241="","",g_interest_FF4*(AV244+(AW242/2)-(AW243/2)))</f>
        <v/>
      </c>
      <c r="AX245" s="104"/>
      <c r="AY245" s="104"/>
      <c r="AZ245" s="101"/>
    </row>
    <row r="246" spans="3:52" ht="12.75" hidden="1" customHeight="1" outlineLevel="1" x14ac:dyDescent="0.25">
      <c r="N246" s="99"/>
      <c r="O246" s="104"/>
      <c r="P246" s="104"/>
      <c r="Q246" s="132" t="str">
        <f>INDEX(g_assets_sc_1,22)</f>
        <v/>
      </c>
      <c r="R246" s="132"/>
      <c r="S246" s="127"/>
      <c r="T246" s="139">
        <f ca="1">T$150</f>
        <v>2025</v>
      </c>
      <c r="U246" s="139">
        <f t="shared" ref="U246:AW246" ca="1" si="1718">U$150</f>
        <v>2026</v>
      </c>
      <c r="V246" s="139">
        <f t="shared" ca="1" si="1718"/>
        <v>2027</v>
      </c>
      <c r="W246" s="139">
        <f t="shared" ca="1" si="1718"/>
        <v>2028</v>
      </c>
      <c r="X246" s="139" t="str">
        <f t="shared" ca="1" si="1718"/>
        <v/>
      </c>
      <c r="Y246" s="139" t="str">
        <f t="shared" ca="1" si="1718"/>
        <v/>
      </c>
      <c r="Z246" s="139" t="str">
        <f t="shared" ca="1" si="1718"/>
        <v/>
      </c>
      <c r="AA246" s="139" t="str">
        <f t="shared" ca="1" si="1718"/>
        <v/>
      </c>
      <c r="AB246" s="139" t="str">
        <f t="shared" ca="1" si="1718"/>
        <v/>
      </c>
      <c r="AC246" s="139" t="str">
        <f t="shared" ca="1" si="1718"/>
        <v/>
      </c>
      <c r="AD246" s="139" t="str">
        <f t="shared" ca="1" si="1718"/>
        <v/>
      </c>
      <c r="AE246" s="139" t="str">
        <f t="shared" ca="1" si="1718"/>
        <v/>
      </c>
      <c r="AF246" s="139" t="str">
        <f t="shared" ca="1" si="1718"/>
        <v/>
      </c>
      <c r="AG246" s="139" t="str">
        <f t="shared" ca="1" si="1718"/>
        <v/>
      </c>
      <c r="AH246" s="139" t="str">
        <f t="shared" ca="1" si="1718"/>
        <v/>
      </c>
      <c r="AI246" s="139" t="str">
        <f t="shared" ca="1" si="1718"/>
        <v/>
      </c>
      <c r="AJ246" s="139" t="str">
        <f t="shared" ca="1" si="1718"/>
        <v/>
      </c>
      <c r="AK246" s="139" t="str">
        <f t="shared" ca="1" si="1718"/>
        <v/>
      </c>
      <c r="AL246" s="139" t="str">
        <f t="shared" ca="1" si="1718"/>
        <v/>
      </c>
      <c r="AM246" s="139" t="str">
        <f t="shared" ca="1" si="1718"/>
        <v/>
      </c>
      <c r="AN246" s="139" t="str">
        <f t="shared" ca="1" si="1718"/>
        <v/>
      </c>
      <c r="AO246" s="139" t="str">
        <f t="shared" ca="1" si="1718"/>
        <v/>
      </c>
      <c r="AP246" s="139" t="str">
        <f t="shared" ca="1" si="1718"/>
        <v/>
      </c>
      <c r="AQ246" s="139" t="str">
        <f t="shared" ca="1" si="1718"/>
        <v/>
      </c>
      <c r="AR246" s="139" t="str">
        <f t="shared" ca="1" si="1718"/>
        <v/>
      </c>
      <c r="AS246" s="139" t="str">
        <f t="shared" ca="1" si="1718"/>
        <v/>
      </c>
      <c r="AT246" s="139" t="str">
        <f t="shared" ca="1" si="1718"/>
        <v/>
      </c>
      <c r="AU246" s="139" t="str">
        <f t="shared" ca="1" si="1718"/>
        <v/>
      </c>
      <c r="AV246" s="139" t="str">
        <f t="shared" ca="1" si="1718"/>
        <v/>
      </c>
      <c r="AW246" s="139" t="str">
        <f t="shared" ca="1" si="1718"/>
        <v/>
      </c>
      <c r="AX246" s="104"/>
      <c r="AY246" s="104"/>
      <c r="AZ246" s="101"/>
    </row>
    <row r="247" spans="3:52" ht="12.75" hidden="1" customHeight="1" outlineLevel="1" x14ac:dyDescent="0.25">
      <c r="C247" s="140">
        <f>INDEX(g_sc_1_assets_dates,G247)</f>
        <v>0</v>
      </c>
      <c r="G247" s="141">
        <v>20</v>
      </c>
      <c r="N247" s="99"/>
      <c r="O247" s="104"/>
      <c r="P247" s="104"/>
      <c r="Q247" s="129" t="str">
        <f>INDEX(g_lang_val,MATCH("tb_2_4_1",g_lang_key,0))</f>
        <v>Køb af anlægsaktiver</v>
      </c>
      <c r="R247" s="130"/>
      <c r="S247" s="133">
        <f ca="1">SUM(T247:BG247)</f>
        <v>0</v>
      </c>
      <c r="T247" s="128">
        <f ca="1">IF(T246="","",SUMPRODUCT(--(Leverancer!$C$28:$C$88=($G247+2)),Leverancer!D$28:D$88)/1000)</f>
        <v>0</v>
      </c>
      <c r="U247" s="128">
        <f ca="1">IF(U246="","",SUMPRODUCT(--(Leverancer!$C$28:$C$88=($G247+2)),Leverancer!E$28:E$88)/1000)</f>
        <v>0</v>
      </c>
      <c r="V247" s="128">
        <f ca="1">IF(V246="","",SUMPRODUCT(--(Leverancer!$C$28:$C$88=($G247+2)),Leverancer!F$28:F$88)/1000)</f>
        <v>0</v>
      </c>
      <c r="W247" s="128">
        <f ca="1">IF(W246="","",SUMPRODUCT(--(Leverancer!$C$28:$C$88=($G247+2)),Leverancer!G$28:G$88)/1000)</f>
        <v>0</v>
      </c>
      <c r="X247" s="128" t="str">
        <f ca="1">IF(X246="","",SUMPRODUCT(--(Leverancer!$C$28:$C$88=($G247+2)),Leverancer!H$28:H$88)/1000)</f>
        <v/>
      </c>
      <c r="Y247" s="128" t="str">
        <f ca="1">IF(Y246="","",SUMPRODUCT(--(Leverancer!$C$28:$C$88=($G247+2)),Leverancer!I$28:I$88)/1000)</f>
        <v/>
      </c>
      <c r="Z247" s="128" t="str">
        <f ca="1">IF(Z246="","",SUMPRODUCT(--(Leverancer!$C$28:$C$88=($G247+2)),Leverancer!J$28:J$88)/1000)</f>
        <v/>
      </c>
      <c r="AA247" s="128" t="str">
        <f ca="1">IF(AA246="","",SUMPRODUCT(--(Leverancer!$C$28:$C$88=($G247+2)),Leverancer!K$28:K$88)/1000)</f>
        <v/>
      </c>
      <c r="AB247" s="128" t="str">
        <f ca="1">IF(AB246="","",SUMPRODUCT(--(Leverancer!$C$28:$C$88=($G247+2)),Leverancer!L$28:L$88)/1000)</f>
        <v/>
      </c>
      <c r="AC247" s="128" t="str">
        <f ca="1">IF(AC246="","",SUMPRODUCT(--(Leverancer!$C$28:$C$88=($G247+2)),Leverancer!M$28:M$88)/1000)</f>
        <v/>
      </c>
      <c r="AD247" s="128" t="str">
        <f ca="1">IF(AD246="","",SUMPRODUCT(--(Leverancer!$C$28:$C$88=($G247+2)),Leverancer!N$28:N$88)/1000)</f>
        <v/>
      </c>
      <c r="AE247" s="128" t="str">
        <f ca="1">IF(AE246="","",SUMPRODUCT(--(Leverancer!$C$28:$C$88=($G247+2)),Leverancer!O$28:O$88)/1000)</f>
        <v/>
      </c>
      <c r="AF247" s="128" t="str">
        <f ca="1">IF(AF246="","",SUMPRODUCT(--(Leverancer!$C$28:$C$88=($G247+2)),Leverancer!P$28:P$88)/1000)</f>
        <v/>
      </c>
      <c r="AG247" s="128" t="str">
        <f ca="1">IF(AG246="","",SUMPRODUCT(--(Leverancer!$C$28:$C$88=($G247+2)),Leverancer!Q$28:Q$88)/1000)</f>
        <v/>
      </c>
      <c r="AH247" s="128" t="str">
        <f ca="1">IF(AH246="","",SUMPRODUCT(--(Leverancer!$C$28:$C$88=($G247+2)),Leverancer!R$28:R$88)/1000)</f>
        <v/>
      </c>
      <c r="AI247" s="128" t="str">
        <f ca="1">IF(AI246="","",SUMPRODUCT(--(Leverancer!$C$28:$C$88=($G247+2)),Leverancer!S$28:S$88)/1000)</f>
        <v/>
      </c>
      <c r="AJ247" s="128" t="str">
        <f ca="1">IF(AJ246="","",SUMPRODUCT(--(Leverancer!$C$28:$C$88=($G247+2)),Leverancer!T$28:T$88)/1000)</f>
        <v/>
      </c>
      <c r="AK247" s="128" t="str">
        <f ca="1">IF(AK246="","",SUMPRODUCT(--(Leverancer!$C$28:$C$88=($G247+2)),Leverancer!U$28:U$88)/1000)</f>
        <v/>
      </c>
      <c r="AL247" s="128" t="str">
        <f ca="1">IF(AL246="","",SUMPRODUCT(--(Leverancer!$C$28:$C$88=($G247+2)),Leverancer!V$28:V$88)/1000)</f>
        <v/>
      </c>
      <c r="AM247" s="128" t="str">
        <f ca="1">IF(AM246="","",SUMPRODUCT(--(Leverancer!$C$28:$C$88=($G247+2)),Leverancer!W$28:W$88)/1000)</f>
        <v/>
      </c>
      <c r="AN247" s="128" t="str">
        <f ca="1">IF(AN246="","",SUMPRODUCT(--(Leverancer!$C$28:$C$88=($G247+2)),Leverancer!X$28:X$88)/1000)</f>
        <v/>
      </c>
      <c r="AO247" s="128" t="str">
        <f ca="1">IF(AO246="","",SUMPRODUCT(--(Leverancer!$C$28:$C$88=($G247+2)),Leverancer!Y$28:Y$88)/1000)</f>
        <v/>
      </c>
      <c r="AP247" s="128" t="str">
        <f ca="1">IF(AP246="","",SUMPRODUCT(--(Leverancer!$C$28:$C$88=($G247+2)),Leverancer!Z$28:Z$88)/1000)</f>
        <v/>
      </c>
      <c r="AQ247" s="128" t="str">
        <f ca="1">IF(AQ246="","",SUMPRODUCT(--(Leverancer!$C$28:$C$88=($G247+2)),Leverancer!AA$28:AA$88)/1000)</f>
        <v/>
      </c>
      <c r="AR247" s="128" t="str">
        <f ca="1">IF(AR246="","",SUMPRODUCT(--(Leverancer!$C$28:$C$88=($G247+2)),Leverancer!AB$28:AB$88)/1000)</f>
        <v/>
      </c>
      <c r="AS247" s="128" t="str">
        <f ca="1">IF(AS246="","",SUMPRODUCT(--(Leverancer!$C$28:$C$88=($G247+2)),Leverancer!AC$28:AC$88)/1000)</f>
        <v/>
      </c>
      <c r="AT247" s="128" t="str">
        <f ca="1">IF(AT246="","",SUMPRODUCT(--(Leverancer!$C$28:$C$88=($G247+2)),Leverancer!AD$28:AD$88)/1000)</f>
        <v/>
      </c>
      <c r="AU247" s="128" t="str">
        <f ca="1">IF(AU246="","",SUMPRODUCT(--(Leverancer!$C$28:$C$88=($G247+2)),Leverancer!AE$28:AE$88)/1000)</f>
        <v/>
      </c>
      <c r="AV247" s="128" t="str">
        <f ca="1">IF(AV246="","",SUMPRODUCT(--(Leverancer!$C$28:$C$88=($G247+2)),Leverancer!AF$28:AF$88)/1000)</f>
        <v/>
      </c>
      <c r="AW247" s="128" t="str">
        <f ca="1">IF(AW246="","",SUMPRODUCT(--(Leverancer!$C$28:$C$88=($G247+2)),Leverancer!AG$28:AG$88)/1000)</f>
        <v/>
      </c>
      <c r="AX247" s="104"/>
      <c r="AY247" s="104"/>
      <c r="AZ247" s="101"/>
    </row>
    <row r="248" spans="3:52" ht="12.75" hidden="1" customHeight="1" outlineLevel="1" x14ac:dyDescent="0.25">
      <c r="C248" s="142">
        <f>IFERROR(YEAR(C247),"")</f>
        <v>1900</v>
      </c>
      <c r="D248" s="142">
        <f>IFERROR(MONTH(C247),"")</f>
        <v>1</v>
      </c>
      <c r="E248" s="142">
        <f>INDEX(g_sc_1_assets_years,G247)</f>
        <v>0</v>
      </c>
      <c r="N248" s="99"/>
      <c r="O248" s="104"/>
      <c r="P248" s="104"/>
      <c r="Q248" s="129" t="str">
        <f>INDEX(g_lang_val,MATCH("tb_2_4_2",g_lang_key,0))</f>
        <v>Afskrivninger</v>
      </c>
      <c r="R248" s="130"/>
      <c r="S248" s="133">
        <f ca="1">SUM(T248:BG248)</f>
        <v>0</v>
      </c>
      <c r="T248" s="128">
        <f t="shared" ref="T248" ca="1" si="1719">IF(T246="","",IF(T246&lt;$C248,0,IF(T246=$C248,T247/$C249*$E249+S249/$C249*$E249,IF(AND(T246&gt;$C248,T246&lt;ROUNDDOWN(($C248+($D248+$C249-1)/12),0)),(T247/2+S249)/($C249-$E249-12*(T246-$C248-1))*12,IF(AND($D249&lt;0,T246=ROUNDDOWN(($C248+($D248+$C249-1)/12),0)),S249+T247,IF(T246=ROUNDDOWN(($C248+($D248+$C249-1)/12),0),(T247+S249)/$C249*($D249+(T246-$C248-1)*12+$E249),IF(T246&gt;ROUNDDOWN(($C248+($D248+$C249)/12),0),0,0)))))))</f>
        <v>0</v>
      </c>
      <c r="U248" s="128">
        <f t="shared" ref="U248" ca="1" si="1720">IF(U246="","",IF(U246&lt;$C248,0,IF(U246=$C248,U247/$C249*$E249+T249/$C249*$E249,IF(AND(U246&gt;$C248,U246&lt;ROUNDDOWN(($C248+($D248+$C249-1)/12),0)),(U247/2+T249)/($C249-$E249-12*(U246-$C248-1))*12,IF(AND($D249&lt;0,U246=ROUNDDOWN(($C248+($D248+$C249-1)/12),0)),T249+U247,IF(U246=ROUNDDOWN(($C248+($D248+$C249-1)/12),0),(U247+T249)/$C249*($D249+(U246-$C248-1)*12+$E249),IF(U246&gt;ROUNDDOWN(($C248+($D248+$C249)/12),0),0,0)))))))</f>
        <v>0</v>
      </c>
      <c r="V248" s="128">
        <f t="shared" ref="V248" ca="1" si="1721">IF(V246="","",IF(V246&lt;$C248,0,IF(V246=$C248,V247/$C249*$E249+U249/$C249*$E249,IF(AND(V246&gt;$C248,V246&lt;ROUNDDOWN(($C248+($D248+$C249-1)/12),0)),(V247/2+U249)/($C249-$E249-12*(V246-$C248-1))*12,IF(AND($D249&lt;0,V246=ROUNDDOWN(($C248+($D248+$C249-1)/12),0)),U249+V247,IF(V246=ROUNDDOWN(($C248+($D248+$C249-1)/12),0),(V247+U249)/$C249*($D249+(V246-$C248-1)*12+$E249),IF(V246&gt;ROUNDDOWN(($C248+($D248+$C249)/12),0),0,0)))))))</f>
        <v>0</v>
      </c>
      <c r="W248" s="128">
        <f t="shared" ref="W248" ca="1" si="1722">IF(W246="","",IF(W246&lt;$C248,0,IF(W246=$C248,W247/$C249*$E249+V249/$C249*$E249,IF(AND(W246&gt;$C248,W246&lt;ROUNDDOWN(($C248+($D248+$C249-1)/12),0)),(W247/2+V249)/($C249-$E249-12*(W246-$C248-1))*12,IF(AND($D249&lt;0,W246=ROUNDDOWN(($C248+($D248+$C249-1)/12),0)),V249+W247,IF(W246=ROUNDDOWN(($C248+($D248+$C249-1)/12),0),(W247+V249)/$C249*($D249+(W246-$C248-1)*12+$E249),IF(W246&gt;ROUNDDOWN(($C248+($D248+$C249)/12),0),0,0)))))))</f>
        <v>0</v>
      </c>
      <c r="X248" s="128" t="str">
        <f t="shared" ref="X248" ca="1" si="1723">IF(X246="","",IF(X246&lt;$C248,0,IF(X246=$C248,X247/$C249*$E249+W249/$C249*$E249,IF(AND(X246&gt;$C248,X246&lt;ROUNDDOWN(($C248+($D248+$C249-1)/12),0)),(X247/2+W249)/($C249-$E249-12*(X246-$C248-1))*12,IF(AND($D249&lt;0,X246=ROUNDDOWN(($C248+($D248+$C249-1)/12),0)),W249+X247,IF(X246=ROUNDDOWN(($C248+($D248+$C249-1)/12),0),(X247+W249)/$C249*($D249+(X246-$C248-1)*12+$E249),IF(X246&gt;ROUNDDOWN(($C248+($D248+$C249)/12),0),0,0)))))))</f>
        <v/>
      </c>
      <c r="Y248" s="128" t="str">
        <f t="shared" ref="Y248" ca="1" si="1724">IF(Y246="","",IF(Y246&lt;$C248,0,IF(Y246=$C248,Y247/$C249*$E249+X249/$C249*$E249,IF(AND(Y246&gt;$C248,Y246&lt;ROUNDDOWN(($C248+($D248+$C249-1)/12),0)),(Y247/2+X249)/($C249-$E249-12*(Y246-$C248-1))*12,IF(AND($D249&lt;0,Y246=ROUNDDOWN(($C248+($D248+$C249-1)/12),0)),X249+Y247,IF(Y246=ROUNDDOWN(($C248+($D248+$C249-1)/12),0),(Y247+X249)/$C249*($D249+(Y246-$C248-1)*12+$E249),IF(Y246&gt;ROUNDDOWN(($C248+($D248+$C249)/12),0),0,0)))))))</f>
        <v/>
      </c>
      <c r="Z248" s="128" t="str">
        <f ca="1">IF(Z246="","",IF(Z246&lt;$C248,0,IF(Z246=$C248,Z247/$C249*$E249+Y249/$C249*$E249,IF(AND(Z246&gt;$C248,Z246&lt;ROUNDDOWN(($C248+($D248+$C249-1)/12),0)),(Z247/2+Y249)/($C249-$E249-12*(Z246-$C248-1))*12,IF(AND($D249&lt;0,Z246=ROUNDDOWN(($C248+($D248+$C249-1)/12),0)),Y249+Z247,IF(Z246=ROUNDDOWN(($C248+($D248+$C249-1)/12),0),(Z247+Y249)/$C249*($D249+(Z246-$C248-1)*12+$E249),IF(Z246&gt;ROUNDDOWN(($C248+($D248+$C249)/12),0),0,0)))))))</f>
        <v/>
      </c>
      <c r="AA248" s="128" t="str">
        <f t="shared" ref="AA248" ca="1" si="1725">IF(AA246="","",IF(AA246&lt;$C248,0,IF(AA246=$C248,AA247/$C249*$E249+Z249/$C249*$E249,IF(AND(AA246&gt;$C248,AA246&lt;ROUNDDOWN(($C248+($D248+$C249-1)/12),0)),(AA247/2+Z249)/($C249-$E249-12*(AA246-$C248-1))*12,IF(AND($D249&lt;0,AA246=ROUNDDOWN(($C248+($D248+$C249-1)/12),0)),Z249+AA247,IF(AA246=ROUNDDOWN(($C248+($D248+$C249-1)/12),0),(AA247+Z249)/$C249*($D249+(AA246-$C248-1)*12+$E249),IF(AA246&gt;ROUNDDOWN(($C248+($D248+$C249)/12),0),0,0)))))))</f>
        <v/>
      </c>
      <c r="AB248" s="128" t="str">
        <f t="shared" ref="AB248" ca="1" si="1726">IF(AB246="","",IF(AB246&lt;$C248,0,IF(AB246=$C248,AB247/$C249*$E249+AA249/$C249*$E249,IF(AND(AB246&gt;$C248,AB246&lt;ROUNDDOWN(($C248+($D248+$C249-1)/12),0)),(AB247/2+AA249)/($C249-$E249-12*(AB246-$C248-1))*12,IF(AND($D249&lt;0,AB246=ROUNDDOWN(($C248+($D248+$C249-1)/12),0)),AA249+AB247,IF(AB246=ROUNDDOWN(($C248+($D248+$C249-1)/12),0),(AB247+AA249)/$C249*($D249+(AB246-$C248-1)*12+$E249),IF(AB246&gt;ROUNDDOWN(($C248+($D248+$C249)/12),0),0,0)))))))</f>
        <v/>
      </c>
      <c r="AC248" s="128" t="str">
        <f t="shared" ref="AC248" ca="1" si="1727">IF(AC246="","",IF(AC246&lt;$C248,0,IF(AC246=$C248,AC247/$C249*$E249+AB249/$C249*$E249,IF(AND(AC246&gt;$C248,AC246&lt;ROUNDDOWN(($C248+($D248+$C249-1)/12),0)),(AC247/2+AB249)/($C249-$E249-12*(AC246-$C248-1))*12,IF(AND($D249&lt;0,AC246=ROUNDDOWN(($C248+($D248+$C249-1)/12),0)),AB249+AC247,IF(AC246=ROUNDDOWN(($C248+($D248+$C249-1)/12),0),(AC247+AB249)/$C249*($D249+(AC246-$C248-1)*12+$E249),IF(AC246&gt;ROUNDDOWN(($C248+($D248+$C249)/12),0),0,0)))))))</f>
        <v/>
      </c>
      <c r="AD248" s="128" t="str">
        <f t="shared" ref="AD248" ca="1" si="1728">IF(AD246="","",IF(AD246&lt;$C248,0,IF(AD246=$C248,AD247/$C249*$E249+AC249/$C249*$E249,IF(AND(AD246&gt;$C248,AD246&lt;ROUNDDOWN(($C248+($D248+$C249-1)/12),0)),(AD247/2+AC249)/($C249-$E249-12*(AD246-$C248-1))*12,IF(AND($D249&lt;0,AD246=ROUNDDOWN(($C248+($D248+$C249-1)/12),0)),AC249+AD247,IF(AD246=ROUNDDOWN(($C248+($D248+$C249-1)/12),0),(AD247+AC249)/$C249*($D249+(AD246-$C248-1)*12+$E249),IF(AD246&gt;ROUNDDOWN(($C248+($D248+$C249)/12),0),0,0)))))))</f>
        <v/>
      </c>
      <c r="AE248" s="128" t="str">
        <f t="shared" ref="AE248" ca="1" si="1729">IF(AE246="","",IF(AE246&lt;$C248,0,IF(AE246=$C248,AE247/$C249*$E249+AD249/$C249*$E249,IF(AND(AE246&gt;$C248,AE246&lt;ROUNDDOWN(($C248+($D248+$C249-1)/12),0)),(AE247/2+AD249)/($C249-$E249-12*(AE246-$C248-1))*12,IF(AND($D249&lt;0,AE246=ROUNDDOWN(($C248+($D248+$C249-1)/12),0)),AD249+AE247,IF(AE246=ROUNDDOWN(($C248+($D248+$C249-1)/12),0),(AE247+AD249)/$C249*($D249+(AE246-$C248-1)*12+$E249),IF(AE246&gt;ROUNDDOWN(($C248+($D248+$C249)/12),0),0,0)))))))</f>
        <v/>
      </c>
      <c r="AF248" s="128" t="str">
        <f t="shared" ref="AF248" ca="1" si="1730">IF(AF246="","",IF(AF246&lt;$C248,0,IF(AF246=$C248,AF247/$C249*$E249+AE249/$C249*$E249,IF(AND(AF246&gt;$C248,AF246&lt;ROUNDDOWN(($C248+($D248+$C249-1)/12),0)),(AF247/2+AE249)/($C249-$E249-12*(AF246-$C248-1))*12,IF(AND($D249&lt;0,AF246=ROUNDDOWN(($C248+($D248+$C249-1)/12),0)),AE249+AF247,IF(AF246=ROUNDDOWN(($C248+($D248+$C249-1)/12),0),(AF247+AE249)/$C249*($D249+(AF246-$C248-1)*12+$E249),IF(AF246&gt;ROUNDDOWN(($C248+($D248+$C249)/12),0),0,0)))))))</f>
        <v/>
      </c>
      <c r="AG248" s="128" t="str">
        <f t="shared" ref="AG248" ca="1" si="1731">IF(AG246="","",IF(AG246&lt;$C248,0,IF(AG246=$C248,AG247/$C249*$E249+AF249/$C249*$E249,IF(AND(AG246&gt;$C248,AG246&lt;ROUNDDOWN(($C248+($D248+$C249-1)/12),0)),(AG247/2+AF249)/($C249-$E249-12*(AG246-$C248-1))*12,IF(AND($D249&lt;0,AG246=ROUNDDOWN(($C248+($D248+$C249-1)/12),0)),AF249+AG247,IF(AG246=ROUNDDOWN(($C248+($D248+$C249-1)/12),0),(AG247+AF249)/$C249*($D249+(AG246-$C248-1)*12+$E249),IF(AG246&gt;ROUNDDOWN(($C248+($D248+$C249)/12),0),0,0)))))))</f>
        <v/>
      </c>
      <c r="AH248" s="128" t="str">
        <f t="shared" ref="AH248" ca="1" si="1732">IF(AH246="","",IF(AH246&lt;$C248,0,IF(AH246=$C248,AH247/$C249*$E249+AG249/$C249*$E249,IF(AND(AH246&gt;$C248,AH246&lt;ROUNDDOWN(($C248+($D248+$C249-1)/12),0)),(AH247/2+AG249)/($C249-$E249-12*(AH246-$C248-1))*12,IF(AND($D249&lt;0,AH246=ROUNDDOWN(($C248+($D248+$C249-1)/12),0)),AG249+AH247,IF(AH246=ROUNDDOWN(($C248+($D248+$C249-1)/12),0),(AH247+AG249)/$C249*($D249+(AH246-$C248-1)*12+$E249),IF(AH246&gt;ROUNDDOWN(($C248+($D248+$C249)/12),0),0,0)))))))</f>
        <v/>
      </c>
      <c r="AI248" s="128" t="str">
        <f t="shared" ref="AI248" ca="1" si="1733">IF(AI246="","",IF(AI246&lt;$C248,0,IF(AI246=$C248,AI247/$C249*$E249+AH249/$C249*$E249,IF(AND(AI246&gt;$C248,AI246&lt;ROUNDDOWN(($C248+($D248+$C249-1)/12),0)),(AI247/2+AH249)/($C249-$E249-12*(AI246-$C248-1))*12,IF(AND($D249&lt;0,AI246=ROUNDDOWN(($C248+($D248+$C249-1)/12),0)),AH249+AI247,IF(AI246=ROUNDDOWN(($C248+($D248+$C249-1)/12),0),(AI247+AH249)/$C249*($D249+(AI246-$C248-1)*12+$E249),IF(AI246&gt;ROUNDDOWN(($C248+($D248+$C249)/12),0),0,0)))))))</f>
        <v/>
      </c>
      <c r="AJ248" s="128" t="str">
        <f t="shared" ref="AJ248" ca="1" si="1734">IF(AJ246="","",IF(AJ246&lt;$C248,0,IF(AJ246=$C248,AJ247/$C249*$E249+AI249/$C249*$E249,IF(AND(AJ246&gt;$C248,AJ246&lt;ROUNDDOWN(($C248+($D248+$C249-1)/12),0)),(AJ247/2+AI249)/($C249-$E249-12*(AJ246-$C248-1))*12,IF(AND($D249&lt;0,AJ246=ROUNDDOWN(($C248+($D248+$C249-1)/12),0)),AI249+AJ247,IF(AJ246=ROUNDDOWN(($C248+($D248+$C249-1)/12),0),(AJ247+AI249)/$C249*($D249+(AJ246-$C248-1)*12+$E249),IF(AJ246&gt;ROUNDDOWN(($C248+($D248+$C249)/12),0),0,0)))))))</f>
        <v/>
      </c>
      <c r="AK248" s="128" t="str">
        <f t="shared" ref="AK248" ca="1" si="1735">IF(AK246="","",IF(AK246&lt;$C248,0,IF(AK246=$C248,AK247/$C249*$E249+AJ249/$C249*$E249,IF(AND(AK246&gt;$C248,AK246&lt;ROUNDDOWN(($C248+($D248+$C249-1)/12),0)),(AK247/2+AJ249)/($C249-$E249-12*(AK246-$C248-1))*12,IF(AND($D249&lt;0,AK246=ROUNDDOWN(($C248+($D248+$C249-1)/12),0)),AJ249+AK247,IF(AK246=ROUNDDOWN(($C248+($D248+$C249-1)/12),0),(AK247+AJ249)/$C249*($D249+(AK246-$C248-1)*12+$E249),IF(AK246&gt;ROUNDDOWN(($C248+($D248+$C249)/12),0),0,0)))))))</f>
        <v/>
      </c>
      <c r="AL248" s="128" t="str">
        <f t="shared" ref="AL248" ca="1" si="1736">IF(AL246="","",IF(AL246&lt;$C248,0,IF(AL246=$C248,AL247/$C249*$E249+AK249/$C249*$E249,IF(AND(AL246&gt;$C248,AL246&lt;ROUNDDOWN(($C248+($D248+$C249-1)/12),0)),(AL247/2+AK249)/($C249-$E249-12*(AL246-$C248-1))*12,IF(AND($D249&lt;0,AL246=ROUNDDOWN(($C248+($D248+$C249-1)/12),0)),AK249+AL247,IF(AL246=ROUNDDOWN(($C248+($D248+$C249-1)/12),0),(AL247+AK249)/$C249*($D249+(AL246-$C248-1)*12+$E249),IF(AL246&gt;ROUNDDOWN(($C248+($D248+$C249)/12),0),0,0)))))))</f>
        <v/>
      </c>
      <c r="AM248" s="128" t="str">
        <f t="shared" ref="AM248" ca="1" si="1737">IF(AM246="","",IF(AM246&lt;$C248,0,IF(AM246=$C248,AM247/$C249*$E249+AL249/$C249*$E249,IF(AND(AM246&gt;$C248,AM246&lt;ROUNDDOWN(($C248+($D248+$C249-1)/12),0)),(AM247/2+AL249)/($C249-$E249-12*(AM246-$C248-1))*12,IF(AND($D249&lt;0,AM246=ROUNDDOWN(($C248+($D248+$C249-1)/12),0)),AL249+AM247,IF(AM246=ROUNDDOWN(($C248+($D248+$C249-1)/12),0),(AM247+AL249)/$C249*($D249+(AM246-$C248-1)*12+$E249),IF(AM246&gt;ROUNDDOWN(($C248+($D248+$C249)/12),0),0,0)))))))</f>
        <v/>
      </c>
      <c r="AN248" s="128" t="str">
        <f t="shared" ref="AN248" ca="1" si="1738">IF(AN246="","",IF(AN246&lt;$C248,0,IF(AN246=$C248,AN247/$C249*$E249+AM249/$C249*$E249,IF(AND(AN246&gt;$C248,AN246&lt;ROUNDDOWN(($C248+($D248+$C249-1)/12),0)),(AN247/2+AM249)/($C249-$E249-12*(AN246-$C248-1))*12,IF(AND($D249&lt;0,AN246=ROUNDDOWN(($C248+($D248+$C249-1)/12),0)),AM249+AN247,IF(AN246=ROUNDDOWN(($C248+($D248+$C249-1)/12),0),(AN247+AM249)/$C249*($D249+(AN246-$C248-1)*12+$E249),IF(AN246&gt;ROUNDDOWN(($C248+($D248+$C249)/12),0),0,0)))))))</f>
        <v/>
      </c>
      <c r="AO248" s="128" t="str">
        <f t="shared" ref="AO248" ca="1" si="1739">IF(AO246="","",IF(AO246&lt;$C248,0,IF(AO246=$C248,AO247/$C249*$E249+AN249/$C249*$E249,IF(AND(AO246&gt;$C248,AO246&lt;ROUNDDOWN(($C248+($D248+$C249-1)/12),0)),(AO247/2+AN249)/($C249-$E249-12*(AO246-$C248-1))*12,IF(AND($D249&lt;0,AO246=ROUNDDOWN(($C248+($D248+$C249-1)/12),0)),AN249+AO247,IF(AO246=ROUNDDOWN(($C248+($D248+$C249-1)/12),0),(AO247+AN249)/$C249*($D249+(AO246-$C248-1)*12+$E249),IF(AO246&gt;ROUNDDOWN(($C248+($D248+$C249)/12),0),0,0)))))))</f>
        <v/>
      </c>
      <c r="AP248" s="128" t="str">
        <f t="shared" ref="AP248" ca="1" si="1740">IF(AP246="","",IF(AP246&lt;$C248,0,IF(AP246=$C248,AP247/$C249*$E249+AO249/$C249*$E249,IF(AND(AP246&gt;$C248,AP246&lt;ROUNDDOWN(($C248+($D248+$C249-1)/12),0)),(AP247/2+AO249)/($C249-$E249-12*(AP246-$C248-1))*12,IF(AND($D249&lt;0,AP246=ROUNDDOWN(($C248+($D248+$C249-1)/12),0)),AO249+AP247,IF(AP246=ROUNDDOWN(($C248+($D248+$C249-1)/12),0),(AP247+AO249)/$C249*($D249+(AP246-$C248-1)*12+$E249),IF(AP246&gt;ROUNDDOWN(($C248+($D248+$C249)/12),0),0,0)))))))</f>
        <v/>
      </c>
      <c r="AQ248" s="128" t="str">
        <f t="shared" ref="AQ248" ca="1" si="1741">IF(AQ246="","",IF(AQ246&lt;$C248,0,IF(AQ246=$C248,AQ247/$C249*$E249+AP249/$C249*$E249,IF(AND(AQ246&gt;$C248,AQ246&lt;ROUNDDOWN(($C248+($D248+$C249-1)/12),0)),(AQ247/2+AP249)/($C249-$E249-12*(AQ246-$C248-1))*12,IF(AND($D249&lt;0,AQ246=ROUNDDOWN(($C248+($D248+$C249-1)/12),0)),AP249+AQ247,IF(AQ246=ROUNDDOWN(($C248+($D248+$C249-1)/12),0),(AQ247+AP249)/$C249*($D249+(AQ246-$C248-1)*12+$E249),IF(AQ246&gt;ROUNDDOWN(($C248+($D248+$C249)/12),0),0,0)))))))</f>
        <v/>
      </c>
      <c r="AR248" s="128" t="str">
        <f t="shared" ref="AR248" ca="1" si="1742">IF(AR246="","",IF(AR246&lt;$C248,0,IF(AR246=$C248,AR247/$C249*$E249+AQ249/$C249*$E249,IF(AND(AR246&gt;$C248,AR246&lt;ROUNDDOWN(($C248+($D248+$C249-1)/12),0)),(AR247/2+AQ249)/($C249-$E249-12*(AR246-$C248-1))*12,IF(AND($D249&lt;0,AR246=ROUNDDOWN(($C248+($D248+$C249-1)/12),0)),AQ249+AR247,IF(AR246=ROUNDDOWN(($C248+($D248+$C249-1)/12),0),(AR247+AQ249)/$C249*($D249+(AR246-$C248-1)*12+$E249),IF(AR246&gt;ROUNDDOWN(($C248+($D248+$C249)/12),0),0,0)))))))</f>
        <v/>
      </c>
      <c r="AS248" s="128" t="str">
        <f t="shared" ref="AS248" ca="1" si="1743">IF(AS246="","",IF(AS246&lt;$C248,0,IF(AS246=$C248,AS247/$C249*$E249+AR249/$C249*$E249,IF(AND(AS246&gt;$C248,AS246&lt;ROUNDDOWN(($C248+($D248+$C249-1)/12),0)),(AS247/2+AR249)/($C249-$E249-12*(AS246-$C248-1))*12,IF(AND($D249&lt;0,AS246=ROUNDDOWN(($C248+($D248+$C249-1)/12),0)),AR249+AS247,IF(AS246=ROUNDDOWN(($C248+($D248+$C249-1)/12),0),(AS247+AR249)/$C249*($D249+(AS246-$C248-1)*12+$E249),IF(AS246&gt;ROUNDDOWN(($C248+($D248+$C249)/12),0),0,0)))))))</f>
        <v/>
      </c>
      <c r="AT248" s="128" t="str">
        <f t="shared" ref="AT248" ca="1" si="1744">IF(AT246="","",IF(AT246&lt;$C248,0,IF(AT246=$C248,AT247/$C249*$E249+AS249/$C249*$E249,IF(AND(AT246&gt;$C248,AT246&lt;ROUNDDOWN(($C248+($D248+$C249-1)/12),0)),(AT247/2+AS249)/($C249-$E249-12*(AT246-$C248-1))*12,IF(AND($D249&lt;0,AT246=ROUNDDOWN(($C248+($D248+$C249-1)/12),0)),AS249+AT247,IF(AT246=ROUNDDOWN(($C248+($D248+$C249-1)/12),0),(AT247+AS249)/$C249*($D249+(AT246-$C248-1)*12+$E249),IF(AT246&gt;ROUNDDOWN(($C248+($D248+$C249)/12),0),0,0)))))))</f>
        <v/>
      </c>
      <c r="AU248" s="128" t="str">
        <f t="shared" ref="AU248" ca="1" si="1745">IF(AU246="","",IF(AU246&lt;$C248,0,IF(AU246=$C248,AU247/$C249*$E249+AT249/$C249*$E249,IF(AND(AU246&gt;$C248,AU246&lt;ROUNDDOWN(($C248+($D248+$C249-1)/12),0)),(AU247/2+AT249)/($C249-$E249-12*(AU246-$C248-1))*12,IF(AND($D249&lt;0,AU246=ROUNDDOWN(($C248+($D248+$C249-1)/12),0)),AT249+AU247,IF(AU246=ROUNDDOWN(($C248+($D248+$C249-1)/12),0),(AU247+AT249)/$C249*($D249+(AU246-$C248-1)*12+$E249),IF(AU246&gt;ROUNDDOWN(($C248+($D248+$C249)/12),0),0,0)))))))</f>
        <v/>
      </c>
      <c r="AV248" s="128" t="str">
        <f t="shared" ref="AV248" ca="1" si="1746">IF(AV246="","",IF(AV246&lt;$C248,0,IF(AV246=$C248,AV247/$C249*$E249+AU249/$C249*$E249,IF(AND(AV246&gt;$C248,AV246&lt;ROUNDDOWN(($C248+($D248+$C249-1)/12),0)),(AV247/2+AU249)/($C249-$E249-12*(AV246-$C248-1))*12,IF(AND($D249&lt;0,AV246=ROUNDDOWN(($C248+($D248+$C249-1)/12),0)),AU249+AV247,IF(AV246=ROUNDDOWN(($C248+($D248+$C249-1)/12),0),(AV247+AU249)/$C249*($D249+(AV246-$C248-1)*12+$E249),IF(AV246&gt;ROUNDDOWN(($C248+($D248+$C249)/12),0),0,0)))))))</f>
        <v/>
      </c>
      <c r="AW248" s="128" t="str">
        <f t="shared" ref="AW248" ca="1" si="1747">IF(AW246="","",IF(AW246&lt;$C248,0,IF(AW246=$C248,AW247/$C249*$E249+AV249/$C249*$E249,IF(AND(AW246&gt;$C248,AW246&lt;ROUNDDOWN(($C248+($D248+$C249-1)/12),0)),(AW247/2+AV249)/($C249-$E249-12*(AW246-$C248-1))*12,IF(AND($D249&lt;0,AW246=ROUNDDOWN(($C248+($D248+$C249-1)/12),0)),AV249+AW247,IF(AW246=ROUNDDOWN(($C248+($D248+$C249-1)/12),0),(AW247+AV249)/$C249*($D249+(AW246-$C248-1)*12+$E249),IF(AW246&gt;ROUNDDOWN(($C248+($D248+$C249)/12),0),0,0)))))))</f>
        <v/>
      </c>
      <c r="AX248" s="104"/>
      <c r="AY248" s="104"/>
      <c r="AZ248" s="101"/>
    </row>
    <row r="249" spans="3:52" ht="12.75" hidden="1" customHeight="1" outlineLevel="1" x14ac:dyDescent="0.25">
      <c r="C249" s="142">
        <f>ROUNDUP((E248-ROUNDDOWN(E248,0))*12,0)+ROUNDDOWN(E248,0)*12</f>
        <v>0</v>
      </c>
      <c r="D249" s="142">
        <f>C249-E249-ROUNDDOWN(E248,0)*12</f>
        <v>-12</v>
      </c>
      <c r="E249" s="142">
        <f>13-MONTH(C247)</f>
        <v>12</v>
      </c>
      <c r="N249" s="99"/>
      <c r="O249" s="104"/>
      <c r="P249" s="104"/>
      <c r="Q249" s="129" t="str">
        <f>INDEX(g_lang_val,MATCH("tb_2_4_3",g_lang_key,0))</f>
        <v>FF4-gæld, ultimo året</v>
      </c>
      <c r="R249" s="130"/>
      <c r="S249" s="133"/>
      <c r="T249" s="128">
        <f t="shared" ref="T249" ca="1" si="1748">IF(T246="","",S249+T247-T248)</f>
        <v>0</v>
      </c>
      <c r="U249" s="128">
        <f t="shared" ref="U249" ca="1" si="1749">IF(U246="","",T249+U247-U248)</f>
        <v>0</v>
      </c>
      <c r="V249" s="128">
        <f t="shared" ref="V249" ca="1" si="1750">IF(V246="","",U249+V247-V248)</f>
        <v>0</v>
      </c>
      <c r="W249" s="128">
        <f t="shared" ref="W249" ca="1" si="1751">IF(W246="","",V249+W247-W248)</f>
        <v>0</v>
      </c>
      <c r="X249" s="128" t="str">
        <f t="shared" ref="X249" ca="1" si="1752">IF(X246="","",W249+X247-X248)</f>
        <v/>
      </c>
      <c r="Y249" s="128" t="str">
        <f t="shared" ref="Y249" ca="1" si="1753">IF(Y246="","",X249+Y247-Y248)</f>
        <v/>
      </c>
      <c r="Z249" s="128" t="str">
        <f t="shared" ref="Z249" ca="1" si="1754">IF(Z246="","",Y249+Z247-Z248)</f>
        <v/>
      </c>
      <c r="AA249" s="128" t="str">
        <f t="shared" ref="AA249" ca="1" si="1755">IF(AA246="","",Z249+AA247-AA248)</f>
        <v/>
      </c>
      <c r="AB249" s="128" t="str">
        <f t="shared" ref="AB249" ca="1" si="1756">IF(AB246="","",AA249+AB247-AB248)</f>
        <v/>
      </c>
      <c r="AC249" s="128" t="str">
        <f t="shared" ref="AC249" ca="1" si="1757">IF(AC246="","",AB249+AC247-AC248)</f>
        <v/>
      </c>
      <c r="AD249" s="128" t="str">
        <f t="shared" ref="AD249" ca="1" si="1758">IF(AD246="","",AC249+AD247-AD248)</f>
        <v/>
      </c>
      <c r="AE249" s="128" t="str">
        <f t="shared" ref="AE249" ca="1" si="1759">IF(AE246="","",AD249+AE247-AE248)</f>
        <v/>
      </c>
      <c r="AF249" s="128" t="str">
        <f t="shared" ref="AF249" ca="1" si="1760">IF(AF246="","",AE249+AF247-AF248)</f>
        <v/>
      </c>
      <c r="AG249" s="128" t="str">
        <f t="shared" ref="AG249" ca="1" si="1761">IF(AG246="","",AF249+AG247-AG248)</f>
        <v/>
      </c>
      <c r="AH249" s="128" t="str">
        <f t="shared" ref="AH249" ca="1" si="1762">IF(AH246="","",AG249+AH247-AH248)</f>
        <v/>
      </c>
      <c r="AI249" s="128" t="str">
        <f t="shared" ref="AI249" ca="1" si="1763">IF(AI246="","",AH249+AI247-AI248)</f>
        <v/>
      </c>
      <c r="AJ249" s="128" t="str">
        <f t="shared" ref="AJ249" ca="1" si="1764">IF(AJ246="","",AI249+AJ247-AJ248)</f>
        <v/>
      </c>
      <c r="AK249" s="128" t="str">
        <f t="shared" ref="AK249" ca="1" si="1765">IF(AK246="","",AJ249+AK247-AK248)</f>
        <v/>
      </c>
      <c r="AL249" s="128" t="str">
        <f t="shared" ref="AL249" ca="1" si="1766">IF(AL246="","",AK249+AL247-AL248)</f>
        <v/>
      </c>
      <c r="AM249" s="128" t="str">
        <f t="shared" ref="AM249" ca="1" si="1767">IF(AM246="","",AL249+AM247-AM248)</f>
        <v/>
      </c>
      <c r="AN249" s="128" t="str">
        <f t="shared" ref="AN249" ca="1" si="1768">IF(AN246="","",AM249+AN247-AN248)</f>
        <v/>
      </c>
      <c r="AO249" s="128" t="str">
        <f t="shared" ref="AO249" ca="1" si="1769">IF(AO246="","",AN249+AO247-AO248)</f>
        <v/>
      </c>
      <c r="AP249" s="128" t="str">
        <f t="shared" ref="AP249" ca="1" si="1770">IF(AP246="","",AO249+AP247-AP248)</f>
        <v/>
      </c>
      <c r="AQ249" s="128" t="str">
        <f t="shared" ref="AQ249" ca="1" si="1771">IF(AQ246="","",AP249+AQ247-AQ248)</f>
        <v/>
      </c>
      <c r="AR249" s="128" t="str">
        <f t="shared" ref="AR249" ca="1" si="1772">IF(AR246="","",AQ249+AR247-AR248)</f>
        <v/>
      </c>
      <c r="AS249" s="128" t="str">
        <f t="shared" ref="AS249" ca="1" si="1773">IF(AS246="","",AR249+AS247-AS248)</f>
        <v/>
      </c>
      <c r="AT249" s="128" t="str">
        <f t="shared" ref="AT249" ca="1" si="1774">IF(AT246="","",AS249+AT247-AT248)</f>
        <v/>
      </c>
      <c r="AU249" s="128" t="str">
        <f t="shared" ref="AU249" ca="1" si="1775">IF(AU246="","",AT249+AU247-AU248)</f>
        <v/>
      </c>
      <c r="AV249" s="128" t="str">
        <f t="shared" ref="AV249" ca="1" si="1776">IF(AV246="","",AU249+AV247-AV248)</f>
        <v/>
      </c>
      <c r="AW249" s="128" t="str">
        <f t="shared" ref="AW249" ca="1" si="1777">IF(AW246="","",AV249+AW247-AW248)</f>
        <v/>
      </c>
      <c r="AX249" s="104"/>
      <c r="AY249" s="104"/>
      <c r="AZ249" s="101"/>
    </row>
    <row r="250" spans="3:52" ht="12.75" hidden="1" customHeight="1" outlineLevel="1" x14ac:dyDescent="0.25">
      <c r="N250" s="99"/>
      <c r="O250" s="104"/>
      <c r="P250" s="104"/>
      <c r="Q250" s="218" t="str">
        <f>INDEX(g_lang_val,MATCH("tb_2_4_4",g_lang_key,0))</f>
        <v>Renter (FF4)</v>
      </c>
      <c r="R250" s="219"/>
      <c r="S250" s="220">
        <f ca="1">SUM(T250:BG250)</f>
        <v>0</v>
      </c>
      <c r="T250" s="221">
        <f t="shared" ref="T250" ca="1" si="1778">IF(T246="","",g_interest_FF4*(S249+(T247/2)-(T248/2)))</f>
        <v>0</v>
      </c>
      <c r="U250" s="221">
        <f t="shared" ref="U250" ca="1" si="1779">IF(U246="","",g_interest_FF4*(T249+(U247/2)-(U248/2)))</f>
        <v>0</v>
      </c>
      <c r="V250" s="221">
        <f t="shared" ref="V250" ca="1" si="1780">IF(V246="","",g_interest_FF4*(U249+(V247/2)-(V248/2)))</f>
        <v>0</v>
      </c>
      <c r="W250" s="221">
        <f t="shared" ref="W250" ca="1" si="1781">IF(W246="","",g_interest_FF4*(V249+(W247/2)-(W248/2)))</f>
        <v>0</v>
      </c>
      <c r="X250" s="221" t="str">
        <f t="shared" ref="X250" ca="1" si="1782">IF(X246="","",g_interest_FF4*(W249+(X247/2)-(X248/2)))</f>
        <v/>
      </c>
      <c r="Y250" s="221" t="str">
        <f t="shared" ref="Y250" ca="1" si="1783">IF(Y246="","",g_interest_FF4*(X249+(Y247/2)-(Y248/2)))</f>
        <v/>
      </c>
      <c r="Z250" s="221" t="str">
        <f t="shared" ref="Z250" ca="1" si="1784">IF(Z246="","",g_interest_FF4*(Y249+(Z247/2)-(Z248/2)))</f>
        <v/>
      </c>
      <c r="AA250" s="221" t="str">
        <f t="shared" ref="AA250" ca="1" si="1785">IF(AA246="","",g_interest_FF4*(Z249+(AA247/2)-(AA248/2)))</f>
        <v/>
      </c>
      <c r="AB250" s="221" t="str">
        <f t="shared" ref="AB250" ca="1" si="1786">IF(AB246="","",g_interest_FF4*(AA249+(AB247/2)-(AB248/2)))</f>
        <v/>
      </c>
      <c r="AC250" s="221" t="str">
        <f t="shared" ref="AC250" ca="1" si="1787">IF(AC246="","",g_interest_FF4*(AB249+(AC247/2)-(AC248/2)))</f>
        <v/>
      </c>
      <c r="AD250" s="221" t="str">
        <f t="shared" ref="AD250" ca="1" si="1788">IF(AD246="","",g_interest_FF4*(AC249+(AD247/2)-(AD248/2)))</f>
        <v/>
      </c>
      <c r="AE250" s="221" t="str">
        <f t="shared" ref="AE250" ca="1" si="1789">IF(AE246="","",g_interest_FF4*(AD249+(AE247/2)-(AE248/2)))</f>
        <v/>
      </c>
      <c r="AF250" s="221" t="str">
        <f t="shared" ref="AF250" ca="1" si="1790">IF(AF246="","",g_interest_FF4*(AE249+(AF247/2)-(AF248/2)))</f>
        <v/>
      </c>
      <c r="AG250" s="225" t="str">
        <f t="shared" ref="AG250" ca="1" si="1791">IF(AG246="","",g_interest_FF4*(AF249+(AG247/2)-(AG248/2)))</f>
        <v/>
      </c>
      <c r="AH250" s="225" t="str">
        <f t="shared" ref="AH250" ca="1" si="1792">IF(AH246="","",g_interest_FF4*(AG249+(AH247/2)-(AH248/2)))</f>
        <v/>
      </c>
      <c r="AI250" s="225" t="str">
        <f t="shared" ref="AI250" ca="1" si="1793">IF(AI246="","",g_interest_FF4*(AH249+(AI247/2)-(AI248/2)))</f>
        <v/>
      </c>
      <c r="AJ250" s="225" t="str">
        <f t="shared" ref="AJ250" ca="1" si="1794">IF(AJ246="","",g_interest_FF4*(AI249+(AJ247/2)-(AJ248/2)))</f>
        <v/>
      </c>
      <c r="AK250" s="225" t="str">
        <f t="shared" ref="AK250" ca="1" si="1795">IF(AK246="","",g_interest_FF4*(AJ249+(AK247/2)-(AK248/2)))</f>
        <v/>
      </c>
      <c r="AL250" s="225" t="str">
        <f t="shared" ref="AL250" ca="1" si="1796">IF(AL246="","",g_interest_FF4*(AK249+(AL247/2)-(AL248/2)))</f>
        <v/>
      </c>
      <c r="AM250" s="225" t="str">
        <f t="shared" ref="AM250" ca="1" si="1797">IF(AM246="","",g_interest_FF4*(AL249+(AM247/2)-(AM248/2)))</f>
        <v/>
      </c>
      <c r="AN250" s="225" t="str">
        <f t="shared" ref="AN250" ca="1" si="1798">IF(AN246="","",g_interest_FF4*(AM249+(AN247/2)-(AN248/2)))</f>
        <v/>
      </c>
      <c r="AO250" s="225" t="str">
        <f t="shared" ref="AO250" ca="1" si="1799">IF(AO246="","",g_interest_FF4*(AN249+(AO247/2)-(AO248/2)))</f>
        <v/>
      </c>
      <c r="AP250" s="225" t="str">
        <f t="shared" ref="AP250" ca="1" si="1800">IF(AP246="","",g_interest_FF4*(AO249+(AP247/2)-(AP248/2)))</f>
        <v/>
      </c>
      <c r="AQ250" s="225" t="str">
        <f t="shared" ref="AQ250" ca="1" si="1801">IF(AQ246="","",g_interest_FF4*(AP249+(AQ247/2)-(AQ248/2)))</f>
        <v/>
      </c>
      <c r="AR250" s="225" t="str">
        <f t="shared" ref="AR250" ca="1" si="1802">IF(AR246="","",g_interest_FF4*(AQ249+(AR247/2)-(AR248/2)))</f>
        <v/>
      </c>
      <c r="AS250" s="225" t="str">
        <f t="shared" ref="AS250" ca="1" si="1803">IF(AS246="","",g_interest_FF4*(AR249+(AS247/2)-(AS248/2)))</f>
        <v/>
      </c>
      <c r="AT250" s="225" t="str">
        <f t="shared" ref="AT250" ca="1" si="1804">IF(AT246="","",g_interest_FF4*(AS249+(AT247/2)-(AT248/2)))</f>
        <v/>
      </c>
      <c r="AU250" s="225" t="str">
        <f t="shared" ref="AU250" ca="1" si="1805">IF(AU246="","",g_interest_FF4*(AT249+(AU247/2)-(AU248/2)))</f>
        <v/>
      </c>
      <c r="AV250" s="225" t="str">
        <f t="shared" ref="AV250" ca="1" si="1806">IF(AV246="","",g_interest_FF4*(AU249+(AV247/2)-(AV248/2)))</f>
        <v/>
      </c>
      <c r="AW250" s="225" t="str">
        <f t="shared" ref="AW250" ca="1" si="1807">IF(AW246="","",g_interest_FF4*(AV249+(AW247/2)-(AW248/2)))</f>
        <v/>
      </c>
      <c r="AX250" s="104"/>
      <c r="AY250" s="104"/>
      <c r="AZ250" s="101"/>
    </row>
    <row r="251" spans="3:52" ht="12.75" customHeight="1" collapsed="1" x14ac:dyDescent="0.3">
      <c r="N251" s="99"/>
      <c r="O251" s="116"/>
      <c r="P251" s="116"/>
      <c r="Q251" s="116"/>
      <c r="R251" s="116"/>
      <c r="S251" s="116"/>
      <c r="T251" s="116"/>
      <c r="U251" s="116"/>
      <c r="V251" s="116"/>
      <c r="W251" s="116"/>
      <c r="X251" s="226"/>
      <c r="Y251" s="226"/>
      <c r="Z251" s="226"/>
      <c r="AA251" s="226"/>
      <c r="AB251" s="226"/>
      <c r="AC251" s="226"/>
      <c r="AD251" s="226"/>
      <c r="AE251" s="226"/>
      <c r="AF251" s="226"/>
      <c r="AG251" s="226"/>
      <c r="AH251" s="226"/>
      <c r="AI251" s="226"/>
      <c r="AJ251" s="226"/>
      <c r="AK251" s="226"/>
      <c r="AL251" s="226"/>
      <c r="AM251" s="226"/>
      <c r="AN251" s="226"/>
      <c r="AO251" s="226"/>
      <c r="AP251" s="226"/>
      <c r="AQ251" s="226"/>
      <c r="AR251" s="226"/>
      <c r="AS251" s="226"/>
      <c r="AT251" s="226"/>
      <c r="AU251" s="226"/>
      <c r="AV251" s="226"/>
      <c r="AW251" s="226"/>
      <c r="AX251" s="116"/>
      <c r="AY251" s="116"/>
      <c r="AZ251" s="101"/>
    </row>
    <row r="252" spans="3:52" ht="25.5" customHeight="1" x14ac:dyDescent="0.3">
      <c r="N252" s="118"/>
      <c r="O252" s="119"/>
      <c r="P252" s="119"/>
      <c r="Q252" s="119"/>
      <c r="R252" s="119"/>
      <c r="S252" s="119"/>
      <c r="T252" s="119"/>
      <c r="U252" s="119"/>
      <c r="V252" s="119"/>
      <c r="W252" s="119"/>
      <c r="X252" s="119"/>
      <c r="Y252" s="119"/>
      <c r="Z252" s="119"/>
      <c r="AA252" s="119"/>
      <c r="AB252" s="119"/>
      <c r="AC252" s="119"/>
      <c r="AD252" s="119"/>
      <c r="AE252" s="119"/>
      <c r="AF252" s="119"/>
      <c r="AG252" s="119"/>
      <c r="AH252" s="119"/>
      <c r="AI252" s="119"/>
      <c r="AJ252" s="119"/>
      <c r="AK252" s="119"/>
      <c r="AL252" s="119"/>
      <c r="AM252" s="119"/>
      <c r="AN252" s="119"/>
      <c r="AO252" s="119"/>
      <c r="AP252" s="119"/>
      <c r="AQ252" s="119"/>
      <c r="AR252" s="119"/>
      <c r="AS252" s="119"/>
      <c r="AT252" s="119"/>
      <c r="AU252" s="119"/>
      <c r="AV252" s="119"/>
      <c r="AW252" s="119"/>
      <c r="AX252" s="119"/>
      <c r="AY252" s="119"/>
      <c r="AZ252" s="120"/>
    </row>
  </sheetData>
  <customSheetViews>
    <customSheetView guid="{CC114306-4468-4F70-9DB6-D54D814D228F}" fitToPage="1" printArea="1" hiddenRows="1" hiddenColumns="1" topLeftCell="P25">
      <selection activeCell="P13" sqref="P13"/>
      <pageMargins left="0.7" right="0.7" top="0.75" bottom="0.75" header="0.3" footer="0.3"/>
      <pageSetup paperSize="9" fitToHeight="0" orientation="landscape" r:id="rId1"/>
    </customSheetView>
  </customSheetViews>
  <mergeCells count="3">
    <mergeCell ref="N46:AZ46"/>
    <mergeCell ref="N118:AZ118"/>
    <mergeCell ref="N146:AZ146"/>
  </mergeCells>
  <conditionalFormatting sqref="T38:AW43">
    <cfRule type="expression" dxfId="30" priority="62">
      <formula>T$37=""</formula>
    </cfRule>
  </conditionalFormatting>
  <conditionalFormatting sqref="T50:AW50">
    <cfRule type="expression" dxfId="29" priority="101">
      <formula>T$50=""</formula>
    </cfRule>
  </conditionalFormatting>
  <conditionalFormatting sqref="T51:AW114">
    <cfRule type="expression" dxfId="28" priority="55">
      <formula>T$50=""</formula>
    </cfRule>
  </conditionalFormatting>
  <conditionalFormatting sqref="T122:AW122">
    <cfRule type="expression" dxfId="27" priority="100">
      <formula>T$37=""</formula>
    </cfRule>
  </conditionalFormatting>
  <conditionalFormatting sqref="T123:AW143">
    <cfRule type="expression" dxfId="26" priority="72">
      <formula>T$37=""</formula>
    </cfRule>
  </conditionalFormatting>
  <conditionalFormatting sqref="T150:AW150">
    <cfRule type="expression" dxfId="25" priority="99">
      <formula>T$37=""</formula>
    </cfRule>
  </conditionalFormatting>
  <conditionalFormatting sqref="T152:AW155">
    <cfRule type="expression" dxfId="24" priority="85">
      <formula>T$37=""</formula>
    </cfRule>
  </conditionalFormatting>
  <conditionalFormatting sqref="T157:AW160">
    <cfRule type="expression" dxfId="23" priority="22">
      <formula>T$37=""</formula>
    </cfRule>
  </conditionalFormatting>
  <conditionalFormatting sqref="T162:AW165">
    <cfRule type="expression" dxfId="22" priority="21">
      <formula>T$37=""</formula>
    </cfRule>
  </conditionalFormatting>
  <conditionalFormatting sqref="T167:AW170">
    <cfRule type="expression" dxfId="21" priority="20">
      <formula>T$37=""</formula>
    </cfRule>
  </conditionalFormatting>
  <conditionalFormatting sqref="T172:AW175">
    <cfRule type="expression" dxfId="20" priority="19">
      <formula>T$37=""</formula>
    </cfRule>
  </conditionalFormatting>
  <conditionalFormatting sqref="T177:AW180">
    <cfRule type="expression" dxfId="19" priority="1">
      <formula>T$37=""</formula>
    </cfRule>
  </conditionalFormatting>
  <conditionalFormatting sqref="T182:AW185">
    <cfRule type="expression" dxfId="18" priority="17">
      <formula>T$37=""</formula>
    </cfRule>
  </conditionalFormatting>
  <conditionalFormatting sqref="T187:AW190">
    <cfRule type="expression" dxfId="17" priority="16">
      <formula>T$37=""</formula>
    </cfRule>
  </conditionalFormatting>
  <conditionalFormatting sqref="T192:AW195">
    <cfRule type="expression" dxfId="16" priority="15">
      <formula>T$37=""</formula>
    </cfRule>
  </conditionalFormatting>
  <conditionalFormatting sqref="T197:AW200">
    <cfRule type="expression" dxfId="15" priority="14">
      <formula>T$37=""</formula>
    </cfRule>
  </conditionalFormatting>
  <conditionalFormatting sqref="T202:AW205">
    <cfRule type="expression" dxfId="14" priority="13">
      <formula>T$37=""</formula>
    </cfRule>
  </conditionalFormatting>
  <conditionalFormatting sqref="T207:AW210">
    <cfRule type="expression" dxfId="13" priority="12">
      <formula>T$37=""</formula>
    </cfRule>
  </conditionalFormatting>
  <conditionalFormatting sqref="T212:AW215">
    <cfRule type="expression" dxfId="12" priority="11">
      <formula>T$37=""</formula>
    </cfRule>
  </conditionalFormatting>
  <conditionalFormatting sqref="T217:AW220">
    <cfRule type="expression" dxfId="11" priority="10">
      <formula>T$37=""</formula>
    </cfRule>
  </conditionalFormatting>
  <conditionalFormatting sqref="T222:AW225">
    <cfRule type="expression" dxfId="10" priority="9">
      <formula>T$37=""</formula>
    </cfRule>
  </conditionalFormatting>
  <conditionalFormatting sqref="T227:AW230">
    <cfRule type="expression" dxfId="9" priority="8">
      <formula>T$37=""</formula>
    </cfRule>
  </conditionalFormatting>
  <conditionalFormatting sqref="T232:AW235">
    <cfRule type="expression" dxfId="8" priority="7">
      <formula>T$37=""</formula>
    </cfRule>
  </conditionalFormatting>
  <conditionalFormatting sqref="T237:AW240">
    <cfRule type="expression" dxfId="7" priority="6">
      <formula>T$37=""</formula>
    </cfRule>
  </conditionalFormatting>
  <conditionalFormatting sqref="T242:AW245">
    <cfRule type="expression" dxfId="6" priority="5">
      <formula>T$37=""</formula>
    </cfRule>
  </conditionalFormatting>
  <conditionalFormatting sqref="T247:AW250">
    <cfRule type="expression" dxfId="5" priority="4">
      <formula>T$37=""</formula>
    </cfRule>
  </conditionalFormatting>
  <conditionalFormatting sqref="T37:AX37">
    <cfRule type="expression" dxfId="4" priority="67">
      <formula>T$37=""</formula>
    </cfRule>
  </conditionalFormatting>
  <conditionalFormatting sqref="AX162">
    <cfRule type="expression" dxfId="3" priority="70">
      <formula>AX$37=""</formula>
    </cfRule>
  </conditionalFormatting>
  <conditionalFormatting sqref="AX192">
    <cfRule type="expression" dxfId="2" priority="46">
      <formula>AX$37=""</formula>
    </cfRule>
  </conditionalFormatting>
  <conditionalFormatting sqref="AX222">
    <cfRule type="expression" dxfId="1" priority="33">
      <formula>AX$37=""</formula>
    </cfRule>
  </conditionalFormatting>
  <conditionalFormatting sqref="AX52:AY56">
    <cfRule type="expression" dxfId="0" priority="71">
      <formula>AX$50=""</formula>
    </cfRule>
  </conditionalFormatting>
  <pageMargins left="0.7" right="0.7" top="0.75" bottom="0.75" header="0.3" footer="0.3"/>
  <pageSetup paperSize="9" fitToHeight="0" orientation="landscape" r:id="rId2"/>
  <ignoredErrors>
    <ignoredError sqref="Q62 T62:U62 V62:AW62" formula="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22</vt:i4>
      </vt:variant>
    </vt:vector>
  </HeadingPairs>
  <TitlesOfParts>
    <vt:vector size="27" baseType="lpstr">
      <vt:lpstr>Ændringslog</vt:lpstr>
      <vt:lpstr>NR_1</vt:lpstr>
      <vt:lpstr>Stamoplysninger</vt:lpstr>
      <vt:lpstr>Leverancer</vt:lpstr>
      <vt:lpstr>Tabeller</vt:lpstr>
      <vt:lpstr>g_assets_sc_1</vt:lpstr>
      <vt:lpstr>g_interest_discount</vt:lpstr>
      <vt:lpstr>g_interest_FF4</vt:lpstr>
      <vt:lpstr>g_lang_key</vt:lpstr>
      <vt:lpstr>g_lang_val</vt:lpstr>
      <vt:lpstr>g_phase_names</vt:lpstr>
      <vt:lpstr>g_pl_factor</vt:lpstr>
      <vt:lpstr>g_pl_factors</vt:lpstr>
      <vt:lpstr>g_pl_year</vt:lpstr>
      <vt:lpstr>g_pl_years</vt:lpstr>
      <vt:lpstr>g_pl_years_end</vt:lpstr>
      <vt:lpstr>g_pl_years_start</vt:lpstr>
      <vt:lpstr>g_reporting_year</vt:lpstr>
      <vt:lpstr>g_sc_1_assets</vt:lpstr>
      <vt:lpstr>g_sc_1_assets_dates</vt:lpstr>
      <vt:lpstr>g_sc_1_assets_years</vt:lpstr>
      <vt:lpstr>g_sc_1_capex</vt:lpstr>
      <vt:lpstr>g_sc_1_opex</vt:lpstr>
      <vt:lpstr>g_sc_1_phases_years</vt:lpstr>
      <vt:lpstr>Leverancer!Udskriftsområde</vt:lpstr>
      <vt:lpstr>Stamoplysninger!Udskriftsområde</vt:lpstr>
      <vt:lpstr>Tabeller!Udskriftsområde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Ionel Dan Blaguiescu</dc:creator>
  <cp:lastModifiedBy>Nanna Simone Kristensen</cp:lastModifiedBy>
  <dcterms:created xsi:type="dcterms:W3CDTF">2022-08-18T13:31:47Z</dcterms:created>
  <dcterms:modified xsi:type="dcterms:W3CDTF">2025-10-21T10:13:59Z</dcterms:modified>
</cp:coreProperties>
</file>