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KIS\02 Internal Tools\_RELEASES\BCM5\25062024 1645\"/>
    </mc:Choice>
  </mc:AlternateContent>
  <bookViews>
    <workbookView xWindow="0" yWindow="0" windowWidth="19200" windowHeight="6300" firstSheet="2" activeTab="4"/>
  </bookViews>
  <sheets>
    <sheet name="NR_1" sheetId="1" state="hidden" r:id="rId1"/>
    <sheet name="Ændringslog" sheetId="8" state="hidden" r:id="rId2"/>
    <sheet name="Stamoplysninger" sheetId="3" r:id="rId3"/>
    <sheet name="Leverancer" sheetId="5" r:id="rId4"/>
    <sheet name="Tabeller" sheetId="6" r:id="rId5"/>
  </sheets>
  <definedNames>
    <definedName name="g_assets_sc_1">NR_1!$R$3:$R$9</definedName>
    <definedName name="g_interest_discount">NR_1!$E$3</definedName>
    <definedName name="g_interest_FF4">NR_1!$D$3</definedName>
    <definedName name="g_lang_key">NR_1!$A$3:$A$100</definedName>
    <definedName name="g_lang_val">NR_1!$B$3:$B$100</definedName>
    <definedName name="g_phase_names">NR_1!$C$3:$C$5</definedName>
    <definedName name="g_pl_factor">NR_1!$L$3</definedName>
    <definedName name="g_pl_factors">NR_1!$I$3:$I$1000</definedName>
    <definedName name="g_pl_year">NR_1!$J$3</definedName>
    <definedName name="g_pl_years">NR_1!$H$3:$H$17</definedName>
    <definedName name="g_pl_years_end">NR_1!$G$3</definedName>
    <definedName name="g_pl_years_start">NR_1!$F$3</definedName>
    <definedName name="g_reporting_year">NR_1!$K$3</definedName>
    <definedName name="g_sc_1_assets">NR_1!$N$3:$N$12</definedName>
    <definedName name="g_sc_1_assets_dates">NR_1!$O$3:$O$7</definedName>
    <definedName name="g_sc_1_assets_years">NR_1!$N$3:$N$7</definedName>
    <definedName name="g_sc_1_capex">NR_1!$P$3:$P$8</definedName>
    <definedName name="g_sc_1_opex">NR_1!$Q$3:$Q$10</definedName>
    <definedName name="g_sc_1_phases_years">NR_1!$M$3:$M$5</definedName>
    <definedName name="_xlnm.Print_Area" localSheetId="3">Leverancer!$AQ$1:$AY$83</definedName>
    <definedName name="_xlnm.Print_Area" localSheetId="2">Stamoplysninger!$I$1:$P$74</definedName>
    <definedName name="_xlnm.Print_Area" localSheetId="4">Tabeller!$N$1:$AP$143</definedName>
    <definedName name="Z_CC114306_4468_4F70_9DB6_D54D814D228F_.wvu.Cols" localSheetId="3" hidden="1">Leverancer!$A:$AO</definedName>
    <definedName name="Z_CC114306_4468_4F70_9DB6_D54D814D228F_.wvu.Cols" localSheetId="2" hidden="1">Stamoplysninger!$A:$H</definedName>
    <definedName name="Z_CC114306_4468_4F70_9DB6_D54D814D228F_.wvu.Cols" localSheetId="4" hidden="1">Tabeller!$A:$K</definedName>
    <definedName name="Z_CC114306_4468_4F70_9DB6_D54D814D228F_.wvu.PrintArea" localSheetId="3" hidden="1">Leverancer!$AQ$1:$AY$83</definedName>
    <definedName name="Z_CC114306_4468_4F70_9DB6_D54D814D228F_.wvu.PrintArea" localSheetId="2" hidden="1">Stamoplysninger!$I$1:$P$74</definedName>
    <definedName name="Z_CC114306_4468_4F70_9DB6_D54D814D228F_.wvu.PrintArea" localSheetId="4" hidden="1">Tabeller!$N$1:$AP$143</definedName>
    <definedName name="Z_CC114306_4468_4F70_9DB6_D54D814D228F_.wvu.Rows" localSheetId="3" hidden="1">Leverancer!$1:$12</definedName>
    <definedName name="Z_CC114306_4468_4F70_9DB6_D54D814D228F_.wvu.Rows" localSheetId="2" hidden="1">Stamoplysninger!$1:$6,Stamoplysninger!$62:$62</definedName>
    <definedName name="Z_CC114306_4468_4F70_9DB6_D54D814D228F_.wvu.Rows" localSheetId="4" hidden="1">Tabeller!$1:$12,Tabeller!$75:$75</definedName>
  </definedNames>
  <calcPr calcId="162913"/>
  <customWorkbookViews>
    <customWorkbookView name="Ionel Dan Blaguiescu - Personal View" guid="{CC114306-4468-4F70-9DB6-D54D814D228F}" mergeInterval="0" personalView="1" maximized="1" xWindow="-8" yWindow="-8" windowWidth="1936" windowHeight="117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73" i="6" l="1"/>
  <c r="AO73" i="6"/>
  <c r="AP73" i="6"/>
  <c r="AQ73" i="6"/>
  <c r="AR73" i="6"/>
  <c r="AS73" i="6"/>
  <c r="AT73" i="6"/>
  <c r="AU73" i="6"/>
  <c r="AV73" i="6"/>
  <c r="AW73" i="6"/>
  <c r="N33" i="6" l="1"/>
  <c r="Q81" i="6"/>
  <c r="N78" i="6"/>
  <c r="AS73" i="5"/>
  <c r="AR74" i="5"/>
  <c r="AN59" i="6" l="1"/>
  <c r="AO59" i="6"/>
  <c r="AP59" i="6"/>
  <c r="AQ59" i="6"/>
  <c r="AR59" i="6"/>
  <c r="AS59" i="6"/>
  <c r="AT59" i="6"/>
  <c r="AU59" i="6"/>
  <c r="AV59" i="6"/>
  <c r="AW59" i="6"/>
  <c r="AN60" i="6"/>
  <c r="AO60" i="6"/>
  <c r="AP60" i="6"/>
  <c r="AQ60" i="6"/>
  <c r="AR60" i="6"/>
  <c r="AS60" i="6"/>
  <c r="AT60" i="6"/>
  <c r="AU60" i="6"/>
  <c r="AV60" i="6"/>
  <c r="AW60" i="6"/>
  <c r="AN61" i="6"/>
  <c r="AO61" i="6"/>
  <c r="AP61" i="6"/>
  <c r="AQ61" i="6"/>
  <c r="AR61" i="6"/>
  <c r="AS61" i="6"/>
  <c r="AT61" i="6"/>
  <c r="AU61" i="6"/>
  <c r="AV61" i="6"/>
  <c r="AW61" i="6"/>
  <c r="AN62" i="6"/>
  <c r="AO62" i="6"/>
  <c r="AP62" i="6"/>
  <c r="AQ62" i="6"/>
  <c r="AR62" i="6"/>
  <c r="AS62" i="6"/>
  <c r="AT62" i="6"/>
  <c r="AU62" i="6"/>
  <c r="AV62" i="6"/>
  <c r="AW62" i="6"/>
  <c r="AN63" i="6"/>
  <c r="AO63" i="6"/>
  <c r="AP63" i="6"/>
  <c r="AQ63" i="6"/>
  <c r="AR63" i="6"/>
  <c r="AS63" i="6"/>
  <c r="AT63" i="6"/>
  <c r="AU63" i="6"/>
  <c r="AV63" i="6"/>
  <c r="AW63" i="6"/>
  <c r="AN64" i="6"/>
  <c r="AO64" i="6"/>
  <c r="AP64" i="6"/>
  <c r="AQ64" i="6"/>
  <c r="AR64" i="6"/>
  <c r="AS64" i="6"/>
  <c r="AT64" i="6"/>
  <c r="AU64" i="6"/>
  <c r="AV64" i="6"/>
  <c r="AW64" i="6"/>
  <c r="AN65" i="6"/>
  <c r="AO65" i="6"/>
  <c r="AP65" i="6"/>
  <c r="AQ65" i="6"/>
  <c r="AR65" i="6"/>
  <c r="AS65" i="6"/>
  <c r="AT65" i="6"/>
  <c r="AU65" i="6"/>
  <c r="AV65" i="6"/>
  <c r="AW65" i="6"/>
  <c r="AN66" i="6"/>
  <c r="AO66" i="6"/>
  <c r="AP66" i="6"/>
  <c r="AQ66" i="6"/>
  <c r="AR66" i="6"/>
  <c r="AS66" i="6"/>
  <c r="AT66" i="6"/>
  <c r="AU66" i="6"/>
  <c r="AV66" i="6"/>
  <c r="AW66" i="6"/>
  <c r="AN67" i="6"/>
  <c r="AO67" i="6"/>
  <c r="AP67" i="6"/>
  <c r="AQ67" i="6"/>
  <c r="AR67" i="6"/>
  <c r="AS67" i="6"/>
  <c r="AT67" i="6"/>
  <c r="AU67" i="6"/>
  <c r="AV67" i="6"/>
  <c r="AW67" i="6"/>
  <c r="AN68" i="6"/>
  <c r="AO68" i="6"/>
  <c r="AP68" i="6"/>
  <c r="AQ68" i="6"/>
  <c r="AR68" i="6"/>
  <c r="AS68" i="6"/>
  <c r="AT68" i="6"/>
  <c r="AU68" i="6"/>
  <c r="AV68" i="6"/>
  <c r="AW68" i="6"/>
  <c r="AN69" i="6"/>
  <c r="AO69" i="6"/>
  <c r="AP69" i="6"/>
  <c r="AQ69" i="6"/>
  <c r="AR69" i="6"/>
  <c r="AS69" i="6"/>
  <c r="AT69" i="6"/>
  <c r="AU69" i="6"/>
  <c r="AV69" i="6"/>
  <c r="AW69" i="6"/>
  <c r="AN70" i="6"/>
  <c r="AO70" i="6"/>
  <c r="AP70" i="6"/>
  <c r="AQ70" i="6"/>
  <c r="AR70" i="6"/>
  <c r="AS70" i="6"/>
  <c r="AT70" i="6"/>
  <c r="AU70" i="6"/>
  <c r="AV70" i="6"/>
  <c r="AW70" i="6"/>
  <c r="AN71" i="6"/>
  <c r="AO71" i="6"/>
  <c r="AP71" i="6"/>
  <c r="AQ71" i="6"/>
  <c r="AR71" i="6"/>
  <c r="AS71" i="6"/>
  <c r="AT71" i="6"/>
  <c r="AU71" i="6"/>
  <c r="AV71" i="6"/>
  <c r="AW71" i="6"/>
  <c r="AN72" i="6"/>
  <c r="AO72" i="6"/>
  <c r="AP72" i="6"/>
  <c r="AQ72" i="6"/>
  <c r="AR72" i="6"/>
  <c r="AS72" i="6"/>
  <c r="AT72" i="6"/>
  <c r="AU72" i="6"/>
  <c r="AV72" i="6"/>
  <c r="AW72" i="6"/>
  <c r="AN58" i="6"/>
  <c r="AO58" i="6"/>
  <c r="AP58" i="6"/>
  <c r="AQ58" i="6"/>
  <c r="AR58" i="6"/>
  <c r="AS58" i="6"/>
  <c r="AT58" i="6"/>
  <c r="AU58" i="6"/>
  <c r="AV58" i="6"/>
  <c r="AW58" i="6"/>
  <c r="AN53" i="6"/>
  <c r="AO53" i="6"/>
  <c r="AP53" i="6"/>
  <c r="AQ53" i="6"/>
  <c r="AR53" i="6"/>
  <c r="AS53" i="6"/>
  <c r="AT53" i="6"/>
  <c r="AU53" i="6"/>
  <c r="AV53" i="6"/>
  <c r="AW53" i="6"/>
  <c r="AN54" i="6"/>
  <c r="AO54" i="6"/>
  <c r="AP54" i="6"/>
  <c r="AQ54" i="6"/>
  <c r="AR54" i="6"/>
  <c r="AS54" i="6"/>
  <c r="AT54" i="6"/>
  <c r="AU54" i="6"/>
  <c r="AV54" i="6"/>
  <c r="AW54" i="6"/>
  <c r="AN55" i="6"/>
  <c r="AO55" i="6"/>
  <c r="AP55" i="6"/>
  <c r="AQ55" i="6"/>
  <c r="AR55" i="6"/>
  <c r="AS55" i="6"/>
  <c r="AT55" i="6"/>
  <c r="AU55" i="6"/>
  <c r="AV55" i="6"/>
  <c r="AW55" i="6"/>
  <c r="AN56" i="6"/>
  <c r="AO56" i="6"/>
  <c r="AP56" i="6"/>
  <c r="AQ56" i="6"/>
  <c r="AR56" i="6"/>
  <c r="AS56" i="6"/>
  <c r="AT56" i="6"/>
  <c r="AU56" i="6"/>
  <c r="AV56" i="6"/>
  <c r="AW56" i="6"/>
  <c r="AN52" i="6"/>
  <c r="AO52" i="6"/>
  <c r="AP52" i="6"/>
  <c r="AQ52" i="6"/>
  <c r="AR52" i="6"/>
  <c r="AS52" i="6"/>
  <c r="AT52" i="6"/>
  <c r="AU52" i="6"/>
  <c r="AV52" i="6"/>
  <c r="AW52" i="6"/>
  <c r="Q72" i="6"/>
  <c r="Q59" i="6"/>
  <c r="Q60" i="6"/>
  <c r="Q61" i="6"/>
  <c r="Q62" i="6"/>
  <c r="Q63" i="6"/>
  <c r="Q64" i="6"/>
  <c r="Q65" i="6"/>
  <c r="Q66" i="6"/>
  <c r="Q67" i="6"/>
  <c r="Q68" i="6"/>
  <c r="Q69" i="6"/>
  <c r="Q70" i="6"/>
  <c r="Q71" i="6"/>
  <c r="Q58" i="6"/>
  <c r="Q53" i="6"/>
  <c r="Q54" i="6"/>
  <c r="Q55" i="6"/>
  <c r="Q56" i="6"/>
  <c r="Q52" i="6"/>
  <c r="AN40" i="6"/>
  <c r="AO40" i="6"/>
  <c r="AP40" i="6"/>
  <c r="AQ40" i="6"/>
  <c r="AR40" i="6"/>
  <c r="AS40" i="6"/>
  <c r="AT40" i="6"/>
  <c r="AU40" i="6"/>
  <c r="AV40" i="6"/>
  <c r="AW40" i="6"/>
  <c r="Q83" i="6"/>
  <c r="AS24" i="5"/>
  <c r="AR23" i="5"/>
  <c r="AR72" i="5"/>
  <c r="AR64" i="5" l="1"/>
  <c r="P30" i="5" l="1"/>
  <c r="Q30" i="5"/>
  <c r="R30" i="5"/>
  <c r="S30" i="5"/>
  <c r="T30" i="5"/>
  <c r="U30" i="5"/>
  <c r="V30" i="5"/>
  <c r="W30" i="5"/>
  <c r="X30" i="5"/>
  <c r="Y30" i="5"/>
  <c r="Z30" i="5"/>
  <c r="AA30" i="5"/>
  <c r="AB30" i="5"/>
  <c r="AC30" i="5"/>
  <c r="AD30" i="5"/>
  <c r="AE30" i="5"/>
  <c r="AF30" i="5"/>
  <c r="AG30" i="5"/>
  <c r="AH30" i="5"/>
  <c r="AI30" i="5"/>
  <c r="P31" i="5"/>
  <c r="Q31" i="5"/>
  <c r="R31" i="5"/>
  <c r="S31" i="5"/>
  <c r="T31" i="5"/>
  <c r="U31" i="5"/>
  <c r="V31" i="5"/>
  <c r="W31" i="5"/>
  <c r="X31" i="5"/>
  <c r="Y31" i="5"/>
  <c r="Z31" i="5"/>
  <c r="AA31" i="5"/>
  <c r="AB31" i="5"/>
  <c r="AC31" i="5"/>
  <c r="AD31" i="5"/>
  <c r="AE31" i="5"/>
  <c r="AF31" i="5"/>
  <c r="AG31" i="5"/>
  <c r="AH31" i="5"/>
  <c r="AI31" i="5"/>
  <c r="P32" i="5"/>
  <c r="Q32" i="5"/>
  <c r="R32" i="5"/>
  <c r="S32" i="5"/>
  <c r="T32" i="5"/>
  <c r="U32" i="5"/>
  <c r="V32" i="5"/>
  <c r="W32" i="5"/>
  <c r="X32" i="5"/>
  <c r="Y32" i="5"/>
  <c r="Z32" i="5"/>
  <c r="AA32" i="5"/>
  <c r="AB32" i="5"/>
  <c r="AC32" i="5"/>
  <c r="AD32" i="5"/>
  <c r="AE32" i="5"/>
  <c r="AF32" i="5"/>
  <c r="AG32" i="5"/>
  <c r="AH32" i="5"/>
  <c r="AI32" i="5"/>
  <c r="S34" i="5"/>
  <c r="T34" i="5"/>
  <c r="U34" i="5"/>
  <c r="V34" i="5"/>
  <c r="W34" i="5"/>
  <c r="X34" i="5"/>
  <c r="Y34" i="5"/>
  <c r="Z34" i="5"/>
  <c r="AA34" i="5"/>
  <c r="AB34" i="5"/>
  <c r="AC34" i="5"/>
  <c r="AD34" i="5"/>
  <c r="AE34" i="5"/>
  <c r="AF34" i="5"/>
  <c r="AG34" i="5"/>
  <c r="AH34" i="5"/>
  <c r="AI34" i="5"/>
  <c r="S35" i="5"/>
  <c r="T35" i="5"/>
  <c r="U35" i="5"/>
  <c r="V35" i="5"/>
  <c r="W35" i="5"/>
  <c r="X35" i="5"/>
  <c r="Y35" i="5"/>
  <c r="Z35" i="5"/>
  <c r="AA35" i="5"/>
  <c r="AB35" i="5"/>
  <c r="AC35" i="5"/>
  <c r="AD35" i="5"/>
  <c r="AE35" i="5"/>
  <c r="AF35" i="5"/>
  <c r="AG35" i="5"/>
  <c r="AH35" i="5"/>
  <c r="AI35" i="5"/>
  <c r="P36" i="5"/>
  <c r="Q36" i="5"/>
  <c r="R36" i="5"/>
  <c r="S36" i="5"/>
  <c r="T36" i="5"/>
  <c r="U36" i="5"/>
  <c r="V36" i="5"/>
  <c r="W36" i="5"/>
  <c r="X36" i="5"/>
  <c r="Y36" i="5"/>
  <c r="Z36" i="5"/>
  <c r="AA36" i="5"/>
  <c r="AB36" i="5"/>
  <c r="AC36" i="5"/>
  <c r="AD36" i="5"/>
  <c r="AE36" i="5"/>
  <c r="AF36" i="5"/>
  <c r="AG36" i="5"/>
  <c r="AH36" i="5"/>
  <c r="AI36" i="5"/>
  <c r="P37" i="5"/>
  <c r="Q37" i="5"/>
  <c r="R37" i="5"/>
  <c r="S37" i="5"/>
  <c r="T37" i="5"/>
  <c r="U37" i="5"/>
  <c r="V37" i="5"/>
  <c r="W37" i="5"/>
  <c r="X37" i="5"/>
  <c r="Y37" i="5"/>
  <c r="Z37" i="5"/>
  <c r="AA37" i="5"/>
  <c r="AB37" i="5"/>
  <c r="AC37" i="5"/>
  <c r="AD37" i="5"/>
  <c r="AE37" i="5"/>
  <c r="AF37" i="5"/>
  <c r="AG37" i="5"/>
  <c r="AH37" i="5"/>
  <c r="AI37" i="5"/>
  <c r="P38" i="5"/>
  <c r="Q38" i="5"/>
  <c r="R38" i="5"/>
  <c r="S38" i="5"/>
  <c r="T38" i="5"/>
  <c r="U38" i="5"/>
  <c r="V38" i="5"/>
  <c r="W38" i="5"/>
  <c r="X38" i="5"/>
  <c r="Y38" i="5"/>
  <c r="Z38" i="5"/>
  <c r="AA38" i="5"/>
  <c r="AB38" i="5"/>
  <c r="AC38" i="5"/>
  <c r="AD38" i="5"/>
  <c r="AE38" i="5"/>
  <c r="AF38" i="5"/>
  <c r="AG38" i="5"/>
  <c r="AH38" i="5"/>
  <c r="AI38" i="5"/>
  <c r="P39" i="5"/>
  <c r="Q39" i="5"/>
  <c r="R39" i="5"/>
  <c r="S39" i="5"/>
  <c r="T39" i="5"/>
  <c r="U39" i="5"/>
  <c r="V39" i="5"/>
  <c r="W39" i="5"/>
  <c r="X39" i="5"/>
  <c r="Y39" i="5"/>
  <c r="Z39" i="5"/>
  <c r="AA39" i="5"/>
  <c r="AB39" i="5"/>
  <c r="AC39" i="5"/>
  <c r="AD39" i="5"/>
  <c r="AE39" i="5"/>
  <c r="AF39" i="5"/>
  <c r="AG39" i="5"/>
  <c r="AH39" i="5"/>
  <c r="AI39" i="5"/>
  <c r="P40" i="5"/>
  <c r="Q40" i="5"/>
  <c r="R40" i="5"/>
  <c r="S40" i="5"/>
  <c r="T40" i="5"/>
  <c r="U40" i="5"/>
  <c r="V40" i="5"/>
  <c r="W40" i="5"/>
  <c r="X40" i="5"/>
  <c r="Y40" i="5"/>
  <c r="Z40" i="5"/>
  <c r="AA40" i="5"/>
  <c r="AB40" i="5"/>
  <c r="AC40" i="5"/>
  <c r="AD40" i="5"/>
  <c r="AE40" i="5"/>
  <c r="AF40" i="5"/>
  <c r="AG40" i="5"/>
  <c r="AH40" i="5"/>
  <c r="AI40" i="5"/>
  <c r="P41" i="5"/>
  <c r="Q41" i="5"/>
  <c r="R41" i="5"/>
  <c r="S41" i="5"/>
  <c r="T41" i="5"/>
  <c r="U41" i="5"/>
  <c r="V41" i="5"/>
  <c r="W41" i="5"/>
  <c r="X41" i="5"/>
  <c r="Y41" i="5"/>
  <c r="Z41" i="5"/>
  <c r="AA41" i="5"/>
  <c r="AB41" i="5"/>
  <c r="AC41" i="5"/>
  <c r="AD41" i="5"/>
  <c r="AE41" i="5"/>
  <c r="AF41" i="5"/>
  <c r="AG41" i="5"/>
  <c r="AH41" i="5"/>
  <c r="AI41" i="5"/>
  <c r="P42" i="5"/>
  <c r="Q42" i="5"/>
  <c r="R42" i="5"/>
  <c r="S42" i="5"/>
  <c r="T42" i="5"/>
  <c r="U42" i="5"/>
  <c r="V42" i="5"/>
  <c r="W42" i="5"/>
  <c r="X42" i="5"/>
  <c r="Y42" i="5"/>
  <c r="Z42" i="5"/>
  <c r="AA42" i="5"/>
  <c r="AB42" i="5"/>
  <c r="AC42" i="5"/>
  <c r="AD42" i="5"/>
  <c r="AE42" i="5"/>
  <c r="AF42" i="5"/>
  <c r="AG42" i="5"/>
  <c r="AH42" i="5"/>
  <c r="AI42" i="5"/>
  <c r="P43" i="5"/>
  <c r="Q43" i="5"/>
  <c r="R43" i="5"/>
  <c r="S43" i="5"/>
  <c r="T43" i="5"/>
  <c r="U43" i="5"/>
  <c r="V43" i="5"/>
  <c r="W43" i="5"/>
  <c r="X43" i="5"/>
  <c r="Y43" i="5"/>
  <c r="Z43" i="5"/>
  <c r="AA43" i="5"/>
  <c r="AB43" i="5"/>
  <c r="AC43" i="5"/>
  <c r="AD43" i="5"/>
  <c r="AE43" i="5"/>
  <c r="AF43" i="5"/>
  <c r="AG43" i="5"/>
  <c r="AH43" i="5"/>
  <c r="AI43" i="5"/>
  <c r="P44" i="5"/>
  <c r="Q44" i="5"/>
  <c r="R44" i="5"/>
  <c r="S44" i="5"/>
  <c r="T44" i="5"/>
  <c r="U44" i="5"/>
  <c r="V44" i="5"/>
  <c r="W44" i="5"/>
  <c r="X44" i="5"/>
  <c r="Y44" i="5"/>
  <c r="Z44" i="5"/>
  <c r="AA44" i="5"/>
  <c r="AB44" i="5"/>
  <c r="AC44" i="5"/>
  <c r="AD44" i="5"/>
  <c r="AE44" i="5"/>
  <c r="AF44" i="5"/>
  <c r="AG44" i="5"/>
  <c r="AH44" i="5"/>
  <c r="AI44" i="5"/>
  <c r="P45" i="5"/>
  <c r="Q45" i="5"/>
  <c r="R45" i="5"/>
  <c r="S45" i="5"/>
  <c r="T45" i="5"/>
  <c r="U45" i="5"/>
  <c r="V45" i="5"/>
  <c r="W45" i="5"/>
  <c r="X45" i="5"/>
  <c r="Y45" i="5"/>
  <c r="Z45" i="5"/>
  <c r="AA45" i="5"/>
  <c r="AB45" i="5"/>
  <c r="AC45" i="5"/>
  <c r="AD45" i="5"/>
  <c r="AE45" i="5"/>
  <c r="AF45" i="5"/>
  <c r="AG45" i="5"/>
  <c r="AH45" i="5"/>
  <c r="AI45" i="5"/>
  <c r="P46" i="5"/>
  <c r="Q46" i="5"/>
  <c r="R46" i="5"/>
  <c r="S46" i="5"/>
  <c r="T46" i="5"/>
  <c r="U46" i="5"/>
  <c r="V46" i="5"/>
  <c r="W46" i="5"/>
  <c r="X46" i="5"/>
  <c r="Y46" i="5"/>
  <c r="Z46" i="5"/>
  <c r="AA46" i="5"/>
  <c r="AB46" i="5"/>
  <c r="AC46" i="5"/>
  <c r="AD46" i="5"/>
  <c r="AE46" i="5"/>
  <c r="AF46" i="5"/>
  <c r="AG46" i="5"/>
  <c r="AH46" i="5"/>
  <c r="AI46" i="5"/>
  <c r="P47" i="5"/>
  <c r="Q47" i="5"/>
  <c r="R47" i="5"/>
  <c r="S47" i="5"/>
  <c r="T47" i="5"/>
  <c r="U47" i="5"/>
  <c r="V47" i="5"/>
  <c r="W47" i="5"/>
  <c r="X47" i="5"/>
  <c r="Y47" i="5"/>
  <c r="Z47" i="5"/>
  <c r="AA47" i="5"/>
  <c r="AB47" i="5"/>
  <c r="AC47" i="5"/>
  <c r="AD47" i="5"/>
  <c r="AE47" i="5"/>
  <c r="AF47" i="5"/>
  <c r="AG47" i="5"/>
  <c r="AH47" i="5"/>
  <c r="AI47" i="5"/>
  <c r="P48" i="5"/>
  <c r="Q48" i="5"/>
  <c r="R48" i="5"/>
  <c r="S48" i="5"/>
  <c r="T48" i="5"/>
  <c r="U48" i="5"/>
  <c r="V48" i="5"/>
  <c r="W48" i="5"/>
  <c r="X48" i="5"/>
  <c r="Y48" i="5"/>
  <c r="Z48" i="5"/>
  <c r="AA48" i="5"/>
  <c r="AB48" i="5"/>
  <c r="AC48" i="5"/>
  <c r="AD48" i="5"/>
  <c r="AE48" i="5"/>
  <c r="AF48" i="5"/>
  <c r="AG48" i="5"/>
  <c r="AH48" i="5"/>
  <c r="AI48" i="5"/>
  <c r="AN39" i="6" l="1"/>
  <c r="AO39" i="6"/>
  <c r="AP39" i="6"/>
  <c r="AQ39" i="6"/>
  <c r="AR39" i="6"/>
  <c r="AS39" i="6"/>
  <c r="AT39" i="6"/>
  <c r="AU39" i="6"/>
  <c r="AV39" i="6"/>
  <c r="AW39" i="6"/>
  <c r="AX107" i="6" l="1"/>
  <c r="H36" i="5" l="1"/>
  <c r="N36" i="5"/>
  <c r="O36" i="5"/>
  <c r="AJ36" i="5"/>
  <c r="G37" i="5"/>
  <c r="H37" i="5"/>
  <c r="N37" i="5"/>
  <c r="O37" i="5"/>
  <c r="AJ37" i="5"/>
  <c r="G38" i="5"/>
  <c r="H38" i="5"/>
  <c r="I38" i="5"/>
  <c r="N38" i="5"/>
  <c r="O38" i="5"/>
  <c r="AJ38" i="5"/>
  <c r="G39" i="5"/>
  <c r="H39" i="5"/>
  <c r="I39" i="5"/>
  <c r="N39" i="5"/>
  <c r="O39" i="5"/>
  <c r="AJ39" i="5"/>
  <c r="G40" i="5"/>
  <c r="H40" i="5"/>
  <c r="I40" i="5"/>
  <c r="J40" i="5"/>
  <c r="N40" i="5"/>
  <c r="O40" i="5"/>
  <c r="AJ40" i="5"/>
  <c r="G41" i="5"/>
  <c r="H41" i="5"/>
  <c r="I41" i="5"/>
  <c r="J41" i="5"/>
  <c r="K41" i="5"/>
  <c r="N41" i="5"/>
  <c r="O41" i="5"/>
  <c r="AJ41" i="5"/>
  <c r="G42" i="5"/>
  <c r="H42" i="5"/>
  <c r="I42" i="5"/>
  <c r="J42" i="5"/>
  <c r="K42" i="5"/>
  <c r="L42" i="5"/>
  <c r="N42" i="5"/>
  <c r="O42" i="5"/>
  <c r="AJ42" i="5"/>
  <c r="G43" i="5"/>
  <c r="H43" i="5"/>
  <c r="I43" i="5"/>
  <c r="J43" i="5"/>
  <c r="K43" i="5"/>
  <c r="L43" i="5"/>
  <c r="M43" i="5"/>
  <c r="N43" i="5"/>
  <c r="O43" i="5"/>
  <c r="AJ43" i="5"/>
  <c r="G44" i="5"/>
  <c r="H44" i="5"/>
  <c r="I44" i="5"/>
  <c r="J44" i="5"/>
  <c r="K44" i="5"/>
  <c r="L44" i="5"/>
  <c r="M44" i="5"/>
  <c r="N44" i="5"/>
  <c r="O44" i="5"/>
  <c r="AJ44" i="5"/>
  <c r="H45" i="5"/>
  <c r="I45" i="5"/>
  <c r="J45" i="5"/>
  <c r="K45" i="5"/>
  <c r="L45" i="5"/>
  <c r="M45" i="5"/>
  <c r="N45" i="5"/>
  <c r="O45" i="5"/>
  <c r="AJ45" i="5"/>
  <c r="G46" i="5"/>
  <c r="H46" i="5"/>
  <c r="I46" i="5"/>
  <c r="J46" i="5"/>
  <c r="K46" i="5"/>
  <c r="L46" i="5"/>
  <c r="M46" i="5"/>
  <c r="N46" i="5"/>
  <c r="O46" i="5"/>
  <c r="AJ46" i="5"/>
  <c r="G47" i="5"/>
  <c r="H47" i="5"/>
  <c r="I47" i="5"/>
  <c r="J47" i="5"/>
  <c r="K47" i="5"/>
  <c r="L47" i="5"/>
  <c r="M47" i="5"/>
  <c r="N47" i="5"/>
  <c r="O47" i="5"/>
  <c r="AJ47" i="5"/>
  <c r="G48" i="5"/>
  <c r="H48" i="5"/>
  <c r="I48" i="5"/>
  <c r="J48" i="5"/>
  <c r="K48" i="5"/>
  <c r="L48" i="5"/>
  <c r="M48" i="5"/>
  <c r="N48" i="5"/>
  <c r="O48" i="5"/>
  <c r="AJ48" i="5"/>
  <c r="I30" i="5"/>
  <c r="J30" i="5"/>
  <c r="K30" i="5"/>
  <c r="L30" i="5"/>
  <c r="M30" i="5"/>
  <c r="N30" i="5"/>
  <c r="O30" i="5"/>
  <c r="AJ30" i="5"/>
  <c r="G31" i="5"/>
  <c r="H31" i="5"/>
  <c r="I31" i="5"/>
  <c r="J31" i="5"/>
  <c r="K31" i="5"/>
  <c r="L31" i="5"/>
  <c r="M31" i="5"/>
  <c r="N31" i="5"/>
  <c r="O31" i="5"/>
  <c r="AJ31" i="5"/>
  <c r="G32" i="5"/>
  <c r="H32" i="5"/>
  <c r="I32" i="5"/>
  <c r="J32" i="5"/>
  <c r="K32" i="5"/>
  <c r="L32" i="5"/>
  <c r="M32" i="5"/>
  <c r="N32" i="5"/>
  <c r="O32" i="5"/>
  <c r="AJ32" i="5"/>
  <c r="AS96" i="5" l="1"/>
  <c r="AR95" i="5"/>
  <c r="AQ93" i="5"/>
  <c r="AR101" i="5"/>
  <c r="AR97" i="5"/>
  <c r="AR89" i="5" l="1"/>
  <c r="AR66" i="5"/>
  <c r="AR57" i="5"/>
  <c r="N91" i="6" l="1"/>
  <c r="K3" i="1" l="1"/>
  <c r="J3" i="1" l="1"/>
  <c r="L3" i="1" s="1"/>
  <c r="M3" i="1"/>
  <c r="N3" i="1"/>
  <c r="O3" i="1"/>
  <c r="AR86" i="5" l="1"/>
  <c r="AW74" i="5" l="1"/>
  <c r="AW25" i="5"/>
  <c r="Q74" i="6" l="1"/>
  <c r="Q43" i="6"/>
  <c r="Q42" i="6"/>
  <c r="Q41" i="6"/>
  <c r="AN27" i="5" l="1"/>
  <c r="AO27" i="5"/>
  <c r="Q38" i="6"/>
  <c r="Q39" i="6"/>
  <c r="Q25" i="6"/>
  <c r="Q24" i="6"/>
  <c r="F48" i="5" l="1"/>
  <c r="F32" i="5"/>
  <c r="F31" i="5"/>
  <c r="F29" i="5"/>
  <c r="F28" i="5"/>
  <c r="F30" i="5"/>
  <c r="Q28" i="6"/>
  <c r="Q27" i="6"/>
  <c r="Q26" i="6"/>
  <c r="Q23" i="6"/>
  <c r="Q22" i="6"/>
  <c r="J7" i="3" l="1"/>
  <c r="Q120" i="6" l="1"/>
  <c r="Q119" i="6"/>
  <c r="Q118" i="6"/>
  <c r="Q117" i="6"/>
  <c r="Q115" i="6"/>
  <c r="Q114" i="6"/>
  <c r="Q113" i="6"/>
  <c r="Q112" i="6"/>
  <c r="Q110" i="6"/>
  <c r="Q109" i="6"/>
  <c r="Q108" i="6"/>
  <c r="Q107" i="6"/>
  <c r="Q105" i="6"/>
  <c r="Q104" i="6"/>
  <c r="Q103" i="6"/>
  <c r="Q102" i="6"/>
  <c r="Q100" i="6"/>
  <c r="Q99" i="6"/>
  <c r="Q98" i="6"/>
  <c r="Q97" i="6"/>
  <c r="Q94" i="6"/>
  <c r="Q88" i="6"/>
  <c r="Q49" i="6"/>
  <c r="Q73" i="6"/>
  <c r="Q57" i="6"/>
  <c r="Q51" i="6"/>
  <c r="N46" i="6"/>
  <c r="Q40" i="6"/>
  <c r="Q36" i="6"/>
  <c r="N32" i="6"/>
  <c r="S95" i="6"/>
  <c r="S82" i="6"/>
  <c r="S50" i="6"/>
  <c r="S37" i="6"/>
  <c r="S21" i="6"/>
  <c r="Q20" i="6"/>
  <c r="Q35" i="6"/>
  <c r="Q48" i="6"/>
  <c r="Q80" i="6"/>
  <c r="Q93" i="6"/>
  <c r="Q19" i="6"/>
  <c r="N17" i="6"/>
  <c r="AW88" i="5"/>
  <c r="AR82" i="5"/>
  <c r="AQ70" i="5"/>
  <c r="AW61" i="5"/>
  <c r="AR61" i="5"/>
  <c r="AR50" i="5"/>
  <c r="AW56" i="5"/>
  <c r="AR54" i="5"/>
  <c r="AR33" i="5"/>
  <c r="AR27" i="5"/>
  <c r="AV25" i="5"/>
  <c r="AU25" i="5"/>
  <c r="AT25" i="5"/>
  <c r="AR25" i="5"/>
  <c r="AQ21" i="5"/>
  <c r="K71" i="3"/>
  <c r="K69" i="3"/>
  <c r="K67" i="3"/>
  <c r="K65" i="3"/>
  <c r="K63" i="3"/>
  <c r="K61" i="3"/>
  <c r="N46" i="3"/>
  <c r="M46" i="3"/>
  <c r="L46" i="3"/>
  <c r="K22" i="3"/>
  <c r="K46" i="3"/>
  <c r="K44" i="3"/>
  <c r="K42" i="3" l="1"/>
  <c r="K38" i="3"/>
  <c r="K36" i="3"/>
  <c r="K34" i="3"/>
  <c r="K29" i="3"/>
  <c r="K27" i="3"/>
  <c r="K20" i="3"/>
  <c r="K18" i="3"/>
  <c r="K16" i="3"/>
  <c r="Q10" i="3"/>
  <c r="K14" i="3"/>
  <c r="Q9" i="3"/>
  <c r="R8" i="3"/>
  <c r="Q8" i="3"/>
  <c r="R9" i="1"/>
  <c r="Q116" i="6" s="1"/>
  <c r="J9" i="3"/>
  <c r="J8" i="3"/>
  <c r="O7" i="1" l="1"/>
  <c r="O6" i="1"/>
  <c r="O5" i="1"/>
  <c r="O4" i="1"/>
  <c r="N7" i="1"/>
  <c r="N6" i="1"/>
  <c r="N5" i="1"/>
  <c r="N4" i="1"/>
  <c r="R8" i="1"/>
  <c r="Q111" i="6" s="1"/>
  <c r="R7" i="1"/>
  <c r="Q106" i="6" s="1"/>
  <c r="R6" i="1"/>
  <c r="R5" i="1"/>
  <c r="M5" i="1"/>
  <c r="M4" i="1"/>
  <c r="Q84" i="6"/>
  <c r="Q85" i="6"/>
  <c r="Q86" i="6"/>
  <c r="Q87" i="6"/>
  <c r="Q101" i="6" l="1"/>
  <c r="F36" i="5"/>
  <c r="F40" i="5"/>
  <c r="F47" i="5"/>
  <c r="F39" i="5"/>
  <c r="F46" i="5"/>
  <c r="F38" i="5"/>
  <c r="F43" i="5"/>
  <c r="F45" i="5"/>
  <c r="F37" i="5"/>
  <c r="F44" i="5"/>
  <c r="F35" i="5"/>
  <c r="F42" i="5"/>
  <c r="F34" i="5"/>
  <c r="F41" i="5"/>
  <c r="Q95" i="6"/>
  <c r="Q50" i="6"/>
  <c r="Q82" i="6"/>
  <c r="Q21" i="6"/>
  <c r="Q37" i="6"/>
  <c r="Q9" i="1"/>
  <c r="P6" i="1" l="1"/>
  <c r="P8" i="1" l="1"/>
  <c r="P7" i="1"/>
  <c r="E118" i="6"/>
  <c r="C117" i="6"/>
  <c r="C112" i="6"/>
  <c r="C107" i="6"/>
  <c r="Q10" i="1"/>
  <c r="E113" i="6"/>
  <c r="E108" i="6"/>
  <c r="Q7" i="1"/>
  <c r="E103" i="6"/>
  <c r="Q6" i="1"/>
  <c r="E98" i="6"/>
  <c r="C97" i="6" l="1"/>
  <c r="C102" i="6"/>
  <c r="Q8" i="1"/>
  <c r="P5" i="1"/>
  <c r="Q5" i="1" l="1"/>
  <c r="P4" i="1"/>
  <c r="AY22" i="5" l="1"/>
  <c r="AZ22" i="5"/>
  <c r="BH22" i="5"/>
  <c r="BH56" i="5" s="1"/>
  <c r="BP22" i="5"/>
  <c r="BP56" i="5" s="1"/>
  <c r="BX22" i="5"/>
  <c r="BX56" i="5" s="1"/>
  <c r="BJ22" i="5"/>
  <c r="BJ56" i="5" s="1"/>
  <c r="BR22" i="5"/>
  <c r="BR56" i="5" s="1"/>
  <c r="BA22" i="5"/>
  <c r="BI22" i="5"/>
  <c r="BI56" i="5" s="1"/>
  <c r="BQ22" i="5"/>
  <c r="BQ56" i="5" s="1"/>
  <c r="BY22" i="5"/>
  <c r="BY56" i="5" s="1"/>
  <c r="BB22" i="5"/>
  <c r="BZ22" i="5"/>
  <c r="BZ56" i="5" s="1"/>
  <c r="BC22" i="5"/>
  <c r="BC56" i="5" s="1"/>
  <c r="BN22" i="5"/>
  <c r="BN56" i="5" s="1"/>
  <c r="BD22" i="5"/>
  <c r="BD56" i="5" s="1"/>
  <c r="BO22" i="5"/>
  <c r="BO56" i="5" s="1"/>
  <c r="BT22" i="5"/>
  <c r="BT56" i="5" s="1"/>
  <c r="BG22" i="5"/>
  <c r="BG56" i="5" s="1"/>
  <c r="BK22" i="5"/>
  <c r="BK56" i="5" s="1"/>
  <c r="BL22" i="5"/>
  <c r="BL56" i="5" s="1"/>
  <c r="BE22" i="5"/>
  <c r="BE56" i="5" s="1"/>
  <c r="BS22" i="5"/>
  <c r="BS56" i="5" s="1"/>
  <c r="BF22" i="5"/>
  <c r="BF56" i="5" s="1"/>
  <c r="BU22" i="5"/>
  <c r="BU56" i="5" s="1"/>
  <c r="BV22" i="5"/>
  <c r="BV56" i="5" s="1"/>
  <c r="BW22" i="5"/>
  <c r="BW56" i="5" s="1"/>
  <c r="BM22" i="5"/>
  <c r="BM56" i="5" s="1"/>
  <c r="CA22" i="5"/>
  <c r="CA56" i="5" s="1"/>
  <c r="AX22" i="5"/>
  <c r="P3" i="1"/>
  <c r="Q4" i="1"/>
  <c r="Q96" i="6"/>
  <c r="BR33" i="5" l="1"/>
  <c r="BR27" i="5"/>
  <c r="BR66" i="5"/>
  <c r="BR50" i="5"/>
  <c r="BR55" i="5"/>
  <c r="BR64" i="5"/>
  <c r="BR25" i="5"/>
  <c r="BR57" i="5"/>
  <c r="CA25" i="5"/>
  <c r="CA66" i="5"/>
  <c r="CA33" i="5"/>
  <c r="CA50" i="5"/>
  <c r="CA64" i="5"/>
  <c r="CA27" i="5"/>
  <c r="CA57" i="5"/>
  <c r="CA55" i="5"/>
  <c r="BT50" i="5"/>
  <c r="BT25" i="5"/>
  <c r="BT66" i="5"/>
  <c r="BT27" i="5"/>
  <c r="BT55" i="5"/>
  <c r="BT33" i="5"/>
  <c r="BT64" i="5"/>
  <c r="BT57" i="5"/>
  <c r="BJ33" i="5"/>
  <c r="BJ25" i="5"/>
  <c r="AF50" i="6" s="1"/>
  <c r="AF73" i="6" s="1"/>
  <c r="BJ50" i="5"/>
  <c r="BJ27" i="5"/>
  <c r="BJ66" i="5"/>
  <c r="BJ64" i="5"/>
  <c r="BJ57" i="5"/>
  <c r="BJ55" i="5"/>
  <c r="BF27" i="5"/>
  <c r="BF57" i="5"/>
  <c r="BF50" i="5"/>
  <c r="BF25" i="5"/>
  <c r="AB50" i="6" s="1"/>
  <c r="AB73" i="6" s="1"/>
  <c r="BF55" i="5"/>
  <c r="BF33" i="5"/>
  <c r="BF64" i="5"/>
  <c r="BF66" i="5"/>
  <c r="BA71" i="5"/>
  <c r="BI71" i="5"/>
  <c r="BI88" i="5" s="1"/>
  <c r="BQ71" i="5"/>
  <c r="BQ88" i="5" s="1"/>
  <c r="BY71" i="5"/>
  <c r="BY88" i="5" s="1"/>
  <c r="BC94" i="5"/>
  <c r="BC97" i="5" s="1"/>
  <c r="BK94" i="5"/>
  <c r="BK97" i="5" s="1"/>
  <c r="BS94" i="5"/>
  <c r="BS97" i="5" s="1"/>
  <c r="CA94" i="5"/>
  <c r="CA97" i="5" s="1"/>
  <c r="BB71" i="5"/>
  <c r="BJ71" i="5"/>
  <c r="BJ88" i="5" s="1"/>
  <c r="BR71" i="5"/>
  <c r="BR88" i="5" s="1"/>
  <c r="BZ71" i="5"/>
  <c r="BZ88" i="5" s="1"/>
  <c r="BD94" i="5"/>
  <c r="BD97" i="5" s="1"/>
  <c r="BL94" i="5"/>
  <c r="BL97" i="5" s="1"/>
  <c r="BT94" i="5"/>
  <c r="BT97" i="5" s="1"/>
  <c r="BC71" i="5"/>
  <c r="BC88" i="5" s="1"/>
  <c r="BM71" i="5"/>
  <c r="BM88" i="5" s="1"/>
  <c r="BW71" i="5"/>
  <c r="BW88" i="5" s="1"/>
  <c r="AY94" i="5"/>
  <c r="AY97" i="5" s="1"/>
  <c r="BI94" i="5"/>
  <c r="BI97" i="5" s="1"/>
  <c r="BU94" i="5"/>
  <c r="BU97" i="5" s="1"/>
  <c r="BY94" i="5"/>
  <c r="BY97" i="5" s="1"/>
  <c r="BZ94" i="5"/>
  <c r="BZ97" i="5" s="1"/>
  <c r="AY71" i="5"/>
  <c r="BD71" i="5"/>
  <c r="BD88" i="5" s="1"/>
  <c r="BN71" i="5"/>
  <c r="BN88" i="5" s="1"/>
  <c r="BX71" i="5"/>
  <c r="BX88" i="5" s="1"/>
  <c r="AZ94" i="5"/>
  <c r="AZ97" i="5" s="1"/>
  <c r="BJ94" i="5"/>
  <c r="BJ97" i="5" s="1"/>
  <c r="BV94" i="5"/>
  <c r="BV97" i="5" s="1"/>
  <c r="BP71" i="5"/>
  <c r="BP88" i="5" s="1"/>
  <c r="BN94" i="5"/>
  <c r="BN97" i="5" s="1"/>
  <c r="BS71" i="5"/>
  <c r="BS88" i="5" s="1"/>
  <c r="BO94" i="5"/>
  <c r="BO97" i="5" s="1"/>
  <c r="BT71" i="5"/>
  <c r="BT88" i="5" s="1"/>
  <c r="BF94" i="5"/>
  <c r="BF97" i="5" s="1"/>
  <c r="BK71" i="5"/>
  <c r="BK88" i="5" s="1"/>
  <c r="BE71" i="5"/>
  <c r="BE88" i="5" s="1"/>
  <c r="BO71" i="5"/>
  <c r="BO88" i="5" s="1"/>
  <c r="CA71" i="5"/>
  <c r="CA88" i="5" s="1"/>
  <c r="BA94" i="5"/>
  <c r="BA97" i="5" s="1"/>
  <c r="BM94" i="5"/>
  <c r="BM97" i="5" s="1"/>
  <c r="BW94" i="5"/>
  <c r="BW97" i="5" s="1"/>
  <c r="BF71" i="5"/>
  <c r="BF88" i="5" s="1"/>
  <c r="BB94" i="5"/>
  <c r="BB97" i="5" s="1"/>
  <c r="BX94" i="5"/>
  <c r="BX97" i="5" s="1"/>
  <c r="BG71" i="5"/>
  <c r="BG88" i="5" s="1"/>
  <c r="BE94" i="5"/>
  <c r="BE97" i="5" s="1"/>
  <c r="BH71" i="5"/>
  <c r="BH88" i="5" s="1"/>
  <c r="BP94" i="5"/>
  <c r="BP97" i="5" s="1"/>
  <c r="BU71" i="5"/>
  <c r="BU88" i="5" s="1"/>
  <c r="BH94" i="5"/>
  <c r="BH97" i="5" s="1"/>
  <c r="BQ94" i="5"/>
  <c r="BQ97" i="5" s="1"/>
  <c r="BR94" i="5"/>
  <c r="BR97" i="5" s="1"/>
  <c r="BL71" i="5"/>
  <c r="BL88" i="5" s="1"/>
  <c r="BV71" i="5"/>
  <c r="BV88" i="5" s="1"/>
  <c r="AZ71" i="5"/>
  <c r="BG94" i="5"/>
  <c r="BG97" i="5" s="1"/>
  <c r="BK25" i="5"/>
  <c r="AG50" i="6" s="1"/>
  <c r="AG73" i="6" s="1"/>
  <c r="BK66" i="5"/>
  <c r="BK33" i="5"/>
  <c r="BK55" i="5"/>
  <c r="BK57" i="5"/>
  <c r="BK27" i="5"/>
  <c r="BK64" i="5"/>
  <c r="BK50" i="5"/>
  <c r="BN27" i="5"/>
  <c r="BN50" i="5"/>
  <c r="BN57" i="5"/>
  <c r="BN64" i="5"/>
  <c r="BN33" i="5"/>
  <c r="BN25" i="5"/>
  <c r="AJ50" i="6" s="1"/>
  <c r="AJ73" i="6" s="1"/>
  <c r="BN55" i="5"/>
  <c r="BN66" i="5"/>
  <c r="BY33" i="5"/>
  <c r="BY64" i="5"/>
  <c r="BY55" i="5"/>
  <c r="BY66" i="5"/>
  <c r="BY25" i="5"/>
  <c r="BY27" i="5"/>
  <c r="BY57" i="5"/>
  <c r="BY50" i="5"/>
  <c r="BU57" i="5"/>
  <c r="BU25" i="5"/>
  <c r="BU50" i="5"/>
  <c r="BU27" i="5"/>
  <c r="BU64" i="5"/>
  <c r="BU33" i="5"/>
  <c r="BU66" i="5"/>
  <c r="BU55" i="5"/>
  <c r="BM57" i="5"/>
  <c r="BM50" i="5"/>
  <c r="BM25" i="5"/>
  <c r="AI50" i="6" s="1"/>
  <c r="AI73" i="6" s="1"/>
  <c r="BM66" i="5"/>
  <c r="BM55" i="5"/>
  <c r="BM27" i="5"/>
  <c r="BM33" i="5"/>
  <c r="BM64" i="5"/>
  <c r="BO55" i="5"/>
  <c r="BO27" i="5"/>
  <c r="BO50" i="5"/>
  <c r="BO64" i="5"/>
  <c r="BO25" i="5"/>
  <c r="AK50" i="6" s="1"/>
  <c r="AK73" i="6" s="1"/>
  <c r="BO57" i="5"/>
  <c r="BO66" i="5"/>
  <c r="BO33" i="5"/>
  <c r="BX64" i="5"/>
  <c r="BX27" i="5"/>
  <c r="BX55" i="5"/>
  <c r="BX25" i="5"/>
  <c r="BX50" i="5"/>
  <c r="BX57" i="5"/>
  <c r="BX33" i="5"/>
  <c r="BX66" i="5"/>
  <c r="BG55" i="5"/>
  <c r="BG27" i="5"/>
  <c r="BG66" i="5"/>
  <c r="BG25" i="5"/>
  <c r="AC50" i="6" s="1"/>
  <c r="AC73" i="6" s="1"/>
  <c r="BG57" i="5"/>
  <c r="BG33" i="5"/>
  <c r="BG50" i="5"/>
  <c r="BG64" i="5"/>
  <c r="BD25" i="5"/>
  <c r="Z50" i="6" s="1"/>
  <c r="Z73" i="6" s="1"/>
  <c r="BD27" i="5"/>
  <c r="BD55" i="5"/>
  <c r="BD64" i="5" s="1"/>
  <c r="BD33" i="5"/>
  <c r="BZ33" i="5"/>
  <c r="BZ50" i="5"/>
  <c r="BZ64" i="5"/>
  <c r="BZ55" i="5"/>
  <c r="BZ27" i="5"/>
  <c r="BZ57" i="5"/>
  <c r="BZ25" i="5"/>
  <c r="BZ66" i="5"/>
  <c r="BI33" i="5"/>
  <c r="BI64" i="5"/>
  <c r="BI55" i="5"/>
  <c r="BI27" i="5"/>
  <c r="BI57" i="5"/>
  <c r="BI66" i="5"/>
  <c r="BI50" i="5"/>
  <c r="BI25" i="5"/>
  <c r="AE50" i="6" s="1"/>
  <c r="AE73" i="6" s="1"/>
  <c r="BP64" i="5"/>
  <c r="BP55" i="5"/>
  <c r="BP27" i="5"/>
  <c r="BP33" i="5"/>
  <c r="BP50" i="5"/>
  <c r="BP25" i="5"/>
  <c r="AL50" i="6" s="1"/>
  <c r="AL73" i="6" s="1"/>
  <c r="BP57" i="5"/>
  <c r="BP66" i="5"/>
  <c r="BE57" i="5"/>
  <c r="BE25" i="5"/>
  <c r="AA50" i="6" s="1"/>
  <c r="AA73" i="6" s="1"/>
  <c r="BE50" i="5"/>
  <c r="BE33" i="5"/>
  <c r="BE64" i="5"/>
  <c r="BE55" i="5"/>
  <c r="BE66" i="5"/>
  <c r="BE27" i="5"/>
  <c r="AZ55" i="5"/>
  <c r="AZ27" i="5"/>
  <c r="AZ33" i="5"/>
  <c r="AZ25" i="5"/>
  <c r="V50" i="6" s="1"/>
  <c r="AY55" i="5"/>
  <c r="AY27" i="5"/>
  <c r="AY25" i="5"/>
  <c r="U50" i="6" s="1"/>
  <c r="AY33" i="5"/>
  <c r="BL50" i="5"/>
  <c r="BL25" i="5"/>
  <c r="AH50" i="6" s="1"/>
  <c r="AH73" i="6" s="1"/>
  <c r="BL66" i="5"/>
  <c r="BL55" i="5"/>
  <c r="BL57" i="5"/>
  <c r="BL27" i="5"/>
  <c r="BL33" i="5"/>
  <c r="BL64" i="5"/>
  <c r="BW55" i="5"/>
  <c r="BW27" i="5"/>
  <c r="BW57" i="5"/>
  <c r="BW50" i="5"/>
  <c r="BW33" i="5"/>
  <c r="BW66" i="5"/>
  <c r="BW25" i="5"/>
  <c r="BW64" i="5"/>
  <c r="BC25" i="5"/>
  <c r="Y50" i="6" s="1"/>
  <c r="Y73" i="6" s="1"/>
  <c r="BC33" i="5"/>
  <c r="BC27" i="5"/>
  <c r="BC55" i="5"/>
  <c r="BC64" i="5" s="1"/>
  <c r="BQ33" i="5"/>
  <c r="BQ55" i="5"/>
  <c r="BQ64" i="5"/>
  <c r="BQ66" i="5"/>
  <c r="BQ50" i="5"/>
  <c r="BQ25" i="5"/>
  <c r="AM50" i="6" s="1"/>
  <c r="AM73" i="6" s="1"/>
  <c r="BQ57" i="5"/>
  <c r="BQ27" i="5"/>
  <c r="BV27" i="5"/>
  <c r="BV57" i="5"/>
  <c r="BV50" i="5"/>
  <c r="BV55" i="5"/>
  <c r="BV25" i="5"/>
  <c r="BV64" i="5"/>
  <c r="BV33" i="5"/>
  <c r="BV66" i="5"/>
  <c r="BS25" i="5"/>
  <c r="BS66" i="5"/>
  <c r="BS33" i="5"/>
  <c r="BS57" i="5"/>
  <c r="BS64" i="5"/>
  <c r="BS50" i="5"/>
  <c r="BS55" i="5"/>
  <c r="BS27" i="5"/>
  <c r="BB33" i="5"/>
  <c r="BB25" i="5"/>
  <c r="X50" i="6" s="1"/>
  <c r="BB27" i="5"/>
  <c r="BB55" i="5"/>
  <c r="BA33" i="5"/>
  <c r="BA55" i="5"/>
  <c r="BA27" i="5"/>
  <c r="BA25" i="5"/>
  <c r="W50" i="6" s="1"/>
  <c r="BH64" i="5"/>
  <c r="BH27" i="5"/>
  <c r="BH55" i="5"/>
  <c r="BH57" i="5"/>
  <c r="BH25" i="5"/>
  <c r="AD50" i="6" s="1"/>
  <c r="AD73" i="6" s="1"/>
  <c r="BH66" i="5"/>
  <c r="BH33" i="5"/>
  <c r="BH50" i="5"/>
  <c r="K39" i="5"/>
  <c r="H29" i="5"/>
  <c r="AX71" i="5"/>
  <c r="AX94" i="5"/>
  <c r="AX97" i="5" s="1"/>
  <c r="Q3" i="1"/>
  <c r="AX55" i="5"/>
  <c r="AY56" i="5" l="1"/>
  <c r="AY64" i="5" s="1"/>
  <c r="U40" i="6" s="1"/>
  <c r="U39" i="6" s="1"/>
  <c r="AZ56" i="5"/>
  <c r="V61" i="6" s="1"/>
  <c r="BB56" i="5"/>
  <c r="BB64" i="5" s="1"/>
  <c r="X40" i="6" s="1"/>
  <c r="BA56" i="5"/>
  <c r="W62" i="6" s="1"/>
  <c r="AH58" i="6"/>
  <c r="AH60" i="6"/>
  <c r="AH64" i="6"/>
  <c r="AH68" i="6"/>
  <c r="AH72" i="6"/>
  <c r="AH62" i="6"/>
  <c r="AH70" i="6"/>
  <c r="AH59" i="6"/>
  <c r="AH63" i="6"/>
  <c r="AH67" i="6"/>
  <c r="AH71" i="6"/>
  <c r="AH66" i="6"/>
  <c r="AH61" i="6"/>
  <c r="AH69" i="6"/>
  <c r="AH65" i="6"/>
  <c r="AA58" i="6"/>
  <c r="AA60" i="6"/>
  <c r="AA68" i="6"/>
  <c r="AA72" i="6"/>
  <c r="AA64" i="6"/>
  <c r="AA59" i="6"/>
  <c r="AA63" i="6"/>
  <c r="AA67" i="6"/>
  <c r="AA71" i="6"/>
  <c r="AA69" i="6"/>
  <c r="AA70" i="6"/>
  <c r="AA65" i="6"/>
  <c r="AA66" i="6"/>
  <c r="AA61" i="6"/>
  <c r="AA62" i="6"/>
  <c r="Z58" i="6"/>
  <c r="Z60" i="6"/>
  <c r="Z64" i="6"/>
  <c r="Z68" i="6"/>
  <c r="Z72" i="6"/>
  <c r="Z70" i="6"/>
  <c r="Z66" i="6"/>
  <c r="Z59" i="6"/>
  <c r="Z63" i="6"/>
  <c r="Z67" i="6"/>
  <c r="Z71" i="6"/>
  <c r="Z62" i="6"/>
  <c r="Z65" i="6"/>
  <c r="Z69" i="6"/>
  <c r="Z61" i="6"/>
  <c r="AG58" i="6"/>
  <c r="AG59" i="6"/>
  <c r="AG63" i="6"/>
  <c r="AG67" i="6"/>
  <c r="AG71" i="6"/>
  <c r="AG62" i="6"/>
  <c r="AG66" i="6"/>
  <c r="AG70" i="6"/>
  <c r="AG60" i="6"/>
  <c r="AG72" i="6"/>
  <c r="AG69" i="6"/>
  <c r="AG68" i="6"/>
  <c r="AG65" i="6"/>
  <c r="AG64" i="6"/>
  <c r="AG61" i="6"/>
  <c r="AB58" i="6"/>
  <c r="AB61" i="6"/>
  <c r="AB65" i="6"/>
  <c r="AB69" i="6"/>
  <c r="AB63" i="6"/>
  <c r="AB71" i="6"/>
  <c r="AB60" i="6"/>
  <c r="AB64" i="6"/>
  <c r="AB68" i="6"/>
  <c r="AB72" i="6"/>
  <c r="AB59" i="6"/>
  <c r="AB67" i="6"/>
  <c r="AB70" i="6"/>
  <c r="AB66" i="6"/>
  <c r="AB62" i="6"/>
  <c r="Y58" i="6"/>
  <c r="Y59" i="6"/>
  <c r="Y63" i="6"/>
  <c r="Y71" i="6"/>
  <c r="Y61" i="6"/>
  <c r="Y67" i="6"/>
  <c r="Y62" i="6"/>
  <c r="Y66" i="6"/>
  <c r="Y70" i="6"/>
  <c r="Y65" i="6"/>
  <c r="Y64" i="6"/>
  <c r="Y69" i="6"/>
  <c r="Y72" i="6"/>
  <c r="Y60" i="6"/>
  <c r="Y68" i="6"/>
  <c r="AI58" i="6"/>
  <c r="AI60" i="6"/>
  <c r="AI64" i="6"/>
  <c r="AI68" i="6"/>
  <c r="AI72" i="6"/>
  <c r="AI59" i="6"/>
  <c r="AI63" i="6"/>
  <c r="AI67" i="6"/>
  <c r="AI71" i="6"/>
  <c r="AI65" i="6"/>
  <c r="AI62" i="6"/>
  <c r="AI69" i="6"/>
  <c r="AI70" i="6"/>
  <c r="AI66" i="6"/>
  <c r="AI61" i="6"/>
  <c r="AJ58" i="6"/>
  <c r="AJ61" i="6"/>
  <c r="AJ65" i="6"/>
  <c r="AJ69" i="6"/>
  <c r="AJ71" i="6"/>
  <c r="AJ59" i="6"/>
  <c r="AJ67" i="6"/>
  <c r="AJ60" i="6"/>
  <c r="AJ64" i="6"/>
  <c r="AJ68" i="6"/>
  <c r="AJ72" i="6"/>
  <c r="AJ63" i="6"/>
  <c r="AJ62" i="6"/>
  <c r="AJ66" i="6"/>
  <c r="AJ70" i="6"/>
  <c r="AF58" i="6"/>
  <c r="AF59" i="6"/>
  <c r="AF63" i="6"/>
  <c r="AF67" i="6"/>
  <c r="AF71" i="6"/>
  <c r="AF61" i="6"/>
  <c r="AF65" i="6"/>
  <c r="AF62" i="6"/>
  <c r="AF66" i="6"/>
  <c r="AF70" i="6"/>
  <c r="AF69" i="6"/>
  <c r="AF68" i="6"/>
  <c r="AF60" i="6"/>
  <c r="AF72" i="6"/>
  <c r="AF64" i="6"/>
  <c r="AD58" i="6"/>
  <c r="AD62" i="6"/>
  <c r="AD66" i="6"/>
  <c r="AD70" i="6"/>
  <c r="AD68" i="6"/>
  <c r="AD61" i="6"/>
  <c r="AD65" i="6"/>
  <c r="AD69" i="6"/>
  <c r="AD60" i="6"/>
  <c r="AD64" i="6"/>
  <c r="AD72" i="6"/>
  <c r="AD63" i="6"/>
  <c r="AD67" i="6"/>
  <c r="AD71" i="6"/>
  <c r="AD59" i="6"/>
  <c r="AE58" i="6"/>
  <c r="AE62" i="6"/>
  <c r="AE66" i="6"/>
  <c r="AE70" i="6"/>
  <c r="AE60" i="6"/>
  <c r="AE61" i="6"/>
  <c r="AE65" i="6"/>
  <c r="AE69" i="6"/>
  <c r="AE59" i="6"/>
  <c r="AE68" i="6"/>
  <c r="AE63" i="6"/>
  <c r="AE71" i="6"/>
  <c r="AE67" i="6"/>
  <c r="AE64" i="6"/>
  <c r="AE72" i="6"/>
  <c r="AM58" i="6"/>
  <c r="AM62" i="6"/>
  <c r="AM66" i="6"/>
  <c r="AM70" i="6"/>
  <c r="AM60" i="6"/>
  <c r="AM61" i="6"/>
  <c r="AM65" i="6"/>
  <c r="AM69" i="6"/>
  <c r="AM71" i="6"/>
  <c r="AM72" i="6"/>
  <c r="AM59" i="6"/>
  <c r="AM67" i="6"/>
  <c r="AM64" i="6"/>
  <c r="AM68" i="6"/>
  <c r="AM63" i="6"/>
  <c r="AL58" i="6"/>
  <c r="AL62" i="6"/>
  <c r="AL66" i="6"/>
  <c r="AL70" i="6"/>
  <c r="AL60" i="6"/>
  <c r="AL64" i="6"/>
  <c r="AL72" i="6"/>
  <c r="AL61" i="6"/>
  <c r="AL65" i="6"/>
  <c r="AL69" i="6"/>
  <c r="AL68" i="6"/>
  <c r="AL59" i="6"/>
  <c r="AL67" i="6"/>
  <c r="AL71" i="6"/>
  <c r="AL63" i="6"/>
  <c r="AC58" i="6"/>
  <c r="AC61" i="6"/>
  <c r="AC65" i="6"/>
  <c r="AC69" i="6"/>
  <c r="AC60" i="6"/>
  <c r="AC64" i="6"/>
  <c r="AC68" i="6"/>
  <c r="AC72" i="6"/>
  <c r="AC59" i="6"/>
  <c r="AC70" i="6"/>
  <c r="AC71" i="6"/>
  <c r="AC66" i="6"/>
  <c r="AC67" i="6"/>
  <c r="AC62" i="6"/>
  <c r="AC63" i="6"/>
  <c r="X63" i="6"/>
  <c r="X66" i="6"/>
  <c r="X65" i="6"/>
  <c r="AK58" i="6"/>
  <c r="AK61" i="6"/>
  <c r="AK65" i="6"/>
  <c r="AK69" i="6"/>
  <c r="AK59" i="6"/>
  <c r="AK60" i="6"/>
  <c r="AK64" i="6"/>
  <c r="AK68" i="6"/>
  <c r="AK72" i="6"/>
  <c r="AK67" i="6"/>
  <c r="AK62" i="6"/>
  <c r="AK66" i="6"/>
  <c r="AK63" i="6"/>
  <c r="AK70" i="6"/>
  <c r="AK71" i="6"/>
  <c r="AH54" i="6"/>
  <c r="AH55" i="6"/>
  <c r="AH53" i="6"/>
  <c r="AH56" i="6"/>
  <c r="AA55" i="6"/>
  <c r="AA54" i="6"/>
  <c r="AA53" i="6"/>
  <c r="AA56" i="6"/>
  <c r="Z54" i="6"/>
  <c r="Z55" i="6"/>
  <c r="Z53" i="6"/>
  <c r="Z56" i="6"/>
  <c r="AG54" i="6"/>
  <c r="AG53" i="6"/>
  <c r="AG55" i="6"/>
  <c r="AG56" i="6"/>
  <c r="AB55" i="6"/>
  <c r="AB56" i="6"/>
  <c r="AB54" i="6"/>
  <c r="AB53" i="6"/>
  <c r="AI55" i="6"/>
  <c r="AI54" i="6"/>
  <c r="AI53" i="6"/>
  <c r="AI56" i="6"/>
  <c r="AJ55" i="6"/>
  <c r="AJ54" i="6"/>
  <c r="AJ53" i="6"/>
  <c r="AJ56" i="6"/>
  <c r="AF54" i="6"/>
  <c r="AF53" i="6"/>
  <c r="AF56" i="6"/>
  <c r="AF55" i="6"/>
  <c r="AD56" i="6"/>
  <c r="AD55" i="6"/>
  <c r="AD54" i="6"/>
  <c r="AD53" i="6"/>
  <c r="AE53" i="6"/>
  <c r="AE56" i="6"/>
  <c r="AE55" i="6"/>
  <c r="AE54" i="6"/>
  <c r="AM53" i="6"/>
  <c r="AM56" i="6"/>
  <c r="AM54" i="6"/>
  <c r="AM55" i="6"/>
  <c r="AL56" i="6"/>
  <c r="AL53" i="6"/>
  <c r="AL55" i="6"/>
  <c r="AL54" i="6"/>
  <c r="AC56" i="6"/>
  <c r="AC55" i="6"/>
  <c r="AC54" i="6"/>
  <c r="AC53" i="6"/>
  <c r="Y54" i="6"/>
  <c r="Y53" i="6"/>
  <c r="Y56" i="6"/>
  <c r="Y55" i="6"/>
  <c r="AK56" i="6"/>
  <c r="AK55" i="6"/>
  <c r="AK53" i="6"/>
  <c r="AK54" i="6"/>
  <c r="AA40" i="6"/>
  <c r="AA52" i="6"/>
  <c r="AB40" i="6"/>
  <c r="AB52" i="6"/>
  <c r="Z40" i="6"/>
  <c r="Z52" i="6"/>
  <c r="AI40" i="6"/>
  <c r="AI52" i="6"/>
  <c r="AJ40" i="6"/>
  <c r="AJ52" i="6"/>
  <c r="AF40" i="6"/>
  <c r="AF52" i="6"/>
  <c r="AG40" i="6"/>
  <c r="AG52" i="6"/>
  <c r="AD40" i="6"/>
  <c r="AD52" i="6"/>
  <c r="AE40" i="6"/>
  <c r="AE52" i="6"/>
  <c r="AM40" i="6"/>
  <c r="AM52" i="6"/>
  <c r="AL40" i="6"/>
  <c r="AL52" i="6"/>
  <c r="AC40" i="6"/>
  <c r="AC52" i="6"/>
  <c r="Y40" i="6"/>
  <c r="Y52" i="6"/>
  <c r="AH40" i="6"/>
  <c r="AH52" i="6"/>
  <c r="AK40" i="6"/>
  <c r="AK52" i="6"/>
  <c r="BC50" i="5"/>
  <c r="BC57" i="5" s="1"/>
  <c r="BC66" i="5" s="1"/>
  <c r="BD50" i="5"/>
  <c r="BD57" i="5" s="1"/>
  <c r="BD66" i="5" s="1"/>
  <c r="BB50" i="5"/>
  <c r="AZ50" i="5"/>
  <c r="AY50" i="5"/>
  <c r="BA50" i="5"/>
  <c r="AZ82" i="5"/>
  <c r="AZ87" i="5"/>
  <c r="AZ74" i="5"/>
  <c r="V95" i="6" s="1"/>
  <c r="BH89" i="5"/>
  <c r="BH82" i="5"/>
  <c r="BH87" i="5"/>
  <c r="BH74" i="5"/>
  <c r="BH101" i="5"/>
  <c r="BS87" i="5"/>
  <c r="BS82" i="5"/>
  <c r="BS89" i="5"/>
  <c r="BS101" i="5"/>
  <c r="BS74" i="5"/>
  <c r="AO95" i="6" s="1"/>
  <c r="BD74" i="5"/>
  <c r="BD82" i="5"/>
  <c r="BD87" i="5"/>
  <c r="BD101" i="5" s="1"/>
  <c r="BM74" i="5"/>
  <c r="AI95" i="6" s="1"/>
  <c r="BM87" i="5"/>
  <c r="BM82" i="5"/>
  <c r="BM89" i="5"/>
  <c r="BM101" i="5"/>
  <c r="BB87" i="5"/>
  <c r="BB74" i="5"/>
  <c r="BB82" i="5"/>
  <c r="BA74" i="5"/>
  <c r="BA87" i="5"/>
  <c r="BA88" i="5" s="1"/>
  <c r="BA82" i="5"/>
  <c r="BU74" i="5"/>
  <c r="AQ95" i="6" s="1"/>
  <c r="BU89" i="5"/>
  <c r="BU82" i="5"/>
  <c r="BU101" i="5"/>
  <c r="BU87" i="5"/>
  <c r="BT74" i="5"/>
  <c r="AP95" i="6" s="1"/>
  <c r="BT101" i="5"/>
  <c r="BT82" i="5"/>
  <c r="BT89" i="5"/>
  <c r="BT87" i="5"/>
  <c r="BX89" i="5"/>
  <c r="BX82" i="5"/>
  <c r="BX74" i="5"/>
  <c r="AT95" i="6" s="1"/>
  <c r="BX87" i="5"/>
  <c r="BX101" i="5"/>
  <c r="BR87" i="5"/>
  <c r="BR101" i="5"/>
  <c r="BR89" i="5"/>
  <c r="BR74" i="5"/>
  <c r="AN95" i="6" s="1"/>
  <c r="BR82" i="5"/>
  <c r="BQ101" i="5"/>
  <c r="BQ89" i="5"/>
  <c r="BQ74" i="5"/>
  <c r="AM95" i="6" s="1"/>
  <c r="BQ87" i="5"/>
  <c r="BQ82" i="5"/>
  <c r="BV87" i="5"/>
  <c r="BV89" i="5"/>
  <c r="BV82" i="5"/>
  <c r="BV74" i="5"/>
  <c r="AR95" i="6" s="1"/>
  <c r="BV101" i="5"/>
  <c r="CA87" i="5"/>
  <c r="CA101" i="5"/>
  <c r="CA74" i="5"/>
  <c r="AW95" i="6" s="1"/>
  <c r="CA82" i="5"/>
  <c r="CA89" i="5"/>
  <c r="AY82" i="5"/>
  <c r="AY74" i="5"/>
  <c r="AY87" i="5"/>
  <c r="BC87" i="5"/>
  <c r="BC101" i="5"/>
  <c r="BC82" i="5"/>
  <c r="BC74" i="5"/>
  <c r="BN87" i="5"/>
  <c r="BN82" i="5"/>
  <c r="BN74" i="5"/>
  <c r="AJ95" i="6" s="1"/>
  <c r="BN89" i="5"/>
  <c r="BN101" i="5"/>
  <c r="BW82" i="5"/>
  <c r="BW89" i="5"/>
  <c r="BW87" i="5"/>
  <c r="BW74" i="5"/>
  <c r="AS95" i="6" s="1"/>
  <c r="BW101" i="5"/>
  <c r="BJ87" i="5"/>
  <c r="BJ101" i="5"/>
  <c r="BJ82" i="5"/>
  <c r="BJ74" i="5"/>
  <c r="AF95" i="6" s="1"/>
  <c r="BJ89" i="5"/>
  <c r="BI101" i="5"/>
  <c r="BI89" i="5"/>
  <c r="BI82" i="5"/>
  <c r="BI74" i="5"/>
  <c r="BI87" i="5"/>
  <c r="BL74" i="5"/>
  <c r="AH95" i="6" s="1"/>
  <c r="BL87" i="5"/>
  <c r="BL82" i="5"/>
  <c r="BL101" i="5"/>
  <c r="BL89" i="5"/>
  <c r="BG82" i="5"/>
  <c r="BG74" i="5"/>
  <c r="BG89" i="5"/>
  <c r="BG101" i="5"/>
  <c r="BG87" i="5"/>
  <c r="BO82" i="5"/>
  <c r="BO101" i="5"/>
  <c r="BO87" i="5"/>
  <c r="BO89" i="5"/>
  <c r="BO74" i="5"/>
  <c r="AK95" i="6" s="1"/>
  <c r="BP89" i="5"/>
  <c r="BP82" i="5"/>
  <c r="BP74" i="5"/>
  <c r="AL95" i="6" s="1"/>
  <c r="BP101" i="5"/>
  <c r="BP87" i="5"/>
  <c r="BE74" i="5"/>
  <c r="BE101" i="5"/>
  <c r="BE82" i="5"/>
  <c r="BE87" i="5"/>
  <c r="BE89" i="5"/>
  <c r="BK87" i="5"/>
  <c r="BK101" i="5"/>
  <c r="BK82" i="5"/>
  <c r="BK89" i="5"/>
  <c r="BK74" i="5"/>
  <c r="AG95" i="6" s="1"/>
  <c r="BF74" i="5"/>
  <c r="AB95" i="6" s="1"/>
  <c r="BF89" i="5"/>
  <c r="BF101" i="5"/>
  <c r="BF87" i="5"/>
  <c r="BF82" i="5"/>
  <c r="BZ87" i="5"/>
  <c r="BZ101" i="5"/>
  <c r="BZ74" i="5"/>
  <c r="AV95" i="6" s="1"/>
  <c r="BZ82" i="5"/>
  <c r="BZ89" i="5"/>
  <c r="BY101" i="5"/>
  <c r="BY89" i="5"/>
  <c r="BY87" i="5"/>
  <c r="BY82" i="5"/>
  <c r="BY74" i="5"/>
  <c r="AU95" i="6" s="1"/>
  <c r="M35" i="5"/>
  <c r="AC39" i="6"/>
  <c r="P34" i="5"/>
  <c r="P35" i="5"/>
  <c r="AJ34" i="5"/>
  <c r="AJ35" i="5"/>
  <c r="AD39" i="6"/>
  <c r="Q34" i="5"/>
  <c r="Q35" i="5"/>
  <c r="AE39" i="6"/>
  <c r="R35" i="5"/>
  <c r="R34" i="5"/>
  <c r="AB39" i="6"/>
  <c r="O35" i="5"/>
  <c r="O34" i="5"/>
  <c r="N34" i="5"/>
  <c r="N35" i="5"/>
  <c r="I29" i="5"/>
  <c r="I37" i="5"/>
  <c r="J38" i="5"/>
  <c r="J39" i="5"/>
  <c r="S29" i="5"/>
  <c r="S28" i="5"/>
  <c r="U28" i="5"/>
  <c r="U29" i="5"/>
  <c r="X29" i="5"/>
  <c r="X28" i="5"/>
  <c r="Y29" i="5"/>
  <c r="Y28" i="5"/>
  <c r="AI29" i="5"/>
  <c r="AI28" i="5"/>
  <c r="T28" i="5"/>
  <c r="T29" i="5"/>
  <c r="AD28" i="5"/>
  <c r="AD29" i="5"/>
  <c r="AG29" i="5"/>
  <c r="AG28" i="5"/>
  <c r="R29" i="5"/>
  <c r="R28" i="5"/>
  <c r="P29" i="5"/>
  <c r="P28" i="5"/>
  <c r="AJ29" i="5"/>
  <c r="AJ28" i="5"/>
  <c r="AB28" i="5"/>
  <c r="AB29" i="5"/>
  <c r="AH29" i="5"/>
  <c r="AH28" i="5"/>
  <c r="K28" i="5"/>
  <c r="K29" i="5"/>
  <c r="V28" i="5"/>
  <c r="V29" i="5"/>
  <c r="AC28" i="5"/>
  <c r="AC29" i="5"/>
  <c r="J28" i="5"/>
  <c r="J29" i="5"/>
  <c r="Z29" i="5"/>
  <c r="Z28" i="5"/>
  <c r="AA29" i="5"/>
  <c r="AA28" i="5"/>
  <c r="O29" i="5"/>
  <c r="O28" i="5"/>
  <c r="AF29" i="5"/>
  <c r="AF28" i="5"/>
  <c r="L28" i="5"/>
  <c r="L29" i="5"/>
  <c r="M29" i="5"/>
  <c r="M28" i="5"/>
  <c r="AE28" i="5"/>
  <c r="AE29" i="5"/>
  <c r="N29" i="5"/>
  <c r="N28" i="5"/>
  <c r="W28" i="5"/>
  <c r="W29" i="5"/>
  <c r="Q29" i="5"/>
  <c r="Q28" i="5"/>
  <c r="M41" i="5"/>
  <c r="M42" i="5"/>
  <c r="M39" i="5"/>
  <c r="M40" i="5"/>
  <c r="M38" i="5"/>
  <c r="M37" i="5"/>
  <c r="L36" i="5"/>
  <c r="L37" i="5"/>
  <c r="M34" i="5"/>
  <c r="M36" i="5"/>
  <c r="L41" i="5"/>
  <c r="L35" i="5"/>
  <c r="K35" i="5"/>
  <c r="K36" i="5"/>
  <c r="J37" i="5"/>
  <c r="J35" i="5"/>
  <c r="I36" i="5"/>
  <c r="I28" i="5"/>
  <c r="H28" i="5"/>
  <c r="H30" i="5"/>
  <c r="AJ39" i="6"/>
  <c r="AF39" i="6"/>
  <c r="AL39" i="6"/>
  <c r="AI39" i="6"/>
  <c r="AK39" i="6"/>
  <c r="AM39" i="6"/>
  <c r="AH39" i="6"/>
  <c r="AG39" i="6"/>
  <c r="L39" i="5"/>
  <c r="L40" i="5"/>
  <c r="K38" i="5"/>
  <c r="K40" i="5"/>
  <c r="L34" i="5"/>
  <c r="L38" i="5"/>
  <c r="K34" i="5"/>
  <c r="K37" i="5"/>
  <c r="J34" i="5"/>
  <c r="J36" i="5"/>
  <c r="I34" i="5"/>
  <c r="I35" i="5"/>
  <c r="H34" i="5"/>
  <c r="H35" i="5"/>
  <c r="AX82" i="5"/>
  <c r="AX87" i="5"/>
  <c r="AX88" i="5" s="1"/>
  <c r="AX101" i="5" s="1"/>
  <c r="AK74" i="6"/>
  <c r="AL74" i="6"/>
  <c r="AG74" i="6"/>
  <c r="AI74" i="6"/>
  <c r="AH74" i="6"/>
  <c r="AJ74" i="6"/>
  <c r="AM74" i="6"/>
  <c r="AF74" i="6"/>
  <c r="Y39" i="6"/>
  <c r="Z39" i="6"/>
  <c r="AX74" i="5"/>
  <c r="T37" i="6" s="1"/>
  <c r="AI57" i="6"/>
  <c r="AK57" i="6"/>
  <c r="AM57" i="6"/>
  <c r="AL57" i="6"/>
  <c r="AH57" i="6"/>
  <c r="AJ57" i="6"/>
  <c r="AK51" i="6"/>
  <c r="AJ51" i="6"/>
  <c r="AI51" i="6"/>
  <c r="AH51" i="6"/>
  <c r="AM51" i="6"/>
  <c r="AL51" i="6"/>
  <c r="C119" i="6"/>
  <c r="E119" i="6"/>
  <c r="C114" i="6"/>
  <c r="C109" i="6"/>
  <c r="E109" i="6"/>
  <c r="C104" i="6"/>
  <c r="E104" i="6"/>
  <c r="C99" i="6"/>
  <c r="E99" i="6"/>
  <c r="X52" i="6" l="1"/>
  <c r="X58" i="6"/>
  <c r="X55" i="6"/>
  <c r="X56" i="6"/>
  <c r="X53" i="6"/>
  <c r="X64" i="6"/>
  <c r="X67" i="6"/>
  <c r="X73" i="6"/>
  <c r="U73" i="6"/>
  <c r="V54" i="6"/>
  <c r="AY57" i="5"/>
  <c r="AY66" i="5" s="1"/>
  <c r="V55" i="6"/>
  <c r="V56" i="6"/>
  <c r="V63" i="6"/>
  <c r="U59" i="6"/>
  <c r="W58" i="6"/>
  <c r="U58" i="6"/>
  <c r="U53" i="6"/>
  <c r="U70" i="6"/>
  <c r="U72" i="6"/>
  <c r="AZ57" i="5"/>
  <c r="X62" i="6"/>
  <c r="V72" i="6"/>
  <c r="BB57" i="5"/>
  <c r="BB66" i="5" s="1"/>
  <c r="V58" i="6"/>
  <c r="X60" i="6"/>
  <c r="X69" i="6"/>
  <c r="V68" i="6"/>
  <c r="X72" i="6"/>
  <c r="X61" i="6"/>
  <c r="X68" i="6"/>
  <c r="X71" i="6"/>
  <c r="V52" i="6"/>
  <c r="V53" i="6"/>
  <c r="X54" i="6"/>
  <c r="X70" i="6"/>
  <c r="X59" i="6"/>
  <c r="V59" i="6"/>
  <c r="W68" i="6"/>
  <c r="U67" i="6"/>
  <c r="U69" i="6"/>
  <c r="U66" i="6"/>
  <c r="U65" i="6"/>
  <c r="U52" i="6"/>
  <c r="U54" i="6"/>
  <c r="U71" i="6"/>
  <c r="U61" i="6"/>
  <c r="U55" i="6"/>
  <c r="U68" i="6"/>
  <c r="U56" i="6"/>
  <c r="U63" i="6"/>
  <c r="U64" i="6"/>
  <c r="BB88" i="5"/>
  <c r="BB101" i="5" s="1"/>
  <c r="U62" i="6"/>
  <c r="U60" i="6"/>
  <c r="AZ88" i="5"/>
  <c r="AZ101" i="5" s="1"/>
  <c r="AY88" i="5"/>
  <c r="AY89" i="5" s="1"/>
  <c r="V67" i="6"/>
  <c r="V64" i="6"/>
  <c r="W69" i="6"/>
  <c r="W54" i="6"/>
  <c r="W64" i="6"/>
  <c r="W65" i="6"/>
  <c r="BA57" i="5"/>
  <c r="W55" i="6"/>
  <c r="V71" i="6"/>
  <c r="V70" i="6"/>
  <c r="W59" i="6"/>
  <c r="W61" i="6"/>
  <c r="AZ64" i="5"/>
  <c r="W56" i="6"/>
  <c r="V60" i="6"/>
  <c r="V66" i="6"/>
  <c r="W67" i="6"/>
  <c r="W60" i="6"/>
  <c r="W53" i="6"/>
  <c r="V69" i="6"/>
  <c r="V62" i="6"/>
  <c r="W72" i="6"/>
  <c r="W70" i="6"/>
  <c r="W52" i="6"/>
  <c r="V65" i="6"/>
  <c r="W63" i="6"/>
  <c r="W66" i="6"/>
  <c r="BA64" i="5"/>
  <c r="W71" i="6"/>
  <c r="BD89" i="5"/>
  <c r="BC89" i="5"/>
  <c r="BA89" i="5"/>
  <c r="BA101" i="5"/>
  <c r="AA39" i="6"/>
  <c r="X39" i="6"/>
  <c r="V37" i="6"/>
  <c r="AB37" i="6"/>
  <c r="AB83" i="6" s="1"/>
  <c r="T84" i="6"/>
  <c r="T87" i="6"/>
  <c r="T85" i="6"/>
  <c r="T86" i="6"/>
  <c r="T83" i="6"/>
  <c r="AG101" i="6"/>
  <c r="AG102" i="6" s="1"/>
  <c r="AG116" i="6"/>
  <c r="AG117" i="6" s="1"/>
  <c r="AG106" i="6"/>
  <c r="AG107" i="6" s="1"/>
  <c r="AG111" i="6"/>
  <c r="AG112" i="6" s="1"/>
  <c r="AG96" i="6"/>
  <c r="AG97" i="6" s="1"/>
  <c r="AC37" i="6"/>
  <c r="AC95" i="6"/>
  <c r="AI96" i="6"/>
  <c r="AI97" i="6" s="1"/>
  <c r="AI101" i="6"/>
  <c r="AI102" i="6" s="1"/>
  <c r="AI106" i="6"/>
  <c r="AI107" i="6" s="1"/>
  <c r="AI116" i="6"/>
  <c r="AI117" i="6" s="1"/>
  <c r="AI111" i="6"/>
  <c r="AI112" i="6" s="1"/>
  <c r="Y37" i="6"/>
  <c r="Y95" i="6"/>
  <c r="AM111" i="6"/>
  <c r="AM112" i="6" s="1"/>
  <c r="AM96" i="6"/>
  <c r="AM97" i="6" s="1"/>
  <c r="AM106" i="6"/>
  <c r="AM107" i="6" s="1"/>
  <c r="AM116" i="6"/>
  <c r="AM117" i="6" s="1"/>
  <c r="AM101" i="6"/>
  <c r="AM102" i="6" s="1"/>
  <c r="U37" i="6"/>
  <c r="U95" i="6"/>
  <c r="W37" i="6"/>
  <c r="W95" i="6"/>
  <c r="AU111" i="6"/>
  <c r="AU112" i="6" s="1"/>
  <c r="AU101" i="6"/>
  <c r="AU102" i="6" s="1"/>
  <c r="AU96" i="6"/>
  <c r="AU97" i="6" s="1"/>
  <c r="AU106" i="6"/>
  <c r="AU107" i="6" s="1"/>
  <c r="AU116" i="6"/>
  <c r="AU117" i="6" s="1"/>
  <c r="AA37" i="6"/>
  <c r="AA95" i="6"/>
  <c r="AQ96" i="6"/>
  <c r="AQ97" i="6" s="1"/>
  <c r="AQ101" i="6"/>
  <c r="AQ102" i="6" s="1"/>
  <c r="AQ106" i="6"/>
  <c r="AQ107" i="6" s="1"/>
  <c r="AQ116" i="6"/>
  <c r="AQ117" i="6" s="1"/>
  <c r="AQ111" i="6"/>
  <c r="AQ112" i="6" s="1"/>
  <c r="AP96" i="6"/>
  <c r="AP97" i="6" s="1"/>
  <c r="AP101" i="6"/>
  <c r="AP102" i="6" s="1"/>
  <c r="AP106" i="6"/>
  <c r="AP107" i="6" s="1"/>
  <c r="AP111" i="6"/>
  <c r="AP112" i="6" s="1"/>
  <c r="AP116" i="6"/>
  <c r="AP117" i="6" s="1"/>
  <c r="AN106" i="6"/>
  <c r="AN107" i="6" s="1"/>
  <c r="AN101" i="6"/>
  <c r="AN102" i="6" s="1"/>
  <c r="AN111" i="6"/>
  <c r="AN112" i="6" s="1"/>
  <c r="AN96" i="6"/>
  <c r="AN97" i="6" s="1"/>
  <c r="AN116" i="6"/>
  <c r="AN117" i="6" s="1"/>
  <c r="AL116" i="6"/>
  <c r="AL117" i="6" s="1"/>
  <c r="AL96" i="6"/>
  <c r="AL97" i="6" s="1"/>
  <c r="AL111" i="6"/>
  <c r="AL112" i="6" s="1"/>
  <c r="AL101" i="6"/>
  <c r="AL102" i="6" s="1"/>
  <c r="AL106" i="6"/>
  <c r="AL107" i="6" s="1"/>
  <c r="AJ96" i="6"/>
  <c r="AJ97" i="6" s="1"/>
  <c r="AJ101" i="6"/>
  <c r="AJ102" i="6" s="1"/>
  <c r="AJ106" i="6"/>
  <c r="AJ107" i="6" s="1"/>
  <c r="AJ116" i="6"/>
  <c r="AJ117" i="6" s="1"/>
  <c r="AJ111" i="6"/>
  <c r="AJ112" i="6" s="1"/>
  <c r="AK96" i="6"/>
  <c r="AK97" i="6" s="1"/>
  <c r="AK101" i="6"/>
  <c r="AK102" i="6" s="1"/>
  <c r="AK111" i="6"/>
  <c r="AK112" i="6" s="1"/>
  <c r="AK106" i="6"/>
  <c r="AK107" i="6" s="1"/>
  <c r="AK116" i="6"/>
  <c r="AK117" i="6" s="1"/>
  <c r="AE37" i="6"/>
  <c r="AE95" i="6"/>
  <c r="AT116" i="6"/>
  <c r="AT117" i="6" s="1"/>
  <c r="AT96" i="6"/>
  <c r="AT97" i="6" s="1"/>
  <c r="AT101" i="6"/>
  <c r="AT102" i="6" s="1"/>
  <c r="AT106" i="6"/>
  <c r="AT107" i="6" s="1"/>
  <c r="AT111" i="6"/>
  <c r="AT112" i="6" s="1"/>
  <c r="AH96" i="6"/>
  <c r="AH97" i="6" s="1"/>
  <c r="AH101" i="6"/>
  <c r="AH102" i="6" s="1"/>
  <c r="AH106" i="6"/>
  <c r="AH107" i="6" s="1"/>
  <c r="AH111" i="6"/>
  <c r="AH112" i="6" s="1"/>
  <c r="AH116" i="6"/>
  <c r="AH117" i="6" s="1"/>
  <c r="AO101" i="6"/>
  <c r="AO102" i="6" s="1"/>
  <c r="AO116" i="6"/>
  <c r="AO117" i="6" s="1"/>
  <c r="AO96" i="6"/>
  <c r="AO97" i="6" s="1"/>
  <c r="AO111" i="6"/>
  <c r="AO112" i="6" s="1"/>
  <c r="AO106" i="6"/>
  <c r="AO107" i="6" s="1"/>
  <c r="V116" i="6"/>
  <c r="V117" i="6" s="1"/>
  <c r="V96" i="6"/>
  <c r="V97" i="6" s="1"/>
  <c r="V101" i="6"/>
  <c r="V102" i="6" s="1"/>
  <c r="V106" i="6"/>
  <c r="V107" i="6" s="1"/>
  <c r="V111" i="6"/>
  <c r="V112" i="6" s="1"/>
  <c r="X37" i="6"/>
  <c r="X95" i="6"/>
  <c r="AD37" i="6"/>
  <c r="AD95" i="6"/>
  <c r="AR96" i="6"/>
  <c r="AR97" i="6" s="1"/>
  <c r="AR101" i="6"/>
  <c r="AR102" i="6" s="1"/>
  <c r="AR106" i="6"/>
  <c r="AR107" i="6" s="1"/>
  <c r="AR116" i="6"/>
  <c r="AR117" i="6" s="1"/>
  <c r="AR111" i="6"/>
  <c r="AR112" i="6" s="1"/>
  <c r="Z37" i="6"/>
  <c r="Z95" i="6"/>
  <c r="AF106" i="6"/>
  <c r="AF107" i="6" s="1"/>
  <c r="AF116" i="6"/>
  <c r="AF117" i="6" s="1"/>
  <c r="AF96" i="6"/>
  <c r="AF97" i="6" s="1"/>
  <c r="AF111" i="6"/>
  <c r="AF112" i="6" s="1"/>
  <c r="AF101" i="6"/>
  <c r="AF102" i="6" s="1"/>
  <c r="AB96" i="6"/>
  <c r="AB97" i="6" s="1"/>
  <c r="AB101" i="6"/>
  <c r="AB102" i="6" s="1"/>
  <c r="AB111" i="6"/>
  <c r="AB112" i="6" s="1"/>
  <c r="AB106" i="6"/>
  <c r="AB107" i="6" s="1"/>
  <c r="AB116" i="6"/>
  <c r="AB117" i="6" s="1"/>
  <c r="AW101" i="6"/>
  <c r="AW102" i="6" s="1"/>
  <c r="AW116" i="6"/>
  <c r="AW117" i="6" s="1"/>
  <c r="AW111" i="6"/>
  <c r="AW112" i="6" s="1"/>
  <c r="AW106" i="6"/>
  <c r="AW107" i="6" s="1"/>
  <c r="AW96" i="6"/>
  <c r="AW97" i="6" s="1"/>
  <c r="AV106" i="6"/>
  <c r="AV107" i="6" s="1"/>
  <c r="AV111" i="6"/>
  <c r="AV112" i="6" s="1"/>
  <c r="AV101" i="6"/>
  <c r="AV102" i="6" s="1"/>
  <c r="AV96" i="6"/>
  <c r="AV97" i="6" s="1"/>
  <c r="AV116" i="6"/>
  <c r="AV117" i="6" s="1"/>
  <c r="AS96" i="6"/>
  <c r="AS97" i="6" s="1"/>
  <c r="AS101" i="6"/>
  <c r="AS102" i="6" s="1"/>
  <c r="AS106" i="6"/>
  <c r="AS107" i="6" s="1"/>
  <c r="AS116" i="6"/>
  <c r="AS117" i="6" s="1"/>
  <c r="AS111" i="6"/>
  <c r="AS112" i="6" s="1"/>
  <c r="AH37" i="6"/>
  <c r="AW37" i="6"/>
  <c r="AV37" i="6"/>
  <c r="AL37" i="6"/>
  <c r="AM37" i="6"/>
  <c r="AU37" i="6"/>
  <c r="AR37" i="6"/>
  <c r="AF37" i="6"/>
  <c r="AS37" i="6"/>
  <c r="AN37" i="6"/>
  <c r="AT37" i="6"/>
  <c r="AK37" i="6"/>
  <c r="AG37" i="6"/>
  <c r="AQ37" i="6"/>
  <c r="AO37" i="6"/>
  <c r="AI37" i="6"/>
  <c r="AP37" i="6"/>
  <c r="AJ37" i="6"/>
  <c r="AX89" i="5"/>
  <c r="AG51" i="6"/>
  <c r="AF51" i="6"/>
  <c r="AE51" i="6"/>
  <c r="AC57" i="6"/>
  <c r="AE57" i="6"/>
  <c r="AG57" i="6"/>
  <c r="AF57" i="6"/>
  <c r="AD57" i="6"/>
  <c r="AD51" i="6"/>
  <c r="AC51" i="6"/>
  <c r="Z57" i="6"/>
  <c r="AA57" i="6"/>
  <c r="AB57" i="6"/>
  <c r="AB51" i="6"/>
  <c r="T82" i="6"/>
  <c r="Y57" i="6"/>
  <c r="Z51" i="6"/>
  <c r="AA51" i="6"/>
  <c r="Y51" i="6"/>
  <c r="D119" i="6"/>
  <c r="C103" i="6"/>
  <c r="D103" i="6"/>
  <c r="D99" i="6"/>
  <c r="C118" i="6"/>
  <c r="D113" i="6"/>
  <c r="C113" i="6"/>
  <c r="E114" i="6"/>
  <c r="D114" i="6" s="1"/>
  <c r="D104" i="6"/>
  <c r="D109" i="6"/>
  <c r="D118" i="6"/>
  <c r="C108" i="6"/>
  <c r="D108" i="6"/>
  <c r="C98" i="6"/>
  <c r="D98" i="6"/>
  <c r="X51" i="6" l="1"/>
  <c r="W40" i="6"/>
  <c r="W39" i="6" s="1"/>
  <c r="W73" i="6"/>
  <c r="V40" i="6"/>
  <c r="V39" i="6" s="1"/>
  <c r="V73" i="6"/>
  <c r="V51" i="6"/>
  <c r="X57" i="6"/>
  <c r="BB89" i="5"/>
  <c r="W57" i="6"/>
  <c r="W51" i="6"/>
  <c r="V57" i="6"/>
  <c r="U57" i="6"/>
  <c r="U51" i="6"/>
  <c r="AZ89" i="5"/>
  <c r="AY101" i="5"/>
  <c r="S27" i="6" s="1"/>
  <c r="V83" i="6"/>
  <c r="BA66" i="5"/>
  <c r="AZ66" i="5"/>
  <c r="AE74" i="6"/>
  <c r="AB74" i="6"/>
  <c r="AC74" i="6"/>
  <c r="AD74" i="6"/>
  <c r="V87" i="6"/>
  <c r="V86" i="6"/>
  <c r="V82" i="6"/>
  <c r="V84" i="6"/>
  <c r="V85" i="6"/>
  <c r="AB82" i="6"/>
  <c r="AB87" i="6"/>
  <c r="AB85" i="6"/>
  <c r="AB86" i="6"/>
  <c r="AB84" i="6"/>
  <c r="AM83" i="6"/>
  <c r="AM84" i="6"/>
  <c r="AM87" i="6"/>
  <c r="AM85" i="6"/>
  <c r="AM86" i="6"/>
  <c r="AK83" i="6"/>
  <c r="AK87" i="6"/>
  <c r="AK84" i="6"/>
  <c r="AK86" i="6"/>
  <c r="AK85" i="6"/>
  <c r="AL83" i="6"/>
  <c r="AL85" i="6"/>
  <c r="AL84" i="6"/>
  <c r="AL86" i="6"/>
  <c r="AL87" i="6"/>
  <c r="W83" i="6"/>
  <c r="W85" i="6"/>
  <c r="W84" i="6"/>
  <c r="W87" i="6"/>
  <c r="W86" i="6"/>
  <c r="AC83" i="6"/>
  <c r="AC84" i="6"/>
  <c r="AC86" i="6"/>
  <c r="AC87" i="6"/>
  <c r="AC85" i="6"/>
  <c r="AV83" i="6"/>
  <c r="AV86" i="6"/>
  <c r="AV84" i="6"/>
  <c r="AV85" i="6"/>
  <c r="AV87" i="6"/>
  <c r="AJ83" i="6"/>
  <c r="AJ84" i="6"/>
  <c r="AJ86" i="6"/>
  <c r="AJ87" i="6"/>
  <c r="AJ85" i="6"/>
  <c r="AN83" i="6"/>
  <c r="AN86" i="6"/>
  <c r="AN84" i="6"/>
  <c r="AN85" i="6"/>
  <c r="AN87" i="6"/>
  <c r="AW83" i="6"/>
  <c r="AW86" i="6"/>
  <c r="AW85" i="6"/>
  <c r="AW84" i="6"/>
  <c r="AW87" i="6"/>
  <c r="Z83" i="6"/>
  <c r="Z87" i="6"/>
  <c r="Z86" i="6"/>
  <c r="Z85" i="6"/>
  <c r="Z84" i="6"/>
  <c r="U83" i="6"/>
  <c r="U84" i="6"/>
  <c r="U87" i="6"/>
  <c r="U86" i="6"/>
  <c r="U85" i="6"/>
  <c r="AE83" i="6"/>
  <c r="AE85" i="6"/>
  <c r="AE84" i="6"/>
  <c r="AE87" i="6"/>
  <c r="AE86" i="6"/>
  <c r="AA83" i="6"/>
  <c r="AA87" i="6"/>
  <c r="AA85" i="6"/>
  <c r="AA84" i="6"/>
  <c r="AA86" i="6"/>
  <c r="AP83" i="6"/>
  <c r="AP87" i="6"/>
  <c r="AP86" i="6"/>
  <c r="AP84" i="6"/>
  <c r="AP85" i="6"/>
  <c r="AS83" i="6"/>
  <c r="AS84" i="6"/>
  <c r="AS87" i="6"/>
  <c r="AS85" i="6"/>
  <c r="AS86" i="6"/>
  <c r="AH83" i="6"/>
  <c r="AH87" i="6"/>
  <c r="AH86" i="6"/>
  <c r="AH85" i="6"/>
  <c r="AH84" i="6"/>
  <c r="X83" i="6"/>
  <c r="X86" i="6"/>
  <c r="X85" i="6"/>
  <c r="X87" i="6"/>
  <c r="X84" i="6"/>
  <c r="AG83" i="6"/>
  <c r="AG86" i="6"/>
  <c r="AG84" i="6"/>
  <c r="AG85" i="6"/>
  <c r="AG87" i="6"/>
  <c r="AI83" i="6"/>
  <c r="AI85" i="6"/>
  <c r="AI87" i="6"/>
  <c r="AI86" i="6"/>
  <c r="AI84" i="6"/>
  <c r="AF83" i="6"/>
  <c r="AF86" i="6"/>
  <c r="AF85" i="6"/>
  <c r="AF87" i="6"/>
  <c r="AF84" i="6"/>
  <c r="AD83" i="6"/>
  <c r="AD85" i="6"/>
  <c r="AD87" i="6"/>
  <c r="AD84" i="6"/>
  <c r="AD86" i="6"/>
  <c r="Y83" i="6"/>
  <c r="Y85" i="6"/>
  <c r="Y84" i="6"/>
  <c r="Y86" i="6"/>
  <c r="Y87" i="6"/>
  <c r="AO83" i="6"/>
  <c r="AO86" i="6"/>
  <c r="AO85" i="6"/>
  <c r="AO87" i="6"/>
  <c r="AO84" i="6"/>
  <c r="AR83" i="6"/>
  <c r="AR84" i="6"/>
  <c r="AR87" i="6"/>
  <c r="AR86" i="6"/>
  <c r="AR85" i="6"/>
  <c r="AT83" i="6"/>
  <c r="AT85" i="6"/>
  <c r="AT87" i="6"/>
  <c r="AT84" i="6"/>
  <c r="AT86" i="6"/>
  <c r="AQ83" i="6"/>
  <c r="AQ86" i="6"/>
  <c r="AQ87" i="6"/>
  <c r="AQ84" i="6"/>
  <c r="AQ85" i="6"/>
  <c r="AU83" i="6"/>
  <c r="AU85" i="6"/>
  <c r="AU84" i="6"/>
  <c r="AU86" i="6"/>
  <c r="AU87" i="6"/>
  <c r="AQ82" i="6"/>
  <c r="AQ88" i="6"/>
  <c r="AU82" i="6"/>
  <c r="AU88" i="6"/>
  <c r="AF82" i="6"/>
  <c r="AG82" i="6"/>
  <c r="AM82" i="6"/>
  <c r="AI82" i="6"/>
  <c r="AO82" i="6"/>
  <c r="AK82" i="6"/>
  <c r="AL82" i="6"/>
  <c r="W82" i="6"/>
  <c r="AC82" i="6"/>
  <c r="AR88" i="6"/>
  <c r="AR82" i="6"/>
  <c r="AT82" i="6"/>
  <c r="AT88" i="6"/>
  <c r="AV88" i="6"/>
  <c r="AV82" i="6"/>
  <c r="AD82" i="6"/>
  <c r="AE82" i="6"/>
  <c r="AA82" i="6"/>
  <c r="Y82" i="6"/>
  <c r="AJ82" i="6"/>
  <c r="AN82" i="6"/>
  <c r="AW88" i="6"/>
  <c r="AW82" i="6"/>
  <c r="Z82" i="6"/>
  <c r="U82" i="6"/>
  <c r="AP82" i="6"/>
  <c r="AS88" i="6"/>
  <c r="AS82" i="6"/>
  <c r="AH82" i="6"/>
  <c r="X82" i="6"/>
  <c r="AT119" i="6"/>
  <c r="AT118" i="6"/>
  <c r="AT120" i="6"/>
  <c r="AJ113" i="6"/>
  <c r="AP113" i="6"/>
  <c r="AQ99" i="6"/>
  <c r="AQ98" i="6"/>
  <c r="AQ100" i="6"/>
  <c r="W111" i="6"/>
  <c r="W112" i="6" s="1"/>
  <c r="W96" i="6"/>
  <c r="W97" i="6" s="1"/>
  <c r="W116" i="6"/>
  <c r="W117" i="6" s="1"/>
  <c r="W101" i="6"/>
  <c r="W102" i="6" s="1"/>
  <c r="W106" i="6"/>
  <c r="W107" i="6" s="1"/>
  <c r="AM113" i="6"/>
  <c r="AC96" i="6"/>
  <c r="AC97" i="6" s="1"/>
  <c r="AC101" i="6"/>
  <c r="AC102" i="6" s="1"/>
  <c r="AC111" i="6"/>
  <c r="AC112" i="6" s="1"/>
  <c r="AC116" i="6"/>
  <c r="AC117" i="6" s="1"/>
  <c r="AC106" i="6"/>
  <c r="AC107" i="6" s="1"/>
  <c r="AT100" i="6"/>
  <c r="AT99" i="6"/>
  <c r="AT98" i="6"/>
  <c r="AQ103" i="6"/>
  <c r="AQ104" i="6"/>
  <c r="AQ105" i="6"/>
  <c r="AV105" i="6"/>
  <c r="AV103" i="6"/>
  <c r="AV104" i="6"/>
  <c r="AS113" i="6"/>
  <c r="AS115" i="6"/>
  <c r="AS114" i="6"/>
  <c r="AP108" i="6"/>
  <c r="Y101" i="6"/>
  <c r="Y102" i="6" s="1"/>
  <c r="Y111" i="6"/>
  <c r="Y112" i="6" s="1"/>
  <c r="Y116" i="6"/>
  <c r="Y117" i="6" s="1"/>
  <c r="Y96" i="6"/>
  <c r="Y97" i="6" s="1"/>
  <c r="Y106" i="6"/>
  <c r="Y107" i="6" s="1"/>
  <c r="AS118" i="6"/>
  <c r="AS120" i="6"/>
  <c r="AS119" i="6"/>
  <c r="AV108" i="6"/>
  <c r="AV109" i="6"/>
  <c r="AV110" i="6"/>
  <c r="Z96" i="6"/>
  <c r="Z97" i="6" s="1"/>
  <c r="Z101" i="6"/>
  <c r="Z102" i="6" s="1"/>
  <c r="Z106" i="6"/>
  <c r="Z107" i="6" s="1"/>
  <c r="Z111" i="6"/>
  <c r="Z112" i="6" s="1"/>
  <c r="Z116" i="6"/>
  <c r="Z117" i="6" s="1"/>
  <c r="AO108" i="6"/>
  <c r="AJ108" i="6"/>
  <c r="AP103" i="6"/>
  <c r="U96" i="6"/>
  <c r="U97" i="6" s="1"/>
  <c r="U101" i="6"/>
  <c r="U102" i="6" s="1"/>
  <c r="U116" i="6"/>
  <c r="U117" i="6" s="1"/>
  <c r="U106" i="6"/>
  <c r="U107" i="6" s="1"/>
  <c r="U111" i="6"/>
  <c r="U112" i="6" s="1"/>
  <c r="AE111" i="6"/>
  <c r="AE112" i="6" s="1"/>
  <c r="AE116" i="6"/>
  <c r="AE117" i="6" s="1"/>
  <c r="AE106" i="6"/>
  <c r="AE107" i="6" s="1"/>
  <c r="AE101" i="6"/>
  <c r="AE102" i="6" s="1"/>
  <c r="AE96" i="6"/>
  <c r="AE97" i="6" s="1"/>
  <c r="AS110" i="6"/>
  <c r="AS108" i="6"/>
  <c r="AS109" i="6"/>
  <c r="AW98" i="6"/>
  <c r="AW100" i="6"/>
  <c r="AW99" i="6"/>
  <c r="X106" i="6"/>
  <c r="X107" i="6" s="1"/>
  <c r="X101" i="6"/>
  <c r="X102" i="6" s="1"/>
  <c r="X96" i="6"/>
  <c r="X97" i="6" s="1"/>
  <c r="X116" i="6"/>
  <c r="X117" i="6" s="1"/>
  <c r="X111" i="6"/>
  <c r="X112" i="6" s="1"/>
  <c r="AO113" i="6"/>
  <c r="AP98" i="6"/>
  <c r="AU119" i="6"/>
  <c r="AU118" i="6"/>
  <c r="AU120" i="6"/>
  <c r="AR104" i="6"/>
  <c r="AR103" i="6"/>
  <c r="AR105" i="6"/>
  <c r="AR99" i="6"/>
  <c r="AR98" i="6"/>
  <c r="AR100" i="6"/>
  <c r="AS105" i="6"/>
  <c r="AS104" i="6"/>
  <c r="AS103" i="6"/>
  <c r="AW109" i="6"/>
  <c r="AW108" i="6"/>
  <c r="AW110" i="6"/>
  <c r="AR113" i="6"/>
  <c r="AR115" i="6"/>
  <c r="AR114" i="6"/>
  <c r="AT115" i="6"/>
  <c r="AT114" i="6"/>
  <c r="AT113" i="6"/>
  <c r="AK108" i="6"/>
  <c r="AN113" i="6"/>
  <c r="AQ115" i="6"/>
  <c r="AQ114" i="6"/>
  <c r="AQ113" i="6"/>
  <c r="AU110" i="6"/>
  <c r="AU109" i="6"/>
  <c r="AU108" i="6"/>
  <c r="AG108" i="6"/>
  <c r="AV98" i="6"/>
  <c r="AV100" i="6"/>
  <c r="AV99" i="6"/>
  <c r="AU114" i="6"/>
  <c r="AU113" i="6"/>
  <c r="AU115" i="6"/>
  <c r="AV114" i="6"/>
  <c r="AV113" i="6"/>
  <c r="AV115" i="6"/>
  <c r="AD116" i="6"/>
  <c r="AD117" i="6" s="1"/>
  <c r="AD96" i="6"/>
  <c r="AD97" i="6" s="1"/>
  <c r="AD106" i="6"/>
  <c r="AD107" i="6" s="1"/>
  <c r="AD101" i="6"/>
  <c r="AD102" i="6" s="1"/>
  <c r="AD111" i="6"/>
  <c r="AD112" i="6" s="1"/>
  <c r="AH108" i="6"/>
  <c r="AS99" i="6"/>
  <c r="AS98" i="6"/>
  <c r="AS100" i="6"/>
  <c r="AW115" i="6"/>
  <c r="AW114" i="6"/>
  <c r="AW113" i="6"/>
  <c r="AR118" i="6"/>
  <c r="AR120" i="6"/>
  <c r="AR119" i="6"/>
  <c r="AT108" i="6"/>
  <c r="AT110" i="6"/>
  <c r="AT109" i="6"/>
  <c r="AK113" i="6"/>
  <c r="AL108" i="6"/>
  <c r="AQ118" i="6"/>
  <c r="AQ119" i="6"/>
  <c r="AQ120" i="6"/>
  <c r="AU100" i="6"/>
  <c r="AU99" i="6"/>
  <c r="AU98" i="6"/>
  <c r="AI108" i="6"/>
  <c r="AW103" i="6"/>
  <c r="AW104" i="6"/>
  <c r="AW105" i="6"/>
  <c r="AL113" i="6"/>
  <c r="AA96" i="6"/>
  <c r="AA97" i="6" s="1"/>
  <c r="AA101" i="6"/>
  <c r="AA102" i="6" s="1"/>
  <c r="AA106" i="6"/>
  <c r="AA107" i="6" s="1"/>
  <c r="AA111" i="6"/>
  <c r="AA112" i="6" s="1"/>
  <c r="AA116" i="6"/>
  <c r="AA117" i="6" s="1"/>
  <c r="AV118" i="6"/>
  <c r="AV120" i="6"/>
  <c r="AV119" i="6"/>
  <c r="AW120" i="6"/>
  <c r="AW119" i="6"/>
  <c r="AW118" i="6"/>
  <c r="AR110" i="6"/>
  <c r="AR109" i="6"/>
  <c r="AR108" i="6"/>
  <c r="AT105" i="6"/>
  <c r="AT103" i="6"/>
  <c r="AT104" i="6"/>
  <c r="AN108" i="6"/>
  <c r="AQ109" i="6"/>
  <c r="AQ110" i="6"/>
  <c r="AQ108" i="6"/>
  <c r="AU103" i="6"/>
  <c r="AU105" i="6"/>
  <c r="AU104" i="6"/>
  <c r="AM108" i="6"/>
  <c r="AW38" i="6"/>
  <c r="AW41" i="6" s="1"/>
  <c r="AW43" i="6" s="1"/>
  <c r="AU42" i="6"/>
  <c r="AU38" i="6"/>
  <c r="AU41" i="6" s="1"/>
  <c r="AU43" i="6" s="1"/>
  <c r="AW42" i="6"/>
  <c r="AS38" i="6"/>
  <c r="AS41" i="6" s="1"/>
  <c r="AR38" i="6"/>
  <c r="AR41" i="6" s="1"/>
  <c r="AR43" i="6" s="1"/>
  <c r="AQ38" i="6"/>
  <c r="AQ41" i="6" s="1"/>
  <c r="AQ43" i="6" s="1"/>
  <c r="AQ42" i="6"/>
  <c r="AS42" i="6"/>
  <c r="AV42" i="6"/>
  <c r="AV38" i="6"/>
  <c r="AV41" i="6" s="1"/>
  <c r="AR42" i="6"/>
  <c r="AT42" i="6"/>
  <c r="AT38" i="6"/>
  <c r="AT41" i="6" s="1"/>
  <c r="AA74" i="6"/>
  <c r="Z74" i="6"/>
  <c r="AS43" i="6"/>
  <c r="AT43" i="6"/>
  <c r="AV43" i="6"/>
  <c r="Y74" i="6"/>
  <c r="X74" i="6" l="1"/>
  <c r="W74" i="6"/>
  <c r="V74" i="6"/>
  <c r="U74" i="6"/>
  <c r="V88" i="6"/>
  <c r="AB88" i="6"/>
  <c r="AE88" i="6"/>
  <c r="AD88" i="6"/>
  <c r="Y88" i="6"/>
  <c r="U88" i="6"/>
  <c r="AL88" i="6"/>
  <c r="AF88" i="6"/>
  <c r="AA88" i="6"/>
  <c r="W88" i="6"/>
  <c r="AG88" i="6"/>
  <c r="AH88" i="6"/>
  <c r="AI88" i="6"/>
  <c r="AC88" i="6"/>
  <c r="AO88" i="6"/>
  <c r="AP88" i="6"/>
  <c r="Z88" i="6"/>
  <c r="X88" i="6"/>
  <c r="AN88" i="6"/>
  <c r="AJ88" i="6"/>
  <c r="AK88" i="6"/>
  <c r="AM88" i="6"/>
  <c r="U103" i="6"/>
  <c r="U118" i="6"/>
  <c r="U113" i="6"/>
  <c r="U108" i="6"/>
  <c r="U75" i="6"/>
  <c r="W75" i="6"/>
  <c r="V75" i="6"/>
  <c r="AX56" i="5" l="1"/>
  <c r="AX64" i="5" s="1"/>
  <c r="AX27" i="5"/>
  <c r="AX33" i="5"/>
  <c r="AX25" i="5"/>
  <c r="S26" i="6" l="1"/>
  <c r="G36" i="5"/>
  <c r="G35" i="5"/>
  <c r="G45" i="5"/>
  <c r="G34" i="5"/>
  <c r="G29" i="5"/>
  <c r="G30" i="5"/>
  <c r="S83" i="6"/>
  <c r="S84" i="6"/>
  <c r="S87" i="6"/>
  <c r="S86" i="6"/>
  <c r="S85" i="6"/>
  <c r="AM28" i="5"/>
  <c r="G28" i="5"/>
  <c r="AM48" i="5"/>
  <c r="AM40" i="5"/>
  <c r="AM46" i="5"/>
  <c r="AM34" i="5"/>
  <c r="AM47" i="5"/>
  <c r="AM39" i="5"/>
  <c r="AM38" i="5"/>
  <c r="AM45" i="5"/>
  <c r="AM37" i="5"/>
  <c r="AM35" i="5"/>
  <c r="AM42" i="5"/>
  <c r="AM44" i="5"/>
  <c r="AM36" i="5"/>
  <c r="AM43" i="5"/>
  <c r="AM41" i="5"/>
  <c r="AM32" i="5"/>
  <c r="AM31" i="5"/>
  <c r="AM30" i="5"/>
  <c r="AM29" i="5"/>
  <c r="T50" i="6"/>
  <c r="T73" i="6" s="1"/>
  <c r="AX50" i="5"/>
  <c r="AX57" i="5" s="1"/>
  <c r="S23" i="6" s="1"/>
  <c r="T95" i="6"/>
  <c r="T58" i="6" l="1"/>
  <c r="S58" i="6" s="1"/>
  <c r="T61" i="6"/>
  <c r="S61" i="6" s="1"/>
  <c r="T65" i="6"/>
  <c r="S65" i="6" s="1"/>
  <c r="T69" i="6"/>
  <c r="S69" i="6" s="1"/>
  <c r="T59" i="6"/>
  <c r="S59" i="6" s="1"/>
  <c r="T71" i="6"/>
  <c r="S71" i="6" s="1"/>
  <c r="T63" i="6"/>
  <c r="S63" i="6" s="1"/>
  <c r="T67" i="6"/>
  <c r="S67" i="6" s="1"/>
  <c r="T60" i="6"/>
  <c r="S60" i="6" s="1"/>
  <c r="T64" i="6"/>
  <c r="S64" i="6" s="1"/>
  <c r="T68" i="6"/>
  <c r="S68" i="6" s="1"/>
  <c r="T72" i="6"/>
  <c r="S72" i="6" s="1"/>
  <c r="T66" i="6"/>
  <c r="S66" i="6" s="1"/>
  <c r="T70" i="6"/>
  <c r="S70" i="6" s="1"/>
  <c r="T62" i="6"/>
  <c r="S62" i="6" s="1"/>
  <c r="T55" i="6"/>
  <c r="S55" i="6" s="1"/>
  <c r="T54" i="6"/>
  <c r="S54" i="6" s="1"/>
  <c r="T53" i="6"/>
  <c r="S53" i="6" s="1"/>
  <c r="T56" i="6"/>
  <c r="S56" i="6" s="1"/>
  <c r="T40" i="6"/>
  <c r="T39" i="6" s="1"/>
  <c r="T52" i="6"/>
  <c r="S52" i="6" s="1"/>
  <c r="T88" i="6"/>
  <c r="S88" i="6" s="1"/>
  <c r="T106" i="6"/>
  <c r="T107" i="6" s="1"/>
  <c r="T101" i="6"/>
  <c r="T102" i="6" s="1"/>
  <c r="T111" i="6"/>
  <c r="T112" i="6" s="1"/>
  <c r="T116" i="6"/>
  <c r="T117" i="6" s="1"/>
  <c r="AM50" i="5"/>
  <c r="AO28" i="5"/>
  <c r="S73" i="6"/>
  <c r="AN28" i="5"/>
  <c r="AO45" i="5"/>
  <c r="AN45" i="5"/>
  <c r="AO43" i="5"/>
  <c r="AN43" i="5"/>
  <c r="AN39" i="5"/>
  <c r="AO39" i="5"/>
  <c r="AN41" i="5"/>
  <c r="AO41" i="5"/>
  <c r="AO36" i="5"/>
  <c r="AN36" i="5"/>
  <c r="AN47" i="5"/>
  <c r="AO47" i="5"/>
  <c r="AN38" i="5"/>
  <c r="AO38" i="5"/>
  <c r="AO44" i="5"/>
  <c r="AN44" i="5"/>
  <c r="AO34" i="5"/>
  <c r="AN34" i="5"/>
  <c r="AO42" i="5"/>
  <c r="AN42" i="5"/>
  <c r="AO35" i="5"/>
  <c r="AN35" i="5"/>
  <c r="AN40" i="5"/>
  <c r="AO40" i="5"/>
  <c r="AN46" i="5"/>
  <c r="AO46" i="5"/>
  <c r="AO37" i="5"/>
  <c r="AN37" i="5"/>
  <c r="AN48" i="5"/>
  <c r="AO48" i="5"/>
  <c r="AO30" i="5"/>
  <c r="AN30" i="5"/>
  <c r="AN32" i="5"/>
  <c r="AO32" i="5"/>
  <c r="AO31" i="5"/>
  <c r="AN31" i="5"/>
  <c r="AN29" i="5"/>
  <c r="AO29" i="5"/>
  <c r="AX66" i="5"/>
  <c r="T96" i="6"/>
  <c r="T97" i="6" s="1"/>
  <c r="T118" i="6" l="1"/>
  <c r="T113" i="6"/>
  <c r="T103" i="6"/>
  <c r="T108" i="6"/>
  <c r="S39" i="6"/>
  <c r="S40" i="6"/>
  <c r="T98" i="6"/>
  <c r="AO50" i="5"/>
  <c r="S25" i="6" s="1"/>
  <c r="AN50" i="5"/>
  <c r="T75" i="6"/>
  <c r="S75" i="6" s="1"/>
  <c r="T57" i="6"/>
  <c r="S57" i="6" s="1"/>
  <c r="T51" i="6"/>
  <c r="S51" i="6" s="1"/>
  <c r="T74" i="6" l="1"/>
  <c r="S74" i="6" s="1"/>
  <c r="S24" i="6"/>
  <c r="T38" i="6"/>
  <c r="T41" i="6" l="1"/>
  <c r="R57" i="6"/>
  <c r="R75" i="6"/>
  <c r="S97" i="6" l="1"/>
  <c r="S102" i="6" l="1"/>
  <c r="S112" i="6"/>
  <c r="S117" i="6"/>
  <c r="S107" i="6"/>
  <c r="S22" i="6"/>
  <c r="S28" i="6" s="1"/>
  <c r="R73" i="6" l="1"/>
  <c r="R51" i="6" l="1"/>
  <c r="R74" i="6" s="1"/>
  <c r="T120" i="6"/>
  <c r="T105" i="6"/>
  <c r="T110" i="6"/>
  <c r="T100" i="6"/>
  <c r="T114" i="6"/>
  <c r="T115" i="6"/>
  <c r="T119" i="6"/>
  <c r="T109" i="6"/>
  <c r="T99" i="6"/>
  <c r="U98" i="6" s="1"/>
  <c r="T104" i="6"/>
  <c r="U115" i="6" l="1"/>
  <c r="U114" i="6"/>
  <c r="V113" i="6" s="1"/>
  <c r="U120" i="6"/>
  <c r="U119" i="6"/>
  <c r="V118" i="6" s="1"/>
  <c r="U105" i="6"/>
  <c r="U104" i="6"/>
  <c r="V103" i="6" s="1"/>
  <c r="U109" i="6"/>
  <c r="V108" i="6" s="1"/>
  <c r="U110" i="6"/>
  <c r="U99" i="6"/>
  <c r="V98" i="6" s="1"/>
  <c r="U100" i="6"/>
  <c r="T42" i="6"/>
  <c r="V120" i="6" l="1"/>
  <c r="V119" i="6"/>
  <c r="W118" i="6" s="1"/>
  <c r="V110" i="6"/>
  <c r="V109" i="6"/>
  <c r="W108" i="6" s="1"/>
  <c r="V115" i="6"/>
  <c r="V114" i="6"/>
  <c r="W113" i="6" s="1"/>
  <c r="V105" i="6"/>
  <c r="V104" i="6"/>
  <c r="W103" i="6" s="1"/>
  <c r="V99" i="6"/>
  <c r="W98" i="6" s="1"/>
  <c r="V100" i="6"/>
  <c r="U38" i="6"/>
  <c r="U41" i="6" s="1"/>
  <c r="T43" i="6"/>
  <c r="W115" i="6" l="1"/>
  <c r="W114" i="6"/>
  <c r="X113" i="6" s="1"/>
  <c r="W100" i="6"/>
  <c r="W99" i="6"/>
  <c r="X98" i="6" s="1"/>
  <c r="W105" i="6"/>
  <c r="W104" i="6"/>
  <c r="X103" i="6" s="1"/>
  <c r="W110" i="6"/>
  <c r="W109" i="6"/>
  <c r="X108" i="6" s="1"/>
  <c r="W119" i="6"/>
  <c r="X118" i="6" s="1"/>
  <c r="W120" i="6"/>
  <c r="V38" i="6"/>
  <c r="V41" i="6" s="1"/>
  <c r="U42" i="6"/>
  <c r="U43" i="6" s="1"/>
  <c r="X109" i="6" l="1"/>
  <c r="Y108" i="6" s="1"/>
  <c r="X110" i="6"/>
  <c r="X105" i="6"/>
  <c r="X104" i="6"/>
  <c r="Y103" i="6" s="1"/>
  <c r="X100" i="6"/>
  <c r="X99" i="6"/>
  <c r="Y98" i="6" s="1"/>
  <c r="X114" i="6"/>
  <c r="Y113" i="6" s="1"/>
  <c r="X115" i="6"/>
  <c r="X120" i="6"/>
  <c r="X119" i="6"/>
  <c r="Y118" i="6" s="1"/>
  <c r="V42" i="6"/>
  <c r="V43" i="6" s="1"/>
  <c r="W42" i="6"/>
  <c r="Y104" i="6" l="1"/>
  <c r="Z103" i="6" s="1"/>
  <c r="Y105" i="6"/>
  <c r="Y100" i="6"/>
  <c r="Y99" i="6"/>
  <c r="Y115" i="6"/>
  <c r="Y114" i="6"/>
  <c r="Z113" i="6" s="1"/>
  <c r="Y120" i="6"/>
  <c r="Y119" i="6"/>
  <c r="Z118" i="6" s="1"/>
  <c r="Y109" i="6"/>
  <c r="Z108" i="6" s="1"/>
  <c r="Y110" i="6"/>
  <c r="W38" i="6"/>
  <c r="W41" i="6" s="1"/>
  <c r="W43" i="6" s="1"/>
  <c r="Z120" i="6" l="1"/>
  <c r="Z119" i="6"/>
  <c r="Z114" i="6"/>
  <c r="Z115" i="6"/>
  <c r="Z98" i="6"/>
  <c r="Z100" i="6" s="1"/>
  <c r="Z109" i="6"/>
  <c r="Z110" i="6"/>
  <c r="Z105" i="6"/>
  <c r="Z104" i="6"/>
  <c r="X42" i="6"/>
  <c r="X38" i="6"/>
  <c r="X41" i="6" s="1"/>
  <c r="AA108" i="6" l="1"/>
  <c r="AA109" i="6" s="1"/>
  <c r="Z99" i="6"/>
  <c r="AA113" i="6"/>
  <c r="AA114" i="6" s="1"/>
  <c r="AA118" i="6"/>
  <c r="AA120" i="6" s="1"/>
  <c r="AA103" i="6"/>
  <c r="AA104" i="6" s="1"/>
  <c r="X43" i="6"/>
  <c r="Y38" i="6"/>
  <c r="Y41" i="6" s="1"/>
  <c r="AA115" i="6" l="1"/>
  <c r="AA119" i="6"/>
  <c r="AA110" i="6"/>
  <c r="AB103" i="6"/>
  <c r="AB104" i="6" s="1"/>
  <c r="AB113" i="6"/>
  <c r="AB115" i="6" s="1"/>
  <c r="AB108" i="6"/>
  <c r="AB109" i="6" s="1"/>
  <c r="AB118" i="6"/>
  <c r="AB120" i="6" s="1"/>
  <c r="AA105" i="6"/>
  <c r="AA98" i="6"/>
  <c r="AA100" i="6" s="1"/>
  <c r="Y42" i="6"/>
  <c r="Y43" i="6" s="1"/>
  <c r="AB110" i="6" l="1"/>
  <c r="AC103" i="6"/>
  <c r="AC104" i="6" s="1"/>
  <c r="AC108" i="6"/>
  <c r="AC109" i="6" s="1"/>
  <c r="AB114" i="6"/>
  <c r="AA99" i="6"/>
  <c r="AB119" i="6"/>
  <c r="AB105" i="6"/>
  <c r="Z38" i="6"/>
  <c r="Z41" i="6" s="1"/>
  <c r="AD108" i="6" l="1"/>
  <c r="AD110" i="6" s="1"/>
  <c r="AD103" i="6"/>
  <c r="AD104" i="6" s="1"/>
  <c r="AC110" i="6"/>
  <c r="AB98" i="6"/>
  <c r="AB99" i="6" s="1"/>
  <c r="AC113" i="6"/>
  <c r="AC115" i="6" s="1"/>
  <c r="AC105" i="6"/>
  <c r="AC118" i="6"/>
  <c r="AC119" i="6" s="1"/>
  <c r="AA38" i="6"/>
  <c r="Z42" i="6"/>
  <c r="Z43" i="6" s="1"/>
  <c r="AC120" i="6" l="1"/>
  <c r="AB100" i="6"/>
  <c r="AC98" i="6"/>
  <c r="AC99" i="6" s="1"/>
  <c r="AE103" i="6"/>
  <c r="AE105" i="6" s="1"/>
  <c r="AD105" i="6"/>
  <c r="AD109" i="6"/>
  <c r="AD118" i="6"/>
  <c r="AD119" i="6" s="1"/>
  <c r="AC114" i="6"/>
  <c r="AA42" i="6"/>
  <c r="AB38" i="6"/>
  <c r="AB41" i="6" s="1"/>
  <c r="AA41" i="6"/>
  <c r="AD98" i="6" l="1"/>
  <c r="AD99" i="6" s="1"/>
  <c r="AE118" i="6"/>
  <c r="AE120" i="6" s="1"/>
  <c r="AE108" i="6"/>
  <c r="AE104" i="6"/>
  <c r="AD113" i="6"/>
  <c r="AD115" i="6" s="1"/>
  <c r="AC100" i="6"/>
  <c r="AD120" i="6"/>
  <c r="AB42" i="6"/>
  <c r="AB43" i="6" s="1"/>
  <c r="AA43" i="6"/>
  <c r="AE98" i="6" l="1"/>
  <c r="AE99" i="6" s="1"/>
  <c r="AF98" i="6" s="1"/>
  <c r="AE110" i="6"/>
  <c r="AE119" i="6"/>
  <c r="AD114" i="6"/>
  <c r="AF103" i="6"/>
  <c r="AF105" i="6" s="1"/>
  <c r="AD100" i="6"/>
  <c r="AE109" i="6"/>
  <c r="AC38" i="6"/>
  <c r="AC41" i="6" s="1"/>
  <c r="AF104" i="6" l="1"/>
  <c r="AF99" i="6"/>
  <c r="AG98" i="6" s="1"/>
  <c r="AF100" i="6"/>
  <c r="AE113" i="6"/>
  <c r="AE114" i="6" s="1"/>
  <c r="AF118" i="6"/>
  <c r="AF120" i="6" s="1"/>
  <c r="AF108" i="6"/>
  <c r="S108" i="6" s="1"/>
  <c r="AE100" i="6"/>
  <c r="AC42" i="6"/>
  <c r="AC43" i="6" s="1"/>
  <c r="AD38" i="6"/>
  <c r="AD41" i="6" s="1"/>
  <c r="AG103" i="6" l="1"/>
  <c r="AG104" i="6" s="1"/>
  <c r="AF109" i="6"/>
  <c r="AG110" i="6" s="1"/>
  <c r="AF110" i="6"/>
  <c r="AF113" i="6"/>
  <c r="AF114" i="6" s="1"/>
  <c r="AF119" i="6"/>
  <c r="AE115" i="6"/>
  <c r="AG100" i="6"/>
  <c r="AG99" i="6"/>
  <c r="AH98" i="6" s="1"/>
  <c r="AE38" i="6"/>
  <c r="AE41" i="6" s="1"/>
  <c r="AD42" i="6"/>
  <c r="AD43" i="6" s="1"/>
  <c r="AG105" i="6" l="1"/>
  <c r="AH103" i="6"/>
  <c r="AH104" i="6" s="1"/>
  <c r="AI103" i="6" s="1"/>
  <c r="AF115" i="6"/>
  <c r="AG109" i="6"/>
  <c r="AH109" i="6" s="1"/>
  <c r="AG113" i="6"/>
  <c r="AG114" i="6" s="1"/>
  <c r="AG118" i="6"/>
  <c r="AG119" i="6" s="1"/>
  <c r="AH99" i="6"/>
  <c r="AI98" i="6" s="1"/>
  <c r="AH100" i="6"/>
  <c r="AE42" i="6"/>
  <c r="AE43" i="6" s="1"/>
  <c r="AF38" i="6"/>
  <c r="AI104" i="6" l="1"/>
  <c r="AJ103" i="6" s="1"/>
  <c r="AI105" i="6"/>
  <c r="AH105" i="6"/>
  <c r="AH110" i="6"/>
  <c r="AH118" i="6"/>
  <c r="AH120" i="6" s="1"/>
  <c r="AH113" i="6"/>
  <c r="AH115" i="6" s="1"/>
  <c r="AG120" i="6"/>
  <c r="AG115" i="6"/>
  <c r="AI100" i="6"/>
  <c r="AI99" i="6"/>
  <c r="AJ98" i="6" s="1"/>
  <c r="AI110" i="6"/>
  <c r="AI109" i="6"/>
  <c r="AF42" i="6"/>
  <c r="AF41" i="6"/>
  <c r="AJ105" i="6" l="1"/>
  <c r="AJ104" i="6"/>
  <c r="AK103" i="6" s="1"/>
  <c r="AK105" i="6" s="1"/>
  <c r="AH114" i="6"/>
  <c r="AJ100" i="6"/>
  <c r="AJ99" i="6"/>
  <c r="AK98" i="6" s="1"/>
  <c r="AH119" i="6"/>
  <c r="AJ110" i="6"/>
  <c r="AJ109" i="6"/>
  <c r="AG38" i="6"/>
  <c r="AF43" i="6"/>
  <c r="AK104" i="6" l="1"/>
  <c r="AL103" i="6" s="1"/>
  <c r="AI118" i="6"/>
  <c r="AI119" i="6" s="1"/>
  <c r="AK99" i="6"/>
  <c r="AL98" i="6" s="1"/>
  <c r="AK100" i="6"/>
  <c r="AI113" i="6"/>
  <c r="AI115" i="6" s="1"/>
  <c r="AK110" i="6"/>
  <c r="AK109" i="6"/>
  <c r="AG42" i="6"/>
  <c r="AG41" i="6"/>
  <c r="AL104" i="6" l="1"/>
  <c r="AM103" i="6" s="1"/>
  <c r="AL105" i="6"/>
  <c r="AI120" i="6"/>
  <c r="AJ118" i="6"/>
  <c r="AJ38" i="6" s="1"/>
  <c r="AJ41" i="6" s="1"/>
  <c r="AI114" i="6"/>
  <c r="AL100" i="6"/>
  <c r="AL99" i="6"/>
  <c r="AM98" i="6" s="1"/>
  <c r="AM105" i="6"/>
  <c r="AM104" i="6"/>
  <c r="AN103" i="6" s="1"/>
  <c r="AL110" i="6"/>
  <c r="AL109" i="6"/>
  <c r="AI38" i="6"/>
  <c r="AI41" i="6" s="1"/>
  <c r="AG43" i="6"/>
  <c r="AH38" i="6"/>
  <c r="AJ120" i="6" l="1"/>
  <c r="AM100" i="6"/>
  <c r="AM99" i="6"/>
  <c r="AN98" i="6" s="1"/>
  <c r="AN104" i="6"/>
  <c r="AO103" i="6" s="1"/>
  <c r="S103" i="6" s="1"/>
  <c r="AN105" i="6"/>
  <c r="AJ114" i="6"/>
  <c r="AJ115" i="6"/>
  <c r="AJ119" i="6"/>
  <c r="AM109" i="6"/>
  <c r="AM110" i="6"/>
  <c r="S113" i="6"/>
  <c r="AH41" i="6"/>
  <c r="AH42" i="6"/>
  <c r="AI42" i="6"/>
  <c r="AI43" i="6" s="1"/>
  <c r="AK115" i="6" l="1"/>
  <c r="AK114" i="6"/>
  <c r="AN110" i="6"/>
  <c r="AN109" i="6"/>
  <c r="AO104" i="6"/>
  <c r="AO105" i="6"/>
  <c r="AK118" i="6"/>
  <c r="AK38" i="6" s="1"/>
  <c r="AK41" i="6" s="1"/>
  <c r="AN100" i="6"/>
  <c r="AN99" i="6"/>
  <c r="AO98" i="6" s="1"/>
  <c r="S98" i="6" s="1"/>
  <c r="AH43" i="6"/>
  <c r="AJ42" i="6"/>
  <c r="AJ43" i="6" s="1"/>
  <c r="AK120" i="6" l="1"/>
  <c r="AK42" i="6" s="1"/>
  <c r="AO109" i="6"/>
  <c r="AO110" i="6"/>
  <c r="AO99" i="6"/>
  <c r="AO100" i="6"/>
  <c r="AL114" i="6"/>
  <c r="AL115" i="6"/>
  <c r="AP104" i="6"/>
  <c r="AP105" i="6"/>
  <c r="AK119" i="6"/>
  <c r="AP99" i="6" l="1"/>
  <c r="AP100" i="6"/>
  <c r="AM115" i="6"/>
  <c r="AM114" i="6"/>
  <c r="AL118" i="6"/>
  <c r="AL38" i="6" s="1"/>
  <c r="AL41" i="6" s="1"/>
  <c r="AP109" i="6"/>
  <c r="AP110" i="6"/>
  <c r="S110" i="6" s="1"/>
  <c r="AK43" i="6"/>
  <c r="AL120" i="6" l="1"/>
  <c r="AL42" i="6" s="1"/>
  <c r="AL43" i="6" s="1"/>
  <c r="AL119" i="6"/>
  <c r="AN115" i="6"/>
  <c r="AN114" i="6"/>
  <c r="S105" i="6"/>
  <c r="AO115" i="6" l="1"/>
  <c r="AO114" i="6"/>
  <c r="AM118" i="6"/>
  <c r="AM38" i="6" s="1"/>
  <c r="AM41" i="6" s="1"/>
  <c r="AM119" i="6" l="1"/>
  <c r="AM120" i="6"/>
  <c r="AM42" i="6" s="1"/>
  <c r="AM43" i="6" s="1"/>
  <c r="AP115" i="6"/>
  <c r="AP114" i="6"/>
  <c r="S100" i="6"/>
  <c r="AN118" i="6" l="1"/>
  <c r="AN38" i="6" s="1"/>
  <c r="AN41" i="6" s="1"/>
  <c r="AN120" i="6" l="1"/>
  <c r="AN42" i="6" s="1"/>
  <c r="AN43" i="6" s="1"/>
  <c r="AN119" i="6"/>
  <c r="S115" i="6"/>
  <c r="AO118" i="6" l="1"/>
  <c r="AO120" i="6" s="1"/>
  <c r="AO42" i="6" l="1"/>
  <c r="AO119" i="6"/>
  <c r="AO38" i="6"/>
  <c r="AP118" i="6" l="1"/>
  <c r="AP119" i="6" s="1"/>
  <c r="AO41" i="6"/>
  <c r="AO43" i="6" s="1"/>
  <c r="AP38" i="6" l="1"/>
  <c r="S118" i="6"/>
  <c r="AP120" i="6"/>
  <c r="AP42" i="6" l="1"/>
  <c r="S42" i="6" s="1"/>
  <c r="S120" i="6"/>
  <c r="AP41" i="6"/>
  <c r="S38" i="6"/>
  <c r="AP43" i="6" l="1"/>
  <c r="S43" i="6" s="1"/>
  <c r="S41" i="6"/>
</calcChain>
</file>

<file path=xl/sharedStrings.xml><?xml version="1.0" encoding="utf-8"?>
<sst xmlns="http://schemas.openxmlformats.org/spreadsheetml/2006/main" count="756" uniqueCount="481">
  <si>
    <t>_description</t>
  </si>
  <si>
    <t>_start</t>
  </si>
  <si>
    <t>_end</t>
  </si>
  <si>
    <t>_index</t>
  </si>
  <si>
    <t>c5</t>
  </si>
  <si>
    <t>c6</t>
  </si>
  <si>
    <t>c7</t>
  </si>
  <si>
    <t>md_hd_0</t>
  </si>
  <si>
    <t>md_h_0</t>
  </si>
  <si>
    <t>md_h_1</t>
  </si>
  <si>
    <t>md_0_model_frontpage</t>
  </si>
  <si>
    <t>md_0_model_scenario-assumptions_1</t>
  </si>
  <si>
    <t>c8</t>
  </si>
  <si>
    <t>c9</t>
  </si>
  <si>
    <t>c10</t>
  </si>
  <si>
    <t>c11</t>
  </si>
  <si>
    <t>c12</t>
  </si>
  <si>
    <t>repeaters</t>
  </si>
  <si>
    <t>md_2_scenario-page_page</t>
  </si>
  <si>
    <t>md_2_start_0</t>
  </si>
  <si>
    <t>md_2_help_3</t>
  </si>
  <si>
    <t>md_2_help_4</t>
  </si>
  <si>
    <t>md_2_help_5</t>
  </si>
  <si>
    <t>md_2_opex_header-sep1</t>
  </si>
  <si>
    <t>md_2_categories_sep</t>
  </si>
  <si>
    <t>md_2_opex_total-block</t>
  </si>
  <si>
    <t>md_2_opex_total-sep2</t>
  </si>
  <si>
    <t>md_2_capex_section-sep</t>
  </si>
  <si>
    <t>md_2_capex_section-header</t>
  </si>
  <si>
    <t>md_2_capex_header-title</t>
  </si>
  <si>
    <t>md_2_capex_header-pl-title-block</t>
  </si>
  <si>
    <t>md_2_capex_header-pl-adj-block</t>
  </si>
  <si>
    <t>md_2_capex_header-pl-frm-block</t>
  </si>
  <si>
    <t>md_2_capex_header-sep</t>
  </si>
  <si>
    <t>md_2_capex_header-main-block</t>
  </si>
  <si>
    <t>md_2_capex_phases-sep</t>
  </si>
  <si>
    <t>md_2_capex-phases_phase</t>
  </si>
  <si>
    <t>md_2_capex-deliveries_0</t>
  </si>
  <si>
    <t>md_2_capex-phases_sep</t>
  </si>
  <si>
    <t>md_2_capex_total1-sep3</t>
  </si>
  <si>
    <t>md_2_capex_total-risks-block</t>
  </si>
  <si>
    <t>md_2_capex_total-risks-sep</t>
  </si>
  <si>
    <t>md_2_capex_total-combined-block</t>
  </si>
  <si>
    <t>md_2_capex_total-combined-sep</t>
  </si>
  <si>
    <t>md_2_benefits_header-title</t>
  </si>
  <si>
    <t>md_2_benefits_header-main-block</t>
  </si>
  <si>
    <t>md_2_benefits_header-sep-block</t>
  </si>
  <si>
    <t>md_2_benefits-operating-expenses_0</t>
  </si>
  <si>
    <t>md_2_benefits_total-sep1</t>
  </si>
  <si>
    <t>md_2_benefits_total-block</t>
  </si>
  <si>
    <t>md_2_benefits_total-sep2</t>
  </si>
  <si>
    <t>md_1_header_0</t>
  </si>
  <si>
    <t>md_1_header_1</t>
  </si>
  <si>
    <t>md_1_about_header</t>
  </si>
  <si>
    <t>md_1_about_h4</t>
  </si>
  <si>
    <t>md_1_about_name</t>
  </si>
  <si>
    <t>md_1_about_owner</t>
  </si>
  <si>
    <t>md_1_about_manager</t>
  </si>
  <si>
    <t>md_1_fixed-assets_header</t>
  </si>
  <si>
    <t>md_1_fixed-assets_expl</t>
  </si>
  <si>
    <t>md_1_asset_title</t>
  </si>
  <si>
    <t>md_1_asset_name</t>
  </si>
  <si>
    <t>md_1_asset_start-dtm</t>
  </si>
  <si>
    <t>md_1_asset_depreciation-years</t>
  </si>
  <si>
    <t>md_1_accounting_header</t>
  </si>
  <si>
    <t>md_1_accounting_header2</t>
  </si>
  <si>
    <t>md_1_accounting_pl-year</t>
  </si>
  <si>
    <t>md_1_accounting_side1</t>
  </si>
  <si>
    <t>md_1_accounting_reporting-year</t>
  </si>
  <si>
    <t>md_1_accounting_side2</t>
  </si>
  <si>
    <t>md_1_accounting_accounts-ending</t>
  </si>
  <si>
    <t>md_1_accounting_end</t>
  </si>
  <si>
    <t>c.5</t>
  </si>
  <si>
    <t>c.6</t>
  </si>
  <si>
    <t>c.7</t>
  </si>
  <si>
    <t>c.8</t>
  </si>
  <si>
    <t>c.9</t>
  </si>
  <si>
    <t>c.10</t>
  </si>
  <si>
    <t>c.11</t>
  </si>
  <si>
    <t>g_phase_names</t>
  </si>
  <si>
    <t>g_interest_FF4</t>
  </si>
  <si>
    <t>g_interest_discount</t>
  </si>
  <si>
    <t>g_pl_years_start</t>
  </si>
  <si>
    <t>g_pl_years_end</t>
  </si>
  <si>
    <t>g_pl_years</t>
  </si>
  <si>
    <t>g_pl_factors</t>
  </si>
  <si>
    <t>g_sc_1_capex</t>
  </si>
  <si>
    <t>g_sc_1_opex</t>
  </si>
  <si>
    <t>g_assets_sc_1</t>
  </si>
  <si>
    <t>g_pl_year</t>
  </si>
  <si>
    <t>g_reporting_year</t>
  </si>
  <si>
    <t>g_pl_factor</t>
  </si>
  <si>
    <t>|Vælg fase&gt;|</t>
  </si>
  <si>
    <t>|Vælg anlæg &gt;|</t>
  </si>
  <si>
    <t>Analysefase</t>
  </si>
  <si>
    <t>Gennemførelsesfase</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</si>
  <si>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</si>
  <si>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</si>
  <si>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</si>
  <si>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</si>
  <si>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</si>
  <si>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</si>
  <si>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</si>
  <si>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</si>
  <si>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</si>
  <si>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</si>
  <si>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</si>
  <si>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</si>
  <si>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</si>
  <si>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</si>
  <si>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</si>
  <si>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</si>
  <si>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</si>
  <si>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</si>
  <si>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</si>
  <si>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</si>
  <si>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</si>
  <si>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</si>
  <si>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</si>
  <si>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</si>
  <si>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</si>
  <si>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</si>
  <si>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</si>
  <si>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</si>
  <si>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</si>
  <si>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</si>
  <si>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</si>
  <si>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header</t>
  </si>
  <si>
    <t>Projekt</t>
  </si>
  <si>
    <t>Stamoplysninger</t>
  </si>
  <si>
    <t>c48</t>
  </si>
  <si>
    <t>c49</t>
  </si>
  <si>
    <t>c50</t>
  </si>
  <si>
    <t>c51</t>
  </si>
  <si>
    <t>c52</t>
  </si>
  <si>
    <t>c53</t>
  </si>
  <si>
    <t>c54</t>
  </si>
  <si>
    <t>c55</t>
  </si>
  <si>
    <t>c56</t>
  </si>
  <si>
    <t>c57</t>
  </si>
  <si>
    <t>c58</t>
  </si>
  <si>
    <t>c59</t>
  </si>
  <si>
    <t>c60</t>
  </si>
  <si>
    <t>c61</t>
  </si>
  <si>
    <t>composite_uid</t>
  </si>
  <si>
    <t>bookmark</t>
  </si>
  <si>
    <t>repeat</t>
  </si>
  <si>
    <t>renderCounter</t>
  </si>
  <si>
    <t>h</t>
  </si>
  <si>
    <t>v</t>
  </si>
  <si>
    <t xml:space="preserve"> </t>
  </si>
  <si>
    <t>Angiver som basisår det år, som data stammer fra, og hvor priser mv. blev beregnet.
Indtastningsåret stemmer ikke nødvendigvis med indeværende år.</t>
  </si>
  <si>
    <t>Angiver det år, som data skal fremregnes til (eller undtagelsesvist tilbageregnes til).
Rapporteringsåret vil som regel være indeværende år.</t>
  </si>
  <si>
    <t>worst-case</t>
  </si>
  <si>
    <t>Vigtigt:</t>
  </si>
  <si>
    <t>Grundlag for estimat</t>
  </si>
  <si>
    <t>Anlæg</t>
  </si>
  <si>
    <t>Risikopulje</t>
  </si>
  <si>
    <t>Oversigtstabel til Finansudvalget</t>
  </si>
  <si>
    <t>Omkostningsbaserede projektudgifter</t>
  </si>
  <si>
    <t>Aktiverbare projektudgifter, afskrivninger</t>
  </si>
  <si>
    <t>Ikke-aktiverbare projektudgifter</t>
  </si>
  <si>
    <t>Renter</t>
  </si>
  <si>
    <t>Fase- og leveranceopdelt budget og forbrug, udgiftsbaseret</t>
  </si>
  <si>
    <t>%</t>
  </si>
  <si>
    <t>Total forbrug</t>
  </si>
  <si>
    <t>Afskrivningsprofiler</t>
  </si>
  <si>
    <t>Køb af anlægsaktiver</t>
  </si>
  <si>
    <t>Afskrivninger</t>
  </si>
  <si>
    <t>FF4-gæld, ultimo året</t>
  </si>
  <si>
    <t>Renter (FF4)</t>
  </si>
  <si>
    <t>Regnskabstekniske oplysninger</t>
  </si>
  <si>
    <t>Projektnavn</t>
  </si>
  <si>
    <t>Projektleder</t>
  </si>
  <si>
    <t>Anlægstitel</t>
  </si>
  <si>
    <t>Ibrugtagningsdato</t>
  </si>
  <si>
    <t>Afskrivningsperiode (3, 5 eller 8 år)</t>
  </si>
  <si>
    <t>Indtastningsår</t>
  </si>
  <si>
    <t>Rapporteringsår</t>
  </si>
  <si>
    <t>Leverancer</t>
  </si>
  <si>
    <t>Indplacering af risikopuljen (pct.):</t>
  </si>
  <si>
    <t>Sådan skal du gøre</t>
  </si>
  <si>
    <t>L1</t>
  </si>
  <si>
    <t>L2</t>
  </si>
  <si>
    <t>L3</t>
  </si>
  <si>
    <t>L4</t>
  </si>
  <si>
    <t>L5</t>
  </si>
  <si>
    <t>L6</t>
  </si>
  <si>
    <t>L7</t>
  </si>
  <si>
    <t>L8</t>
  </si>
  <si>
    <t>L9</t>
  </si>
  <si>
    <t>L10</t>
  </si>
  <si>
    <t>L11</t>
  </si>
  <si>
    <t>L12</t>
  </si>
  <si>
    <t>L13</t>
  </si>
  <si>
    <t>L14</t>
  </si>
  <si>
    <t>L15</t>
  </si>
  <si>
    <t>L16</t>
  </si>
  <si>
    <t>L17</t>
  </si>
  <si>
    <t>L18</t>
  </si>
  <si>
    <t>L19</t>
  </si>
  <si>
    <t>L20</t>
  </si>
  <si>
    <t>logo</t>
  </si>
  <si>
    <t>h_2</t>
  </si>
  <si>
    <t>h_3</t>
  </si>
  <si>
    <t>h_4</t>
  </si>
  <si>
    <t>capex-section</t>
  </si>
  <si>
    <t>capex-section_title</t>
  </si>
  <si>
    <t>capex</t>
  </si>
  <si>
    <t>capex_pl-adjustment_end</t>
  </si>
  <si>
    <t>capex_years</t>
  </si>
  <si>
    <t>capex_phases</t>
  </si>
  <si>
    <t>capex_phases_2</t>
  </si>
  <si>
    <t>capex_phases_2_1</t>
  </si>
  <si>
    <t>capex_phases_2_2</t>
  </si>
  <si>
    <t>capex_phases_2_3</t>
  </si>
  <si>
    <t>capex_phases_2_4</t>
  </si>
  <si>
    <t>capex_phases_2-end</t>
  </si>
  <si>
    <t>capex_phases_4</t>
  </si>
  <si>
    <t>capex_phases_4_1</t>
  </si>
  <si>
    <t>capex_phases_4_2</t>
  </si>
  <si>
    <t>capex_phases_4_3</t>
  </si>
  <si>
    <t>capex_phases_4_4</t>
  </si>
  <si>
    <t>capex_phases_4_5</t>
  </si>
  <si>
    <t>capex_phases_4_6</t>
  </si>
  <si>
    <t>capex_phases_4_7</t>
  </si>
  <si>
    <t>capex_phases_4_8</t>
  </si>
  <si>
    <t>capex_phases_4_9</t>
  </si>
  <si>
    <t>capex_phases_4_10</t>
  </si>
  <si>
    <t>capex_phases_4_11</t>
  </si>
  <si>
    <t>capex_phases_4_12</t>
  </si>
  <si>
    <t>capex_phases_4_13</t>
  </si>
  <si>
    <t>capex_phases_4_14</t>
  </si>
  <si>
    <t>capex_phases_4_15</t>
  </si>
  <si>
    <t>capex_phases_4-end</t>
  </si>
  <si>
    <t>capex_total</t>
  </si>
  <si>
    <t>capex_categories_1-end1</t>
  </si>
  <si>
    <t>capex_categories_1-end3</t>
  </si>
  <si>
    <t>capex_pl-adjustment_title</t>
  </si>
  <si>
    <t>capex_pl-adjustment_years-av1</t>
  </si>
  <si>
    <t>capex_pl-adjustment_factor</t>
  </si>
  <si>
    <t>capex_pl-factor</t>
  </si>
  <si>
    <t>capex_total-pl-adjusted</t>
  </si>
  <si>
    <t>capex_total_end1</t>
  </si>
  <si>
    <t>capex_total_end2</t>
  </si>
  <si>
    <t>capex_total_end3</t>
  </si>
  <si>
    <t>capex_total_risk</t>
  </si>
  <si>
    <t>capex_total_risk-end</t>
  </si>
  <si>
    <t>capex_total_combined</t>
  </si>
  <si>
    <t>capex_total_combined-end</t>
  </si>
  <si>
    <t>benefits</t>
  </si>
  <si>
    <t>opex_pl-adjustment_end</t>
  </si>
  <si>
    <t>benefits_years</t>
  </si>
  <si>
    <t>benefits_operating-expenses</t>
  </si>
  <si>
    <t>benefits_operating-expenses_1</t>
  </si>
  <si>
    <t>benefits_operating-expenses_2</t>
  </si>
  <si>
    <t>benefits_operating-expenses_3</t>
  </si>
  <si>
    <t>benefits_operating-expenses_4</t>
  </si>
  <si>
    <t>benefits_operating-expenses_5</t>
  </si>
  <si>
    <t>benefits_operating-expenses_end</t>
  </si>
  <si>
    <t>benefits_total</t>
  </si>
  <si>
    <t>benefits_end</t>
  </si>
  <si>
    <t>D1</t>
  </si>
  <si>
    <t>D2</t>
  </si>
  <si>
    <t>D3</t>
  </si>
  <si>
    <t>D4</t>
  </si>
  <si>
    <t>D5</t>
  </si>
  <si>
    <t>Driftseffekter</t>
  </si>
  <si>
    <t>Samlede effekter</t>
  </si>
  <si>
    <t>capex_phases_2_5</t>
  </si>
  <si>
    <t>md_1_phase_name</t>
  </si>
  <si>
    <t>md_1_phase_start-dtm</t>
  </si>
  <si>
    <t>Startdato</t>
  </si>
  <si>
    <t>md_1_deliveries_separator</t>
  </si>
  <si>
    <t>md_1_scenario_phases-end-dtm</t>
  </si>
  <si>
    <t>Slutdato</t>
  </si>
  <si>
    <t>Om projektet</t>
  </si>
  <si>
    <t>Ikke aktiverbar</t>
  </si>
  <si>
    <t>phases_items_2_deliveries-end</t>
  </si>
  <si>
    <t>phases_items_2</t>
  </si>
  <si>
    <t>phases_items_2_start-dtm</t>
  </si>
  <si>
    <t>phases_items_4</t>
  </si>
  <si>
    <t>phases_items_4_start-dtm</t>
  </si>
  <si>
    <t>phases_end-dtm</t>
  </si>
  <si>
    <t>fixed-assets</t>
  </si>
  <si>
    <t>fixed-assets_expl</t>
  </si>
  <si>
    <t>fixed-assets_items</t>
  </si>
  <si>
    <t>fixed-assets_items_1</t>
  </si>
  <si>
    <t>fixed-assets_items_2</t>
  </si>
  <si>
    <t>fixed-assets_items_3</t>
  </si>
  <si>
    <t>fixed-assets_items_4</t>
  </si>
  <si>
    <t>fixed-assets_items_5</t>
  </si>
  <si>
    <t>page</t>
  </si>
  <si>
    <t>header_0</t>
  </si>
  <si>
    <t>about</t>
  </si>
  <si>
    <t>about_header</t>
  </si>
  <si>
    <t>about_name</t>
  </si>
  <si>
    <t>about_owner</t>
  </si>
  <si>
    <t>about_manager</t>
  </si>
  <si>
    <t>accounting_space</t>
  </si>
  <si>
    <t>accounting-end</t>
  </si>
  <si>
    <t>accounting</t>
  </si>
  <si>
    <t>accounting_header</t>
  </si>
  <si>
    <t>accounting_pl-year-val</t>
  </si>
  <si>
    <t>accounting_desc1</t>
  </si>
  <si>
    <t>accounting_reporting-year-val</t>
  </si>
  <si>
    <t>accounting_desc2</t>
  </si>
  <si>
    <t>g_sc_1_assets_years</t>
  </si>
  <si>
    <t>g_sc_1_assets_dates</t>
  </si>
  <si>
    <t>g_sc_1_phases_years</t>
  </si>
  <si>
    <t>c.12</t>
  </si>
  <si>
    <t>c.13</t>
  </si>
  <si>
    <t>c.14</t>
  </si>
  <si>
    <t>c.15</t>
  </si>
  <si>
    <t>c.16</t>
  </si>
  <si>
    <t>c.17</t>
  </si>
  <si>
    <t>c.18</t>
  </si>
  <si>
    <t>Projektets økonomiske nøgletal</t>
  </si>
  <si>
    <t>Oversigtstabeller</t>
  </si>
  <si>
    <t>c.1</t>
  </si>
  <si>
    <t>c.2</t>
  </si>
  <si>
    <t>c.3</t>
  </si>
  <si>
    <t>c.4</t>
  </si>
  <si>
    <t>g_lang_val</t>
  </si>
  <si>
    <t>g_lang_key</t>
  </si>
  <si>
    <t>Statens business case-model</t>
  </si>
  <si>
    <t>so_1</t>
  </si>
  <si>
    <t>so_1_1</t>
  </si>
  <si>
    <t>so_1_1_2</t>
  </si>
  <si>
    <t>so_1_1_1</t>
  </si>
  <si>
    <t>Har du spørgsmål til brugen af modellen, kan du kontakte Kontor for it-styring i Økonomistyrelsen.</t>
  </si>
  <si>
    <t>Husk at orientere dig i "Vejledning til Statens it-projektmodel", inden du går i gang med at bruge modellen. Du finder vejledningen på Økonomistyrelsens hjemmeside www.oes.dk.</t>
  </si>
  <si>
    <t>so_1_2</t>
  </si>
  <si>
    <t>so_1_3</t>
  </si>
  <si>
    <t>23 11 75 84</t>
  </si>
  <si>
    <t>(</t>
  </si>
  <si>
    <t>so_2</t>
  </si>
  <si>
    <t>so_2_1</t>
  </si>
  <si>
    <t>so_2_1_1</t>
  </si>
  <si>
    <t>so_2_1_1_1</t>
  </si>
  <si>
    <t>so_2_1_1_2</t>
  </si>
  <si>
    <t>so_2_1_1_3</t>
  </si>
  <si>
    <t>so_2_1_2</t>
  </si>
  <si>
    <t>so_2_1_2_1</t>
  </si>
  <si>
    <t>so_2_1_3</t>
  </si>
  <si>
    <t>so_2_1_3_1</t>
  </si>
  <si>
    <t>so_2_1_3_2</t>
  </si>
  <si>
    <t>so_3</t>
  </si>
  <si>
    <t>so_3_1</t>
  </si>
  <si>
    <t>so_3_1_1</t>
  </si>
  <si>
    <t>so_3_1_2</t>
  </si>
  <si>
    <t>so_3_1_3</t>
  </si>
  <si>
    <t>so_3_1_4</t>
  </si>
  <si>
    <t>so_4</t>
  </si>
  <si>
    <t>so_4_1</t>
  </si>
  <si>
    <t>so_4_1_1</t>
  </si>
  <si>
    <t>so_4_1_1_1</t>
  </si>
  <si>
    <t>so_4_1_2</t>
  </si>
  <si>
    <t>so_4_1_2_1</t>
  </si>
  <si>
    <t>le_1</t>
  </si>
  <si>
    <t>le_1_1</t>
  </si>
  <si>
    <t>le_2</t>
  </si>
  <si>
    <t>le_2_1</t>
  </si>
  <si>
    <t>le_2_1_1</t>
  </si>
  <si>
    <t>le_2_1_3</t>
  </si>
  <si>
    <t>le_2_1_4</t>
  </si>
  <si>
    <t>le_2_1_5</t>
  </si>
  <si>
    <t>le_2_2</t>
  </si>
  <si>
    <t>le_2_3</t>
  </si>
  <si>
    <t>le_2_5</t>
  </si>
  <si>
    <t>le_2_5_1</t>
  </si>
  <si>
    <t>le_2_6</t>
  </si>
  <si>
    <t>le_2_7</t>
  </si>
  <si>
    <t>le_2_6_1</t>
  </si>
  <si>
    <t>le_3</t>
  </si>
  <si>
    <t>le_3_1</t>
  </si>
  <si>
    <t>tb_1</t>
  </si>
  <si>
    <t>tb_1_1</t>
  </si>
  <si>
    <t>Tabel</t>
  </si>
  <si>
    <t>tb_1_1_1</t>
  </si>
  <si>
    <t>tb_1_1_1_1</t>
  </si>
  <si>
    <t>tb_1_1_1_2</t>
  </si>
  <si>
    <t>tb_2</t>
  </si>
  <si>
    <t>tb_2_1</t>
  </si>
  <si>
    <t>tb_2_1_1</t>
  </si>
  <si>
    <t>tb_1_1_2</t>
  </si>
  <si>
    <t>tb_1_1_3</t>
  </si>
  <si>
    <t>tb_1_1_5</t>
  </si>
  <si>
    <t>tb_1_1_6</t>
  </si>
  <si>
    <t>tb_2_2</t>
  </si>
  <si>
    <t>tb_2_2_1</t>
  </si>
  <si>
    <t>tb_2_4</t>
  </si>
  <si>
    <t>tb_2_4_1</t>
  </si>
  <si>
    <t>tb_2_4_2</t>
  </si>
  <si>
    <t>tb_2_4_3</t>
  </si>
  <si>
    <t>tb_2_4_4</t>
  </si>
  <si>
    <t>version</t>
  </si>
  <si>
    <t>5.0.0</t>
  </si>
  <si>
    <t>På forsiden indtaster du stamdata for projektet. De navne, startdatoer, anlæg og afskrivningsperioder, som du skriver på forsiden, overføres til skemaerne på de næste faner.</t>
  </si>
  <si>
    <t>Angiv hvorvidt der i projektet bliver bygget et anlæg/aktiv. Du SKAL tage stilling til, hvorvidt projektet indeholder et anlæg, før du kan bruge business case-modellen.
It-systemer er ofte regnskabsført som immaterielle anlægsaktiver, og hvis der et anlæg i projektet, skal du angive dato for ibrugtagning og længden på afskrivningsperioden. Afskrivningsperioden er i business case-modellen også gevinstrealiseringsperioden for projektet.</t>
  </si>
  <si>
    <t>Procentdel aktiveret (pct.)</t>
  </si>
  <si>
    <t>Procentdel eksterne (pct.)</t>
  </si>
  <si>
    <t>tb_2_1_2</t>
  </si>
  <si>
    <t>tb_2_1_3</t>
  </si>
  <si>
    <t>tb_1_1_4</t>
  </si>
  <si>
    <t>Interne</t>
  </si>
  <si>
    <t>Eksterne</t>
  </si>
  <si>
    <t xml:space="preserve">Mio. kr. </t>
  </si>
  <si>
    <t>tb_2_1_5</t>
  </si>
  <si>
    <t>tb_2_1_6</t>
  </si>
  <si>
    <t>tb_2_1_4</t>
  </si>
  <si>
    <t>Økonomiske nøgletal</t>
  </si>
  <si>
    <t xml:space="preserve">Driftseffekt </t>
  </si>
  <si>
    <t>Den samlede projektøkonomi</t>
  </si>
  <si>
    <t>Number (date - hour)</t>
  </si>
  <si>
    <t>Changes</t>
  </si>
  <si>
    <t>Made by</t>
  </si>
  <si>
    <t>JESTF</t>
  </si>
  <si>
    <t>Fix af små tastefejl og ændring af driftseffektslinjens visuelle udtryk</t>
  </si>
  <si>
    <t>18-01-2024  0942</t>
  </si>
  <si>
    <t>pl-år</t>
  </si>
  <si>
    <t>-pl</t>
  </si>
  <si>
    <t xml:space="preserve">Total </t>
  </si>
  <si>
    <t xml:space="preserve">Riskopulje </t>
  </si>
  <si>
    <t>[Indsæt grundlag eller beregning]</t>
  </si>
  <si>
    <t>le_4</t>
  </si>
  <si>
    <t>le_4_1</t>
  </si>
  <si>
    <t>le_4_2</t>
  </si>
  <si>
    <t>Afledt driftseffekt i tusinde kroner (t. kr.)</t>
  </si>
  <si>
    <t>Afledte økonomiske omkostninger i tusinde kroner (t. kr.)</t>
  </si>
  <si>
    <t>Projektudgifter i tusinde kroner (t. kr.)</t>
  </si>
  <si>
    <t>Nr.</t>
  </si>
  <si>
    <t>pl-faktor:</t>
  </si>
  <si>
    <t xml:space="preserve">pl-justeret </t>
  </si>
  <si>
    <t>pl-justeret, inkl. risikopulje</t>
  </si>
  <si>
    <t>Projektudgifter, ekskl. renter</t>
  </si>
  <si>
    <t>Total, ekskl. renter</t>
  </si>
  <si>
    <t>Total, inkl. renter</t>
  </si>
  <si>
    <t>c62</t>
  </si>
  <si>
    <t>c63</t>
  </si>
  <si>
    <t>c64</t>
  </si>
  <si>
    <t>c65</t>
  </si>
  <si>
    <t>c66</t>
  </si>
  <si>
    <t>c67</t>
  </si>
  <si>
    <t>c68</t>
  </si>
  <si>
    <t>c69</t>
  </si>
  <si>
    <t>c70</t>
  </si>
  <si>
    <t>c71</t>
  </si>
  <si>
    <t>c72</t>
  </si>
  <si>
    <t>c73</t>
  </si>
  <si>
    <t>c74</t>
  </si>
  <si>
    <t>20240131 1100</t>
  </si>
  <si>
    <t>Fixed UFST behov for 15 års afskrivninger og pl beregning på afskrivninger samt formateringer</t>
  </si>
  <si>
    <t>JESTF+FREWE</t>
  </si>
  <si>
    <t>Ændringslog</t>
  </si>
  <si>
    <t>09-02-2024 1453</t>
  </si>
  <si>
    <t>Fixed manglende pl-beregnig i tabel fanen for tabel 3+4 og for tabel 2 ikke-aktiverede projektudgifter ved direkte at gange med faktoren før vi dividerer med 1000</t>
  </si>
  <si>
    <t>c75</t>
  </si>
  <si>
    <t>c76</t>
  </si>
  <si>
    <t>c77</t>
  </si>
  <si>
    <t>c78</t>
  </si>
  <si>
    <t>c79</t>
  </si>
  <si>
    <t>c80</t>
  </si>
  <si>
    <t>c81</t>
  </si>
  <si>
    <t>c82</t>
  </si>
  <si>
    <t>c83</t>
  </si>
  <si>
    <t>12-02-2024  1206</t>
  </si>
  <si>
    <t>Fixed efter heavy test. Løst problemer med tabellerne i tabelfanen, indsat ekstea kolonner i pl-beregningen i leverancefanen. Testet for om tabellerne regner korrekt inkl. pl-beregning.</t>
  </si>
  <si>
    <t>12-02-2024  1542</t>
  </si>
  <si>
    <t>Fixed efter ligth test. Løst problemer med tabel 5 i tabelfanen, hvor den gangede kolonne AU fra leverancefanen på, so, angiver procentdel aktiveret. Dette var dog dobbelt, da vi nu allerede gør det i pl beregningen i leverancefanen.</t>
  </si>
  <si>
    <t>Drifts-, vedligeholds- og udviklingsomkostninger</t>
  </si>
  <si>
    <t>26-02-2024  1556</t>
  </si>
  <si>
    <t>Indsat pl-justering på risikopuljen og testet om den regner korrekt. Herefter er modellen blevet testet igen. Fandt en fejl i manglende formler i leverancetabellen for projektudgifter. Lader til at komme fra en tidligere test, hvor formlerne er blevet slettet ifm. at data er blevet slettet. Vær meget obs på det. Derudover er det nemt løst, da man kan tage første kolonne og trække den så langt man vil have formlerne til at gå ud.</t>
  </si>
  <si>
    <t>1) Driftseffekten er lig med forskellen mellem kommende (A) og eksisterende (B) drifts, vedligeholds- og udviklingsomkostninger (A - B = driftseffekten).
2) En positiv driftseffekt betyder en stigning i budgettet, mens en negativ driftseffekt vil betyde en gevinst / besparelse / effektivisering.
3) Det er gennem driftseffekten økonomiske gevinster synliggøres. I projektgrundlaget kan den samlede driftseffekt fordeles på de konkrete økonomiske gevinster.
4) Tabel for den afledte driftseffekt har samme pl-justering som tabel for afledte økonomiske omkostninger.</t>
  </si>
  <si>
    <t>le_3_2</t>
  </si>
  <si>
    <t>1) I denne tabel indtastes alene de kommende drifts-, vedligeholds- og udviklingsomkostninger.
2) Der henvises til Model for porteføljestyring af statslige it-systemer for definition af drifts-, vedligeholds- og udviklingsomkostninger, som kan findes på Økonomistyrelsens hjemmeside oes.dk.</t>
  </si>
  <si>
    <t>Indsat årstal i leverancefanen for indtastningsår og juteret den betingede formatering, så de kun fremgår for relevante år. Tilføjet tekst til hver af tabellerne i leverance fanen til hjælp for udfyldelse. Fixet indledende referancerproblemr opstået ved tilføjelse af flere rækker.</t>
  </si>
  <si>
    <t>Styregruppeformand</t>
  </si>
  <si>
    <t>Testet af Anton og Jeppe F - fandt en fejl i referencen i tabel 3 for risikopuljen. Denne er håndteret.</t>
  </si>
  <si>
    <t>1) Udgifter er i tusinde kroner.
2) Du kan kun indtaste data i de hvide felter.
3) Du kan bruge klip/kopier+indsæt-funktionen for værdier i de hvide felter.
4) Du kan bruge klip/kopier+indsæt-funktionen for leverancer/releases, men ikke for anlæg, da det kan ødelægge de bagvedliggende formler.</t>
  </si>
  <si>
    <t>Opdateret PL til juni 2024-tal. Nu kan modelle beregne 2025-tal.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</si>
</sst>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0.0;\-"/>
    <numFmt numFmtId="165" formatCode="#,##0;\-#,##0;\-"/>
    <numFmt numFmtId="166" formatCode="0;\-0;\-"/>
    <numFmt numFmtId="167" formatCode="0.00%;\-0.00%;\-"/>
    <numFmt numFmtId="168" formatCode="#;#;\-"/>
    <numFmt numFmtId="169" formatCode="#,##0.0;[Red]\-#,##0.0;\-"/>
    <numFmt numFmtId="170" formatCode="&quot;gross receipts for &quot;@"/>
    <numFmt numFmtId="171" formatCode="0.0%"/>
    <numFmt numFmtId="172" formatCode="0.0000"/>
    <numFmt numFmtId="173" formatCode="0.000"/>
  </numFmts>
  <fonts count="57" x14ac:knownFonts="1">
    <font>
      <sz val="10"/>
      <color theme="1"/>
      <name val="Calibri"/>
      <family val="2"/>
    </font>
    <font>
      <sz val="11"/>
      <color theme="1"/>
      <name val="Calibri"/>
      <family val="2"/>
      <scheme val="minor"/>
    </font>
    <font>
      <sz val="10"/>
      <color theme="0"/>
      <name val="Calibri"/>
      <family val="2"/>
      <scheme val="minor"/>
    </font>
    <font>
      <sz val="10"/>
      <color theme="1"/>
      <name val="Calibri"/>
      <family val="2"/>
      <scheme val="minor"/>
    </font>
    <font>
      <sz val="9"/>
      <color theme="0"/>
      <name val="Arial"/>
      <family val="2"/>
    </font>
    <font>
      <sz val="9"/>
      <color theme="1"/>
      <name val="Arial"/>
      <family val="2"/>
    </font>
    <font>
      <sz val="10"/>
      <color theme="1"/>
      <name val="Arial"/>
      <family val="2"/>
    </font>
    <font>
      <sz val="10"/>
      <color rgb="FFFFFFFF"/>
      <name val="Arial"/>
      <family val="2"/>
    </font>
    <font>
      <sz val="9"/>
      <color rgb="FFFFFFFF"/>
      <name val="Arial"/>
      <family val="2"/>
    </font>
    <font>
      <b/>
      <sz val="9"/>
      <color theme="1"/>
      <name val="Arial"/>
      <family val="2"/>
    </font>
    <font>
      <b/>
      <sz val="16"/>
      <color theme="0"/>
      <name val="Arial"/>
      <family val="2"/>
    </font>
    <font>
      <b/>
      <sz val="14.4"/>
      <color theme="1"/>
      <name val="Arial"/>
      <family val="2"/>
    </font>
    <font>
      <sz val="11"/>
      <color theme="1"/>
      <name val="Arial"/>
      <family val="2"/>
    </font>
    <font>
      <sz val="10"/>
      <color rgb="FF808080"/>
      <name val="Arial"/>
      <family val="2"/>
    </font>
    <font>
      <b/>
      <sz val="12"/>
      <color theme="1"/>
      <name val="Arial"/>
      <family val="2"/>
    </font>
    <font>
      <sz val="10"/>
      <color rgb="FF6E011E"/>
      <name val="Arial"/>
      <family val="2"/>
    </font>
    <font>
      <b/>
      <sz val="10"/>
      <color theme="1"/>
      <name val="Arial"/>
      <family val="2"/>
    </font>
    <font>
      <b/>
      <sz val="22"/>
      <color rgb="FF575755"/>
      <name val="Arial"/>
      <family val="2"/>
    </font>
    <font>
      <b/>
      <sz val="18"/>
      <color rgb="FF9C0027"/>
      <name val="Arial"/>
      <family val="2"/>
    </font>
    <font>
      <b/>
      <sz val="12"/>
      <color rgb="FFFFFFFF"/>
      <name val="Arial"/>
      <family val="2"/>
    </font>
    <font>
      <b/>
      <sz val="9"/>
      <color rgb="FFFFFFFF"/>
      <name val="Arial"/>
      <family val="2"/>
    </font>
    <font>
      <sz val="9"/>
      <color rgb="FF9C0027"/>
      <name val="Arial"/>
      <family val="2"/>
    </font>
    <font>
      <b/>
      <sz val="13"/>
      <color rgb="FF808080"/>
      <name val="Arial"/>
      <family val="2"/>
    </font>
    <font>
      <sz val="9"/>
      <color rgb="FF2686AC"/>
      <name val="Arial"/>
      <family val="2"/>
    </font>
    <font>
      <sz val="9"/>
      <color rgb="FFA6A6A6"/>
      <name val="Arial"/>
      <family val="2"/>
    </font>
    <font>
      <b/>
      <sz val="20"/>
      <color theme="1"/>
      <name val="Arial"/>
      <family val="2"/>
    </font>
    <font>
      <b/>
      <sz val="12"/>
      <color rgb="FF366092"/>
      <name val="Arial"/>
      <family val="2"/>
    </font>
    <font>
      <sz val="18"/>
      <color theme="1"/>
      <name val="Arial"/>
      <family val="2"/>
    </font>
    <font>
      <b/>
      <sz val="10"/>
      <color rgb="FF808080"/>
      <name val="Arial"/>
      <family val="2"/>
    </font>
    <font>
      <sz val="9"/>
      <color rgb="FFF8F8DE"/>
      <name val="Arial"/>
      <family val="2"/>
    </font>
    <font>
      <sz val="19.2"/>
      <color rgb="FF000000"/>
      <name val="Arial"/>
      <family val="2"/>
    </font>
    <font>
      <sz val="10"/>
      <color rgb="FFD9D9D9"/>
      <name val="Arial"/>
      <family val="2"/>
    </font>
    <font>
      <sz val="10"/>
      <color theme="2" tint="-0.499984740745262"/>
      <name val="Calibri"/>
      <family val="2"/>
    </font>
    <font>
      <sz val="9"/>
      <color theme="2" tint="-0.499984740745262"/>
      <name val="Arial"/>
      <family val="2"/>
    </font>
    <font>
      <b/>
      <sz val="9"/>
      <color theme="2" tint="-0.499984740745262"/>
      <name val="Arial"/>
      <family val="2"/>
    </font>
    <font>
      <sz val="12"/>
      <color theme="1"/>
      <name val="Arial"/>
      <family val="2"/>
    </font>
    <font>
      <sz val="20"/>
      <color theme="1"/>
      <name val="Wingdings"/>
      <charset val="2"/>
    </font>
    <font>
      <sz val="26"/>
      <color theme="1"/>
      <name val="Wingdings"/>
      <charset val="2"/>
    </font>
    <font>
      <b/>
      <sz val="8"/>
      <color rgb="FFFFFFFF"/>
      <name val="Arial"/>
      <family val="2"/>
    </font>
    <font>
      <sz val="10"/>
      <color theme="1" tint="0.499984740745262"/>
      <name val="Arial"/>
      <family val="2"/>
    </font>
    <font>
      <sz val="10"/>
      <name val="Arial"/>
      <family val="2"/>
    </font>
    <font>
      <b/>
      <sz val="10"/>
      <name val="Arial"/>
      <family val="2"/>
    </font>
    <font>
      <b/>
      <sz val="9"/>
      <name val="Arial"/>
      <family val="2"/>
    </font>
    <font>
      <sz val="9"/>
      <name val="Arial"/>
      <family val="2"/>
    </font>
    <font>
      <b/>
      <sz val="36"/>
      <color rgb="FF066B43"/>
      <name val="Arial"/>
      <family val="2"/>
    </font>
    <font>
      <b/>
      <sz val="18"/>
      <color rgb="FF066B43"/>
      <name val="Arial"/>
      <family val="2"/>
    </font>
    <font>
      <b/>
      <sz val="14.4"/>
      <color rgb="FF066B43"/>
      <name val="Arial"/>
      <family val="2"/>
    </font>
    <font>
      <b/>
      <sz val="12"/>
      <color rgb="FF2686AC"/>
      <name val="Arial"/>
      <family val="2"/>
    </font>
    <font>
      <sz val="11"/>
      <color rgb="FF9C6500"/>
      <name val="Calibri"/>
      <family val="2"/>
      <scheme val="minor"/>
    </font>
    <font>
      <sz val="9"/>
      <color theme="1" tint="0.499984740745262"/>
      <name val="Arial"/>
      <family val="2"/>
    </font>
    <font>
      <sz val="11"/>
      <color rgb="FFFFFFFF"/>
      <name val="Calibri"/>
      <family val="2"/>
      <scheme val="minor"/>
    </font>
    <font>
      <sz val="9"/>
      <color theme="1"/>
      <name val="Calibri"/>
      <family val="2"/>
      <scheme val="minor"/>
    </font>
    <font>
      <b/>
      <sz val="22"/>
      <color rgb="FF575755"/>
      <name val="Calibri"/>
      <family val="2"/>
      <scheme val="minor"/>
    </font>
    <font>
      <b/>
      <sz val="22"/>
      <color rgb="FF575755"/>
      <name val="Calibri"/>
      <family val="2"/>
    </font>
    <font>
      <b/>
      <sz val="12"/>
      <color rgb="FFFFFFFF"/>
      <name val="Calibri"/>
      <family val="2"/>
      <scheme val="minor"/>
    </font>
    <font>
      <sz val="9"/>
      <color theme="0" tint="-0.34998626667073579"/>
      <name val="Arial"/>
      <family val="2"/>
    </font>
    <font>
      <b/>
      <sz val="18"/>
      <name val="Arial"/>
      <family val="2"/>
    </font>
  </fonts>
  <fills count="32">
    <fill>
      <patternFill patternType="none"/>
    </fill>
    <fill>
      <patternFill patternType="gray125"/>
    </fill>
    <fill>
      <patternFill patternType="solid">
        <fgColor theme="1"/>
        <bgColor indexed="64"/>
      </patternFill>
    </fill>
    <fill>
      <patternFill patternType="solid">
        <fgColor theme="4" tint="0.59999389629810485"/>
        <bgColor indexed="64"/>
      </patternFill>
    </fill>
    <fill>
      <patternFill patternType="solid">
        <fgColor theme="3"/>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2" tint="-0.749992370372631"/>
        <bgColor indexed="64"/>
      </patternFill>
    </fill>
    <fill>
      <patternFill patternType="solid">
        <fgColor theme="3" tint="-0.499984740745262"/>
        <bgColor indexed="64"/>
      </patternFill>
    </fill>
    <fill>
      <patternFill patternType="solid">
        <fgColor rgb="FFF9F8F3"/>
        <bgColor indexed="64"/>
      </patternFill>
    </fill>
    <fill>
      <patternFill patternType="solid">
        <fgColor rgb="FF575755"/>
        <bgColor indexed="64"/>
      </patternFill>
    </fill>
    <fill>
      <patternFill patternType="solid">
        <fgColor rgb="FF1A6B89"/>
        <bgColor indexed="64"/>
      </patternFill>
    </fill>
    <fill>
      <patternFill patternType="solid">
        <fgColor rgb="FF024C17"/>
        <bgColor indexed="64"/>
      </patternFill>
    </fill>
    <fill>
      <patternFill patternType="solid">
        <fgColor rgb="FFF8F8DE"/>
        <bgColor indexed="64"/>
      </patternFill>
    </fill>
    <fill>
      <patternFill patternType="solid">
        <fgColor rgb="FFF3F2F2"/>
        <bgColor indexed="64"/>
      </patternFill>
    </fill>
    <fill>
      <patternFill patternType="solid">
        <fgColor rgb="FFFFFFFF"/>
        <bgColor indexed="64"/>
      </patternFill>
    </fill>
    <fill>
      <patternFill patternType="solid">
        <fgColor rgb="FFD9D9D9"/>
        <bgColor indexed="64"/>
      </patternFill>
    </fill>
    <fill>
      <patternFill patternType="solid">
        <fgColor rgb="FFEBEAE5"/>
        <bgColor indexed="64"/>
      </patternFill>
    </fill>
    <fill>
      <gradientFill degree="90">
        <stop position="0">
          <color rgb="FFD9D9D9"/>
        </stop>
        <stop position="1">
          <color rgb="FFF9F8F3"/>
        </stop>
      </gradientFill>
    </fill>
    <fill>
      <patternFill patternType="solid">
        <fgColor rgb="FF6E011E"/>
        <bgColor indexed="64"/>
      </patternFill>
    </fill>
    <fill>
      <patternFill patternType="solid">
        <fgColor rgb="FF9C0027"/>
        <bgColor indexed="64"/>
      </patternFill>
    </fill>
    <fill>
      <patternFill patternType="solid">
        <fgColor rgb="FFDADADA"/>
        <bgColor indexed="64"/>
      </patternFill>
    </fill>
    <fill>
      <patternFill patternType="solid">
        <fgColor rgb="FFF1F6FA"/>
        <bgColor indexed="64"/>
      </patternFill>
    </fill>
    <fill>
      <patternFill patternType="solid">
        <fgColor rgb="FF4C0014"/>
        <bgColor indexed="64"/>
      </patternFill>
    </fill>
    <fill>
      <patternFill patternType="solid">
        <fgColor rgb="FF2686AC"/>
        <bgColor indexed="64"/>
      </patternFill>
    </fill>
    <fill>
      <patternFill patternType="solid">
        <fgColor rgb="FF11485B"/>
        <bgColor indexed="64"/>
      </patternFill>
    </fill>
    <fill>
      <patternFill patternType="solid">
        <fgColor rgb="FF017024"/>
        <bgColor indexed="64"/>
      </patternFill>
    </fill>
    <fill>
      <gradientFill degree="90">
        <stop position="0">
          <color rgb="FFD9D9D9"/>
        </stop>
        <stop position="1">
          <color rgb="FFFFFFFF"/>
        </stop>
      </gradientFill>
    </fill>
    <fill>
      <patternFill patternType="solid">
        <fgColor rgb="FFFFEB9C"/>
      </patternFill>
    </fill>
    <fill>
      <patternFill patternType="solid">
        <fgColor rgb="FFF9F8F3"/>
        <bgColor rgb="FF000000"/>
      </patternFill>
    </fill>
    <fill>
      <patternFill patternType="solid">
        <fgColor theme="9" tint="-0.499984740745262"/>
        <bgColor indexed="64"/>
      </patternFill>
    </fill>
  </fills>
  <borders count="46">
    <border>
      <left/>
      <right/>
      <top/>
      <bottom/>
      <diagonal/>
    </border>
    <border>
      <left/>
      <right style="thin">
        <color rgb="FFEBEAE5"/>
      </right>
      <top/>
      <bottom/>
      <diagonal/>
    </border>
    <border>
      <left/>
      <right/>
      <top/>
      <bottom style="thin">
        <color rgb="FFCDCDCD"/>
      </bottom>
      <diagonal/>
    </border>
    <border>
      <left style="thin">
        <color rgb="FFCDCDCD"/>
      </left>
      <right/>
      <top/>
      <bottom/>
      <diagonal/>
    </border>
    <border>
      <left/>
      <right style="thin">
        <color rgb="FFCDCDCD"/>
      </right>
      <top/>
      <bottom/>
      <diagonal/>
    </border>
    <border>
      <left style="thin">
        <color rgb="FFCDCDCD"/>
      </left>
      <right/>
      <top style="thin">
        <color rgb="FFCDCDCD"/>
      </top>
      <bottom/>
      <diagonal/>
    </border>
    <border>
      <left style="thin">
        <color rgb="FFCDCDCD"/>
      </left>
      <right/>
      <top/>
      <bottom style="thin">
        <color rgb="FFCDCDCD"/>
      </bottom>
      <diagonal/>
    </border>
    <border>
      <left/>
      <right/>
      <top style="thin">
        <color rgb="FFCDCDCD"/>
      </top>
      <bottom/>
      <diagonal/>
    </border>
    <border>
      <left style="thin">
        <color rgb="FFCDCDCD"/>
      </left>
      <right style="thin">
        <color rgb="FFCDCDCD"/>
      </right>
      <top style="thin">
        <color rgb="FFCDCDCD"/>
      </top>
      <bottom style="thin">
        <color rgb="FFCDCDCD"/>
      </bottom>
      <diagonal/>
    </border>
    <border>
      <left style="thin">
        <color rgb="FFEBEAE5"/>
      </left>
      <right/>
      <top/>
      <bottom/>
      <diagonal/>
    </border>
    <border>
      <left/>
      <right style="thin">
        <color rgb="FFDADADA"/>
      </right>
      <top style="thin">
        <color rgb="FFDADADA"/>
      </top>
      <bottom/>
      <diagonal/>
    </border>
    <border>
      <left/>
      <right style="thin">
        <color rgb="FFEBEAE5"/>
      </right>
      <top style="thin">
        <color rgb="FFEBEAE5"/>
      </top>
      <bottom/>
      <diagonal/>
    </border>
    <border>
      <left/>
      <right style="thin">
        <color rgb="FFEBEAE5"/>
      </right>
      <top style="thick">
        <color rgb="FFEBEAE5"/>
      </top>
      <bottom/>
      <diagonal/>
    </border>
    <border>
      <left/>
      <right/>
      <top style="thick">
        <color rgb="FFEBEAE5"/>
      </top>
      <bottom/>
      <diagonal/>
    </border>
    <border>
      <left/>
      <right/>
      <top style="thin">
        <color rgb="FFEBEAE5"/>
      </top>
      <bottom/>
      <diagonal/>
    </border>
    <border>
      <left/>
      <right/>
      <top/>
      <bottom style="thick">
        <color rgb="FFCDCDCD"/>
      </bottom>
      <diagonal/>
    </border>
    <border>
      <left/>
      <right style="thin">
        <color rgb="FFCDCDCD"/>
      </right>
      <top/>
      <bottom style="thin">
        <color rgb="FFCDCDCD"/>
      </bottom>
      <diagonal/>
    </border>
    <border>
      <left style="thin">
        <color rgb="FFCDCDCD"/>
      </left>
      <right style="thin">
        <color rgb="FFCDCDCD"/>
      </right>
      <top style="thick">
        <color rgb="FFE6E6E8"/>
      </top>
      <bottom/>
      <diagonal/>
    </border>
    <border>
      <left style="thin">
        <color rgb="FFEBEAE5"/>
      </left>
      <right/>
      <top style="thin">
        <color rgb="FFEBEAE5"/>
      </top>
      <bottom/>
      <diagonal/>
    </border>
    <border>
      <left style="thin">
        <color rgb="FFEBEAE5"/>
      </left>
      <right/>
      <top style="thin">
        <color rgb="FFEBEAE5"/>
      </top>
      <bottom style="thin">
        <color rgb="FFEBEAE5"/>
      </bottom>
      <diagonal/>
    </border>
    <border>
      <left/>
      <right/>
      <top style="thin">
        <color rgb="FFEBEAE5"/>
      </top>
      <bottom style="thin">
        <color rgb="FFEBEAE5"/>
      </bottom>
      <diagonal/>
    </border>
    <border>
      <left style="thin">
        <color rgb="FFDADADA"/>
      </left>
      <right/>
      <top/>
      <bottom/>
      <diagonal/>
    </border>
    <border>
      <left style="thin">
        <color rgb="FFCDCDCD"/>
      </left>
      <right style="thin">
        <color rgb="FFCDCDCD"/>
      </right>
      <top style="thick">
        <color theme="9" tint="-0.499984740745262"/>
      </top>
      <bottom/>
      <diagonal/>
    </border>
    <border>
      <left style="thin">
        <color rgb="FFCDCDCD"/>
      </left>
      <right/>
      <top style="thick">
        <color rgb="FF066B43"/>
      </top>
      <bottom/>
      <diagonal/>
    </border>
    <border>
      <left/>
      <right/>
      <top style="thick">
        <color rgb="FF066B43"/>
      </top>
      <bottom/>
      <diagonal/>
    </border>
    <border>
      <left/>
      <right style="thin">
        <color rgb="FFCDCDCD"/>
      </right>
      <top style="thick">
        <color rgb="FF066B43"/>
      </top>
      <bottom/>
      <diagonal/>
    </border>
    <border>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style="thin">
        <color rgb="FFEBEAE5"/>
      </left>
      <right style="thin">
        <color rgb="FFEBEAE5"/>
      </right>
      <top style="thin">
        <color rgb="FFEBEAE5"/>
      </top>
      <bottom style="thin">
        <color rgb="FFEBEAE5"/>
      </bottom>
      <diagonal/>
    </border>
    <border>
      <left style="thin">
        <color rgb="FFEBEAE5"/>
      </left>
      <right style="thin">
        <color rgb="FFEBEAE5"/>
      </right>
      <top style="thin">
        <color rgb="FFEBEAE5"/>
      </top>
      <bottom/>
      <diagonal/>
    </border>
    <border>
      <left/>
      <right style="thin">
        <color theme="4" tint="0.39994506668294322"/>
      </right>
      <top style="thin">
        <color theme="4" tint="0.39997558519241921"/>
      </top>
      <bottom/>
      <diagonal/>
    </border>
    <border>
      <left style="thin">
        <color theme="4" tint="0.39994506668294322"/>
      </left>
      <right style="thin">
        <color theme="4" tint="0.39994506668294322"/>
      </right>
      <top style="thin">
        <color theme="4" tint="0.39997558519241921"/>
      </top>
      <bottom/>
      <diagonal/>
    </border>
    <border>
      <left style="thin">
        <color theme="4" tint="0.39994506668294322"/>
      </left>
      <right/>
      <top style="thin">
        <color theme="4" tint="0.39997558519241921"/>
      </top>
      <bottom/>
      <diagonal/>
    </border>
    <border>
      <left/>
      <right style="thin">
        <color rgb="FFDADADA"/>
      </right>
      <top/>
      <bottom/>
      <diagonal/>
    </border>
    <border>
      <left style="thin">
        <color theme="0"/>
      </left>
      <right/>
      <top/>
      <bottom/>
      <diagonal/>
    </border>
    <border>
      <left/>
      <right style="thin">
        <color theme="0"/>
      </right>
      <top/>
      <bottom/>
      <diagonal/>
    </border>
    <border>
      <left style="thin">
        <color rgb="FFCDCDCD"/>
      </left>
      <right/>
      <top style="thick">
        <color theme="9" tint="-0.24994659260841701"/>
      </top>
      <bottom/>
      <diagonal/>
    </border>
    <border>
      <left/>
      <right/>
      <top style="thick">
        <color theme="9" tint="-0.24994659260841701"/>
      </top>
      <bottom/>
      <diagonal/>
    </border>
    <border>
      <left/>
      <right style="thin">
        <color rgb="FFCDCDCD"/>
      </right>
      <top style="thick">
        <color theme="9" tint="-0.24994659260841701"/>
      </top>
      <bottom/>
      <diagonal/>
    </border>
    <border>
      <left style="thin">
        <color rgb="FFCDCDCD"/>
      </left>
      <right/>
      <top style="thick">
        <color theme="9" tint="-0.24994659260841701"/>
      </top>
      <bottom style="thick">
        <color rgb="FFE6E6E8"/>
      </bottom>
      <diagonal/>
    </border>
    <border>
      <left/>
      <right/>
      <top style="thick">
        <color theme="9" tint="-0.24994659260841701"/>
      </top>
      <bottom style="thick">
        <color rgb="FFE6E6E8"/>
      </bottom>
      <diagonal/>
    </border>
    <border>
      <left/>
      <right style="thin">
        <color rgb="FFCDCDCD"/>
      </right>
      <top style="thick">
        <color theme="9" tint="-0.24994659260841701"/>
      </top>
      <bottom style="thick">
        <color rgb="FFE6E6E8"/>
      </bottom>
      <diagonal/>
    </border>
    <border>
      <left style="thin">
        <color rgb="FFCDCDCD"/>
      </left>
      <right/>
      <top style="thick">
        <color rgb="FFE6E6E8"/>
      </top>
      <bottom/>
      <diagonal/>
    </border>
    <border>
      <left/>
      <right/>
      <top style="thick">
        <color rgb="FFE6E6E8"/>
      </top>
      <bottom/>
      <diagonal/>
    </border>
    <border>
      <left/>
      <right style="thin">
        <color rgb="FFCDCDCD"/>
      </right>
      <top style="thick">
        <color rgb="FFE6E6E8"/>
      </top>
      <bottom/>
      <diagonal/>
    </border>
  </borders>
  <cellStyleXfs count="129">
    <xf numFmtId="0" fontId="0" fillId="0" borderId="0"/>
    <xf numFmtId="0" fontId="7" fillId="11" borderId="0">
      <alignment horizontal="center" vertical="center"/>
    </xf>
    <xf numFmtId="0" fontId="8" fillId="12" borderId="1">
      <alignment horizontal="center" vertical="center"/>
    </xf>
    <xf numFmtId="0" fontId="9" fillId="10" borderId="0"/>
    <xf numFmtId="0" fontId="8" fillId="13" borderId="1">
      <alignment horizontal="center" vertical="center"/>
    </xf>
    <xf numFmtId="164" fontId="5" fillId="14" borderId="2">
      <alignment horizontal="right" shrinkToFit="1"/>
    </xf>
    <xf numFmtId="0" fontId="6" fillId="15" borderId="3">
      <alignment vertical="center"/>
    </xf>
    <xf numFmtId="0" fontId="6" fillId="15" borderId="0">
      <alignment vertical="center"/>
    </xf>
    <xf numFmtId="0" fontId="6" fillId="15" borderId="4">
      <alignment vertical="center"/>
    </xf>
    <xf numFmtId="0" fontId="11" fillId="15" borderId="0">
      <alignment vertical="center"/>
    </xf>
    <xf numFmtId="49" fontId="12" fillId="16" borderId="0">
      <alignment horizontal="left" vertical="center" wrapText="1" indent="1"/>
      <protection locked="0"/>
    </xf>
    <xf numFmtId="0" fontId="6" fillId="10" borderId="2">
      <alignment vertical="center"/>
    </xf>
    <xf numFmtId="0" fontId="6" fillId="15" borderId="5">
      <alignment horizontal="left" vertical="center" wrapText="1" indent="1"/>
    </xf>
    <xf numFmtId="0" fontId="13" fillId="15" borderId="6">
      <alignment horizontal="left" vertical="center" wrapText="1" indent="1"/>
    </xf>
    <xf numFmtId="14" fontId="12" fillId="16" borderId="0">
      <alignment horizontal="left" vertical="center" wrapText="1" indent="1"/>
      <protection locked="0"/>
    </xf>
    <xf numFmtId="0" fontId="14" fillId="15" borderId="0">
      <alignment vertical="center"/>
    </xf>
    <xf numFmtId="0" fontId="15" fillId="15" borderId="0">
      <alignment horizontal="left" vertical="center" wrapText="1" indent="2"/>
    </xf>
    <xf numFmtId="0" fontId="6" fillId="15" borderId="7">
      <alignment vertical="center"/>
    </xf>
    <xf numFmtId="49" fontId="12" fillId="16" borderId="0">
      <alignment horizontal="left" vertical="center" wrapText="1" indent="1"/>
      <protection locked="0"/>
    </xf>
    <xf numFmtId="0" fontId="6" fillId="10" borderId="7">
      <alignment vertical="center"/>
    </xf>
    <xf numFmtId="49" fontId="12" fillId="15" borderId="8">
      <alignment horizontal="left" vertical="center" wrapText="1" indent="1"/>
    </xf>
    <xf numFmtId="0" fontId="6" fillId="15" borderId="0">
      <alignment horizontal="left" vertical="center" wrapText="1" indent="1"/>
    </xf>
    <xf numFmtId="0" fontId="6" fillId="17" borderId="0">
      <alignment horizontal="center" vertical="center"/>
    </xf>
    <xf numFmtId="0" fontId="16" fillId="18" borderId="0">
      <alignment vertical="center"/>
    </xf>
    <xf numFmtId="0" fontId="6" fillId="18" borderId="0">
      <alignment horizontal="justify" vertical="center" wrapText="1"/>
    </xf>
    <xf numFmtId="0" fontId="6" fillId="18" borderId="0">
      <alignment vertical="center" wrapText="1"/>
    </xf>
    <xf numFmtId="0" fontId="6" fillId="19" borderId="0">
      <alignment horizontal="center" vertical="center"/>
    </xf>
    <xf numFmtId="0" fontId="17" fillId="10" borderId="0"/>
    <xf numFmtId="0" fontId="45" fillId="10" borderId="0">
      <alignment vertical="center"/>
    </xf>
    <xf numFmtId="0" fontId="8" fillId="20" borderId="1">
      <alignment horizontal="center" vertical="center"/>
    </xf>
    <xf numFmtId="0" fontId="19" fillId="21" borderId="9">
      <alignment horizontal="center" vertical="center" wrapText="1"/>
    </xf>
    <xf numFmtId="0" fontId="20" fillId="21" borderId="1">
      <alignment horizontal="center" vertical="center"/>
    </xf>
    <xf numFmtId="0" fontId="14" fillId="16" borderId="10">
      <alignment horizontal="center" vertical="center" wrapText="1"/>
      <protection locked="0"/>
    </xf>
    <xf numFmtId="0" fontId="21" fillId="21" borderId="9">
      <alignment vertical="center"/>
    </xf>
    <xf numFmtId="0" fontId="21" fillId="21" borderId="0">
      <alignment vertical="center"/>
    </xf>
    <xf numFmtId="0" fontId="6" fillId="0" borderId="0"/>
    <xf numFmtId="0" fontId="19" fillId="21" borderId="1">
      <alignment horizontal="left" vertical="center" indent="1"/>
    </xf>
    <xf numFmtId="0" fontId="19" fillId="21" borderId="1">
      <alignment horizontal="center" vertical="center" wrapText="1"/>
    </xf>
    <xf numFmtId="0" fontId="9" fillId="22" borderId="11">
      <alignment horizontal="center" vertical="center" wrapText="1"/>
    </xf>
    <xf numFmtId="0" fontId="20" fillId="20" borderId="11">
      <alignment horizontal="center" vertical="center" wrapText="1"/>
    </xf>
    <xf numFmtId="0" fontId="6" fillId="18" borderId="0">
      <alignment horizontal="center" vertical="center"/>
    </xf>
    <xf numFmtId="0" fontId="22" fillId="10" borderId="0">
      <alignment vertical="center"/>
    </xf>
    <xf numFmtId="165" fontId="9" fillId="23" borderId="11">
      <alignment horizontal="left" vertical="center" indent="1"/>
    </xf>
    <xf numFmtId="165" fontId="9" fillId="23" borderId="11">
      <alignment horizontal="right" vertical="center" indent="1" shrinkToFit="1"/>
    </xf>
    <xf numFmtId="165" fontId="20" fillId="20" borderId="12">
      <alignment horizontal="right" vertical="center" indent="1" shrinkToFit="1"/>
    </xf>
    <xf numFmtId="0" fontId="9" fillId="23" borderId="13">
      <alignment vertical="center"/>
    </xf>
    <xf numFmtId="166" fontId="5" fillId="16" borderId="12">
      <alignment vertical="center" wrapText="1"/>
      <protection locked="0"/>
    </xf>
    <xf numFmtId="165" fontId="9" fillId="23" borderId="12">
      <alignment horizontal="left" vertical="center" indent="1"/>
    </xf>
    <xf numFmtId="165" fontId="9" fillId="23" borderId="12">
      <alignment horizontal="right" vertical="center" indent="1" shrinkToFit="1"/>
    </xf>
    <xf numFmtId="165" fontId="5" fillId="16" borderId="14">
      <alignment vertical="center" wrapText="1"/>
    </xf>
    <xf numFmtId="165" fontId="5" fillId="16" borderId="11">
      <alignment horizontal="right" vertical="center" wrapText="1" indent="1"/>
      <protection locked="0"/>
    </xf>
    <xf numFmtId="165" fontId="5" fillId="23" borderId="11">
      <alignment horizontal="right" vertical="center" indent="1" shrinkToFit="1"/>
    </xf>
    <xf numFmtId="165" fontId="8" fillId="20" borderId="11">
      <alignment horizontal="right" vertical="center" indent="1" shrinkToFit="1"/>
    </xf>
    <xf numFmtId="0" fontId="5" fillId="16" borderId="0">
      <alignment vertical="center"/>
    </xf>
    <xf numFmtId="0" fontId="5" fillId="16" borderId="1">
      <alignment vertical="center"/>
      <protection locked="0"/>
    </xf>
    <xf numFmtId="165" fontId="5" fillId="23" borderId="1">
      <alignment vertical="center"/>
    </xf>
    <xf numFmtId="165" fontId="5" fillId="16" borderId="9">
      <alignment horizontal="right" vertical="center" indent="1" shrinkToFit="1"/>
      <protection locked="0"/>
    </xf>
    <xf numFmtId="165" fontId="5" fillId="16" borderId="0">
      <alignment horizontal="right" vertical="center" indent="1" shrinkToFit="1"/>
      <protection locked="0"/>
    </xf>
    <xf numFmtId="165" fontId="5" fillId="16" borderId="1">
      <alignment horizontal="right" vertical="center" indent="1" shrinkToFit="1"/>
      <protection locked="0"/>
    </xf>
    <xf numFmtId="165" fontId="8" fillId="21" borderId="1">
      <alignment horizontal="right" vertical="center" indent="1" shrinkToFit="1"/>
    </xf>
    <xf numFmtId="0" fontId="9" fillId="18" borderId="0">
      <alignment vertical="center"/>
    </xf>
    <xf numFmtId="165" fontId="20" fillId="24" borderId="11">
      <alignment horizontal="right" vertical="center" indent="1" shrinkToFit="1"/>
    </xf>
    <xf numFmtId="0" fontId="19" fillId="25" borderId="1">
      <alignment horizontal="center" vertical="center" wrapText="1"/>
    </xf>
    <xf numFmtId="0" fontId="19" fillId="25" borderId="1">
      <alignment horizontal="center" vertical="top" wrapText="1"/>
    </xf>
    <xf numFmtId="0" fontId="23" fillId="25" borderId="9">
      <alignment vertical="center"/>
    </xf>
    <xf numFmtId="0" fontId="23" fillId="25" borderId="0">
      <alignment vertical="center"/>
    </xf>
    <xf numFmtId="0" fontId="19" fillId="25" borderId="1">
      <alignment horizontal="left" vertical="center" indent="1"/>
    </xf>
    <xf numFmtId="0" fontId="20" fillId="12" borderId="11">
      <alignment horizontal="center" vertical="center" wrapText="1"/>
    </xf>
    <xf numFmtId="165" fontId="20" fillId="12" borderId="12">
      <alignment horizontal="right" vertical="center" indent="1" shrinkToFit="1"/>
    </xf>
    <xf numFmtId="165" fontId="5" fillId="23" borderId="12">
      <alignment vertical="center"/>
    </xf>
    <xf numFmtId="165" fontId="8" fillId="12" borderId="11">
      <alignment horizontal="right" vertical="center" indent="1" shrinkToFit="1"/>
    </xf>
    <xf numFmtId="165" fontId="8" fillId="25" borderId="1">
      <alignment horizontal="right" vertical="center" indent="1" shrinkToFit="1"/>
    </xf>
    <xf numFmtId="0" fontId="5" fillId="18" borderId="0">
      <alignment vertical="center"/>
    </xf>
    <xf numFmtId="167" fontId="5" fillId="16" borderId="18">
      <alignment horizontal="right" vertical="center" indent="1" shrinkToFit="1"/>
      <protection locked="0"/>
    </xf>
    <xf numFmtId="165" fontId="20" fillId="26" borderId="11">
      <alignment horizontal="right" vertical="center" indent="1" shrinkToFit="1"/>
    </xf>
    <xf numFmtId="0" fontId="9" fillId="23" borderId="14">
      <alignment vertical="center"/>
    </xf>
    <xf numFmtId="165" fontId="5" fillId="23" borderId="11">
      <alignment vertical="center" wrapText="1"/>
    </xf>
    <xf numFmtId="165" fontId="5" fillId="23" borderId="11">
      <alignment vertical="center"/>
    </xf>
    <xf numFmtId="167" fontId="8" fillId="12" borderId="11">
      <alignment horizontal="right" vertical="center" wrapText="1" indent="1"/>
    </xf>
    <xf numFmtId="0" fontId="19" fillId="27" borderId="1">
      <alignment horizontal="left" vertical="center" indent="1"/>
    </xf>
    <xf numFmtId="0" fontId="19" fillId="27" borderId="1">
      <alignment horizontal="center" vertical="center" wrapText="1"/>
    </xf>
    <xf numFmtId="0" fontId="20" fillId="13" borderId="11">
      <alignment horizontal="center" vertical="center" wrapText="1"/>
    </xf>
    <xf numFmtId="165" fontId="5" fillId="16" borderId="12">
      <alignment horizontal="right" vertical="center" indent="1" shrinkToFit="1"/>
      <protection locked="0"/>
    </xf>
    <xf numFmtId="165" fontId="8" fillId="13" borderId="12">
      <alignment horizontal="right" vertical="center" indent="1" shrinkToFit="1"/>
    </xf>
    <xf numFmtId="0" fontId="6" fillId="28" borderId="0">
      <alignment horizontal="left" vertical="top"/>
    </xf>
    <xf numFmtId="14" fontId="5" fillId="16" borderId="12">
      <alignment vertical="center" wrapText="1"/>
      <protection locked="0"/>
    </xf>
    <xf numFmtId="165" fontId="9" fillId="16" borderId="12">
      <alignment vertical="center" wrapText="1"/>
      <protection locked="0"/>
    </xf>
    <xf numFmtId="165" fontId="24" fillId="23" borderId="11">
      <alignment vertical="center"/>
    </xf>
    <xf numFmtId="14" fontId="24" fillId="23" borderId="11">
      <alignment horizontal="right" vertical="center" indent="1"/>
    </xf>
    <xf numFmtId="0" fontId="25" fillId="15" borderId="22">
      <alignment horizontal="left" vertical="center" indent="2"/>
    </xf>
    <xf numFmtId="0" fontId="6" fillId="16" borderId="3">
      <alignment vertical="center"/>
    </xf>
    <xf numFmtId="0" fontId="6" fillId="16" borderId="0">
      <alignment vertical="center"/>
    </xf>
    <xf numFmtId="0" fontId="6" fillId="16" borderId="4">
      <alignment vertical="center"/>
    </xf>
    <xf numFmtId="0" fontId="6" fillId="14" borderId="7">
      <alignment vertical="center" wrapText="1"/>
    </xf>
    <xf numFmtId="0" fontId="26" fillId="14" borderId="7">
      <alignment vertical="center"/>
    </xf>
    <xf numFmtId="0" fontId="6" fillId="14" borderId="0">
      <alignment vertical="center"/>
    </xf>
    <xf numFmtId="0" fontId="16" fillId="14" borderId="0">
      <alignment vertical="center"/>
    </xf>
    <xf numFmtId="168" fontId="9" fillId="14" borderId="15">
      <alignment vertical="top" wrapText="1"/>
    </xf>
    <xf numFmtId="164" fontId="9" fillId="14" borderId="15">
      <alignment horizontal="left" shrinkToFit="1"/>
    </xf>
    <xf numFmtId="168" fontId="9" fillId="14" borderId="15">
      <alignment horizontal="right" shrinkToFit="1"/>
    </xf>
    <xf numFmtId="0" fontId="6" fillId="14" borderId="0">
      <alignment vertical="center"/>
    </xf>
    <xf numFmtId="168" fontId="9" fillId="14" borderId="2">
      <alignment vertical="top" wrapText="1"/>
    </xf>
    <xf numFmtId="164" fontId="9" fillId="14" borderId="2">
      <alignment horizontal="left" shrinkToFit="1"/>
    </xf>
    <xf numFmtId="164" fontId="9" fillId="14" borderId="2">
      <alignment horizontal="right" shrinkToFit="1"/>
    </xf>
    <xf numFmtId="168" fontId="5" fillId="14" borderId="2">
      <alignment horizontal="left" vertical="top" wrapText="1" indent="1"/>
    </xf>
    <xf numFmtId="164" fontId="5" fillId="14" borderId="2">
      <alignment horizontal="left" shrinkToFit="1"/>
    </xf>
    <xf numFmtId="168" fontId="5" fillId="14" borderId="2">
      <alignment horizontal="left" vertical="top" wrapText="1" indent="2"/>
    </xf>
    <xf numFmtId="0" fontId="6" fillId="14" borderId="0">
      <alignment vertical="center"/>
    </xf>
    <xf numFmtId="0" fontId="26" fillId="14" borderId="0"/>
    <xf numFmtId="0" fontId="6" fillId="16" borderId="6">
      <alignment vertical="center"/>
    </xf>
    <xf numFmtId="0" fontId="6" fillId="16" borderId="2">
      <alignment vertical="center"/>
    </xf>
    <xf numFmtId="0" fontId="6" fillId="16" borderId="16">
      <alignment vertical="center"/>
    </xf>
    <xf numFmtId="0" fontId="27" fillId="15" borderId="17">
      <alignment horizontal="left" vertical="center" indent="3"/>
    </xf>
    <xf numFmtId="168" fontId="5" fillId="14" borderId="2">
      <alignment vertical="top" wrapText="1"/>
    </xf>
    <xf numFmtId="168" fontId="5" fillId="14" borderId="2">
      <alignment horizontal="left" vertical="top" wrapText="1" indent="3"/>
    </xf>
    <xf numFmtId="9" fontId="9" fillId="14" borderId="2">
      <alignment horizontal="right" shrinkToFit="1"/>
    </xf>
    <xf numFmtId="169" fontId="5" fillId="14" borderId="2">
      <alignment horizontal="right" shrinkToFit="1"/>
    </xf>
    <xf numFmtId="168" fontId="9" fillId="14" borderId="2">
      <alignment horizontal="left" vertical="top" wrapText="1" indent="1"/>
    </xf>
    <xf numFmtId="0" fontId="28" fillId="14" borderId="0">
      <alignment vertical="center"/>
    </xf>
    <xf numFmtId="9" fontId="5" fillId="14" borderId="2">
      <alignment horizontal="right" shrinkToFit="1"/>
    </xf>
    <xf numFmtId="164" fontId="29" fillId="14" borderId="2">
      <alignment horizontal="right"/>
    </xf>
    <xf numFmtId="0" fontId="18" fillId="10" borderId="0">
      <alignment vertical="center"/>
    </xf>
    <xf numFmtId="0" fontId="48" fillId="29" borderId="0" applyNumberFormat="0" applyBorder="0" applyAlignment="0" applyProtection="0"/>
    <xf numFmtId="165" fontId="8" fillId="27" borderId="1">
      <alignment horizontal="right" vertical="center" indent="1" shrinkToFit="1"/>
    </xf>
    <xf numFmtId="0" fontId="50" fillId="11" borderId="0">
      <alignment horizontal="left" vertical="center"/>
    </xf>
    <xf numFmtId="0" fontId="52" fillId="10" borderId="0">
      <alignment horizontal="left" vertical="top"/>
    </xf>
    <xf numFmtId="0" fontId="54" fillId="25" borderId="1">
      <alignment horizontal="left" vertical="top" wrapText="1" indent="1"/>
    </xf>
    <xf numFmtId="0" fontId="54" fillId="27" borderId="1">
      <alignment horizontal="left" vertical="top" wrapText="1" indent="1"/>
    </xf>
    <xf numFmtId="0" fontId="1" fillId="15" borderId="0">
      <alignment horizontal="left" vertical="top"/>
    </xf>
  </cellStyleXfs>
  <cellXfs count="257">
    <xf numFmtId="0" fontId="0" fillId="0" borderId="0" xfId="0"/>
    <xf numFmtId="0" fontId="2" fillId="2" borderId="0" xfId="0" applyFont="1" applyFill="1" applyAlignment="1">
      <alignment vertical="top"/>
    </xf>
    <xf numFmtId="0" fontId="3" fillId="0" borderId="0" xfId="0" applyFont="1" applyAlignment="1">
      <alignment vertical="top"/>
    </xf>
    <xf numFmtId="0" fontId="0" fillId="0" borderId="0" xfId="0" quotePrefix="1"/>
    <xf numFmtId="14" fontId="0" fillId="0" borderId="0" xfId="0" applyNumberFormat="1"/>
    <xf numFmtId="0" fontId="4" fillId="4" borderId="0" xfId="0" applyFont="1" applyFill="1" applyAlignment="1">
      <alignment horizontal="left" vertical="center"/>
    </xf>
    <xf numFmtId="0" fontId="5" fillId="0" borderId="0" xfId="0" applyFont="1" applyAlignment="1">
      <alignment horizontal="left" vertical="center"/>
    </xf>
    <xf numFmtId="0" fontId="4" fillId="5" borderId="0" xfId="0" applyFont="1" applyFill="1" applyAlignment="1">
      <alignment horizontal="left" vertical="center"/>
    </xf>
    <xf numFmtId="0" fontId="4" fillId="9" borderId="0" xfId="0" applyFont="1" applyFill="1" applyAlignment="1">
      <alignment horizontal="left" vertical="center"/>
    </xf>
    <xf numFmtId="0" fontId="5" fillId="6" borderId="0" xfId="0" applyFont="1" applyFill="1" applyAlignment="1">
      <alignment horizontal="left" vertical="center"/>
    </xf>
    <xf numFmtId="0" fontId="5" fillId="3" borderId="0" xfId="0" applyFont="1" applyFill="1" applyAlignment="1">
      <alignment horizontal="left" vertical="center"/>
    </xf>
    <xf numFmtId="0" fontId="4" fillId="7" borderId="0" xfId="0" applyFont="1" applyFill="1" applyAlignment="1">
      <alignment horizontal="left" vertical="center"/>
    </xf>
    <xf numFmtId="0" fontId="5" fillId="10" borderId="0" xfId="0" applyFont="1" applyFill="1" applyAlignment="1">
      <alignment horizontal="left" vertical="center"/>
    </xf>
    <xf numFmtId="0" fontId="5" fillId="10" borderId="0" xfId="0" applyFont="1" applyFill="1" applyAlignment="1">
      <alignment horizontal="left" vertical="top"/>
    </xf>
    <xf numFmtId="0" fontId="10" fillId="8" borderId="0" xfId="0" applyFont="1" applyFill="1" applyAlignment="1">
      <alignment vertical="top"/>
    </xf>
    <xf numFmtId="0" fontId="5" fillId="3" borderId="0" xfId="0" applyFont="1" applyFill="1" applyAlignment="1">
      <alignment horizontal="left" vertical="top"/>
    </xf>
    <xf numFmtId="0" fontId="4" fillId="7" borderId="0" xfId="0" applyFont="1" applyFill="1" applyAlignment="1">
      <alignment horizontal="left" vertical="top"/>
    </xf>
    <xf numFmtId="0" fontId="6" fillId="15" borderId="3" xfId="6">
      <alignment vertical="center"/>
    </xf>
    <xf numFmtId="0" fontId="6" fillId="15" borderId="0" xfId="7">
      <alignment vertical="center"/>
    </xf>
    <xf numFmtId="0" fontId="6" fillId="15" borderId="4" xfId="8">
      <alignment vertical="center"/>
    </xf>
    <xf numFmtId="0" fontId="11" fillId="15" borderId="0" xfId="9" quotePrefix="1">
      <alignment vertical="center"/>
    </xf>
    <xf numFmtId="0" fontId="6" fillId="10" borderId="7" xfId="19">
      <alignment vertical="center"/>
    </xf>
    <xf numFmtId="0" fontId="5" fillId="17" borderId="0" xfId="0" applyFont="1" applyFill="1" applyAlignment="1">
      <alignment horizontal="left" vertical="center"/>
    </xf>
    <xf numFmtId="0" fontId="7" fillId="11" borderId="0" xfId="1">
      <alignment horizontal="center" vertical="center"/>
    </xf>
    <xf numFmtId="0" fontId="6" fillId="17" borderId="0" xfId="22">
      <alignment horizontal="center" vertical="center"/>
    </xf>
    <xf numFmtId="0" fontId="6" fillId="19" borderId="0" xfId="26">
      <alignment horizontal="center" vertical="center"/>
    </xf>
    <xf numFmtId="0" fontId="17" fillId="10" borderId="0" xfId="27" quotePrefix="1"/>
    <xf numFmtId="0" fontId="6" fillId="18" borderId="0" xfId="40">
      <alignment horizontal="center" vertical="center"/>
    </xf>
    <xf numFmtId="165" fontId="9" fillId="23" borderId="11" xfId="43">
      <alignment horizontal="right" vertical="center" indent="1" shrinkToFit="1"/>
    </xf>
    <xf numFmtId="0" fontId="8" fillId="12" borderId="1" xfId="2">
      <alignment horizontal="center" vertical="center"/>
    </xf>
    <xf numFmtId="0" fontId="23" fillId="25" borderId="0" xfId="65">
      <alignment vertical="center"/>
    </xf>
    <xf numFmtId="0" fontId="5" fillId="18" borderId="0" xfId="72" quotePrefix="1">
      <alignment vertical="center"/>
    </xf>
    <xf numFmtId="0" fontId="5" fillId="18" borderId="0" xfId="72">
      <alignment vertical="center"/>
    </xf>
    <xf numFmtId="170" fontId="5" fillId="10" borderId="0" xfId="0" applyNumberFormat="1" applyFont="1" applyFill="1" applyAlignment="1">
      <alignment horizontal="left" vertical="center"/>
    </xf>
    <xf numFmtId="0" fontId="6" fillId="15" borderId="0" xfId="7" applyAlignment="1">
      <alignment horizontal="left" vertical="center" indent="1"/>
    </xf>
    <xf numFmtId="0" fontId="0" fillId="0" borderId="0" xfId="0" quotePrefix="1"/>
    <xf numFmtId="0" fontId="31" fillId="17" borderId="0" xfId="22" applyFont="1">
      <alignment horizontal="center" vertical="center"/>
    </xf>
    <xf numFmtId="0" fontId="6" fillId="18" borderId="0" xfId="25">
      <alignment vertical="center" wrapText="1"/>
    </xf>
    <xf numFmtId="0" fontId="9" fillId="18" borderId="0" xfId="60">
      <alignment vertical="center"/>
    </xf>
    <xf numFmtId="0" fontId="0" fillId="0" borderId="0" xfId="0" quotePrefix="1"/>
    <xf numFmtId="165" fontId="5" fillId="16" borderId="11" xfId="50" quotePrefix="1" applyAlignment="1">
      <alignment horizontal="right" vertical="center" wrapText="1" indent="1"/>
      <protection locked="0"/>
    </xf>
    <xf numFmtId="0" fontId="32" fillId="0" borderId="0" xfId="0" quotePrefix="1" applyFont="1"/>
    <xf numFmtId="0" fontId="33" fillId="10" borderId="0" xfId="0" applyFont="1" applyFill="1" applyAlignment="1">
      <alignment horizontal="left" vertical="center"/>
    </xf>
    <xf numFmtId="0" fontId="34" fillId="18" borderId="0" xfId="60" quotePrefix="1" applyFont="1">
      <alignment vertical="center"/>
    </xf>
    <xf numFmtId="0" fontId="34" fillId="18" borderId="0" xfId="60" applyFont="1">
      <alignment vertical="center"/>
    </xf>
    <xf numFmtId="0" fontId="9" fillId="18" borderId="0" xfId="60">
      <alignment vertical="center"/>
    </xf>
    <xf numFmtId="0" fontId="19" fillId="25" borderId="1" xfId="66">
      <alignment horizontal="left" vertical="center" indent="1"/>
    </xf>
    <xf numFmtId="0" fontId="0" fillId="0" borderId="0" xfId="0" quotePrefix="1"/>
    <xf numFmtId="0" fontId="19" fillId="25" borderId="1" xfId="63" applyAlignment="1">
      <alignment vertical="top" wrapText="1"/>
    </xf>
    <xf numFmtId="0" fontId="0" fillId="0" borderId="0" xfId="0" quotePrefix="1"/>
    <xf numFmtId="0" fontId="9" fillId="18" borderId="0" xfId="60">
      <alignment vertical="center"/>
    </xf>
    <xf numFmtId="0" fontId="9" fillId="18" borderId="0" xfId="60">
      <alignment vertical="center"/>
    </xf>
    <xf numFmtId="165" fontId="9" fillId="23" borderId="11" xfId="42">
      <alignment horizontal="left" vertical="center" indent="1"/>
    </xf>
    <xf numFmtId="0" fontId="19" fillId="25" borderId="1" xfId="66">
      <alignment horizontal="left" vertical="center" indent="1"/>
    </xf>
    <xf numFmtId="0" fontId="0" fillId="0" borderId="0" xfId="0" quotePrefix="1" applyAlignment="1">
      <alignment wrapText="1"/>
    </xf>
    <xf numFmtId="0" fontId="5" fillId="10" borderId="0" xfId="0" applyFont="1" applyFill="1" applyAlignment="1">
      <alignment horizontal="left" vertical="center" wrapText="1"/>
    </xf>
    <xf numFmtId="0" fontId="8" fillId="12" borderId="1" xfId="2" applyAlignment="1">
      <alignment horizontal="center" vertical="center" wrapText="1"/>
    </xf>
    <xf numFmtId="0" fontId="19" fillId="25" borderId="1" xfId="62" applyAlignment="1">
      <alignment horizontal="center" vertical="center" wrapText="1"/>
    </xf>
    <xf numFmtId="0" fontId="14" fillId="10" borderId="0" xfId="0" applyFont="1" applyFill="1" applyAlignment="1">
      <alignment horizontal="left" vertical="center"/>
    </xf>
    <xf numFmtId="0" fontId="12" fillId="10" borderId="0" xfId="0" applyFont="1" applyFill="1" applyAlignment="1">
      <alignment vertical="top" wrapText="1"/>
    </xf>
    <xf numFmtId="0" fontId="37" fillId="10" borderId="0" xfId="0" applyFont="1" applyFill="1" applyAlignment="1">
      <alignment horizontal="left" vertical="center"/>
    </xf>
    <xf numFmtId="0" fontId="35" fillId="15" borderId="0" xfId="7" applyFont="1" applyAlignment="1">
      <alignment horizontal="left" vertical="center" indent="1"/>
    </xf>
    <xf numFmtId="0" fontId="6" fillId="15" borderId="0" xfId="7" applyAlignment="1">
      <alignment horizontal="right" vertical="center" indent="1"/>
    </xf>
    <xf numFmtId="0" fontId="6" fillId="15" borderId="0" xfId="7" applyFont="1" applyAlignment="1">
      <alignment horizontal="left" vertical="center" wrapText="1" indent="1"/>
    </xf>
    <xf numFmtId="0" fontId="14" fillId="15" borderId="0" xfId="7" applyFont="1" applyAlignment="1">
      <alignment horizontal="left" vertical="center" indent="1"/>
    </xf>
    <xf numFmtId="0" fontId="19" fillId="25" borderId="1" xfId="66" applyAlignment="1">
      <alignment horizontal="left" vertical="center" wrapText="1" indent="1"/>
    </xf>
    <xf numFmtId="165" fontId="9" fillId="23" borderId="20" xfId="42" quotePrefix="1" applyBorder="1" applyAlignment="1">
      <alignment vertical="center"/>
    </xf>
    <xf numFmtId="165" fontId="20" fillId="12" borderId="12" xfId="68">
      <alignment horizontal="right" vertical="center" indent="1" shrinkToFit="1"/>
    </xf>
    <xf numFmtId="0" fontId="11" fillId="15" borderId="0" xfId="9" quotePrefix="1" applyAlignment="1">
      <alignment horizontal="left" vertical="center" indent="1"/>
    </xf>
    <xf numFmtId="0" fontId="6" fillId="15" borderId="7" xfId="17" applyAlignment="1">
      <alignment horizontal="left" vertical="center" indent="1"/>
    </xf>
    <xf numFmtId="49" fontId="6" fillId="15" borderId="0" xfId="7" applyNumberFormat="1" applyAlignment="1">
      <alignment horizontal="left" vertical="center" indent="1"/>
    </xf>
    <xf numFmtId="0" fontId="6" fillId="15" borderId="0" xfId="7" applyAlignment="1">
      <alignment horizontal="left" vertical="center" indent="2"/>
    </xf>
    <xf numFmtId="0" fontId="6" fillId="15" borderId="7" xfId="17" applyAlignment="1">
      <alignment horizontal="left" vertical="center" indent="2"/>
    </xf>
    <xf numFmtId="0" fontId="6" fillId="15" borderId="0" xfId="7" quotePrefix="1" applyAlignment="1">
      <alignment horizontal="left" vertical="center" indent="1"/>
    </xf>
    <xf numFmtId="165" fontId="8" fillId="25" borderId="1" xfId="71">
      <alignment horizontal="right" vertical="center" indent="1" shrinkToFit="1"/>
    </xf>
    <xf numFmtId="0" fontId="44" fillId="10" borderId="0" xfId="41" applyFont="1">
      <alignment vertical="center"/>
    </xf>
    <xf numFmtId="0" fontId="6" fillId="15" borderId="23" xfId="6" applyBorder="1">
      <alignment vertical="center"/>
    </xf>
    <xf numFmtId="0" fontId="30" fillId="15" borderId="24" xfId="0" applyFont="1" applyFill="1" applyBorder="1" applyAlignment="1">
      <alignment horizontal="left" vertical="center"/>
    </xf>
    <xf numFmtId="0" fontId="6" fillId="15" borderId="24" xfId="7" applyBorder="1" applyAlignment="1">
      <alignment vertical="center"/>
    </xf>
    <xf numFmtId="0" fontId="6" fillId="15" borderId="25" xfId="8" applyBorder="1">
      <alignment vertical="center"/>
    </xf>
    <xf numFmtId="0" fontId="46" fillId="15" borderId="0" xfId="9" quotePrefix="1" applyFont="1">
      <alignment vertical="center"/>
    </xf>
    <xf numFmtId="0" fontId="31" fillId="18" borderId="0" xfId="22" applyFont="1" applyFill="1">
      <alignment horizontal="center" vertical="center"/>
    </xf>
    <xf numFmtId="0" fontId="19" fillId="25" borderId="1" xfId="63" applyFill="1" applyAlignment="1">
      <alignment vertical="top" wrapText="1"/>
    </xf>
    <xf numFmtId="0" fontId="47" fillId="25" borderId="1" xfId="63" applyFont="1" applyAlignment="1">
      <alignment vertical="top" wrapText="1"/>
    </xf>
    <xf numFmtId="165" fontId="9" fillId="23" borderId="11" xfId="42">
      <alignment horizontal="left" vertical="center" indent="1"/>
    </xf>
    <xf numFmtId="165" fontId="9" fillId="23" borderId="20" xfId="42" quotePrefix="1" applyBorder="1" applyAlignment="1">
      <alignment horizontal="left" vertical="center"/>
    </xf>
    <xf numFmtId="0" fontId="48" fillId="29" borderId="0" xfId="122"/>
    <xf numFmtId="0" fontId="48" fillId="29" borderId="0" xfId="122" applyNumberFormat="1"/>
    <xf numFmtId="49" fontId="12" fillId="16" borderId="26" xfId="18" quotePrefix="1" applyBorder="1">
      <alignment horizontal="left" vertical="center" wrapText="1" indent="1"/>
      <protection locked="0"/>
    </xf>
    <xf numFmtId="0" fontId="12" fillId="16" borderId="28" xfId="14" quotePrefix="1" applyNumberFormat="1" applyBorder="1" applyAlignment="1">
      <alignment horizontal="right" vertical="center" wrapText="1" indent="2"/>
      <protection locked="0"/>
    </xf>
    <xf numFmtId="0" fontId="6" fillId="15" borderId="26" xfId="7" applyBorder="1">
      <alignment vertical="center"/>
    </xf>
    <xf numFmtId="0" fontId="6" fillId="15" borderId="27" xfId="7" applyBorder="1" applyAlignment="1">
      <alignment horizontal="right" vertical="center" indent="1"/>
    </xf>
    <xf numFmtId="0" fontId="6" fillId="15" borderId="28" xfId="7" applyBorder="1" applyAlignment="1">
      <alignment horizontal="right" vertical="center" indent="1"/>
    </xf>
    <xf numFmtId="171" fontId="9" fillId="23" borderId="20" xfId="42" quotePrefix="1" applyNumberFormat="1" applyBorder="1" applyAlignment="1">
      <alignment vertical="center"/>
    </xf>
    <xf numFmtId="0" fontId="19" fillId="25" borderId="1" xfId="66" quotePrefix="1" applyAlignment="1">
      <alignment horizontal="left" vertical="center" wrapText="1" indent="1"/>
    </xf>
    <xf numFmtId="0" fontId="38" fillId="25" borderId="21" xfId="66" applyFont="1" applyBorder="1" applyAlignment="1">
      <alignment horizontal="right" vertical="center" wrapText="1" indent="1"/>
    </xf>
    <xf numFmtId="0" fontId="9" fillId="18" borderId="0" xfId="60">
      <alignment vertical="center"/>
    </xf>
    <xf numFmtId="0" fontId="4" fillId="4" borderId="0" xfId="0" applyFont="1" applyFill="1"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left" vertical="center"/>
    </xf>
    <xf numFmtId="0" fontId="4" fillId="9" borderId="0" xfId="0" applyFont="1" applyFill="1" applyAlignment="1" applyProtection="1">
      <alignment vertical="center"/>
    </xf>
    <xf numFmtId="0" fontId="4" fillId="10" borderId="0" xfId="0" applyFont="1" applyFill="1" applyAlignment="1" applyProtection="1">
      <alignment vertical="center"/>
    </xf>
    <xf numFmtId="0" fontId="4" fillId="7" borderId="0" xfId="0" applyFont="1" applyFill="1" applyAlignment="1" applyProtection="1">
      <alignment horizontal="left" vertical="center"/>
    </xf>
    <xf numFmtId="0" fontId="4" fillId="7" borderId="0" xfId="0" applyFont="1" applyFill="1" applyAlignment="1" applyProtection="1">
      <alignment horizontal="left" vertical="top"/>
    </xf>
    <xf numFmtId="0" fontId="5" fillId="10" borderId="0" xfId="0" applyFont="1" applyFill="1" applyAlignment="1" applyProtection="1">
      <alignment vertical="center"/>
    </xf>
    <xf numFmtId="0" fontId="7" fillId="11" borderId="0" xfId="1" applyProtection="1">
      <alignment horizontal="center" vertical="center"/>
    </xf>
    <xf numFmtId="0" fontId="6" fillId="19" borderId="0" xfId="26" applyProtection="1">
      <alignment horizontal="center" vertical="center"/>
    </xf>
    <xf numFmtId="0" fontId="6" fillId="16" borderId="3" xfId="90" applyProtection="1">
      <alignment vertical="center"/>
    </xf>
    <xf numFmtId="0" fontId="6" fillId="16" borderId="0" xfId="91" applyProtection="1">
      <alignment vertical="center"/>
    </xf>
    <xf numFmtId="0" fontId="6" fillId="16" borderId="4" xfId="92" applyProtection="1">
      <alignment vertical="center"/>
    </xf>
    <xf numFmtId="0" fontId="6" fillId="14" borderId="7" xfId="93" applyProtection="1">
      <alignment vertical="center" wrapText="1"/>
    </xf>
    <xf numFmtId="0" fontId="40" fillId="14" borderId="7" xfId="93" applyFont="1" applyProtection="1">
      <alignment vertical="center" wrapText="1"/>
    </xf>
    <xf numFmtId="0" fontId="6" fillId="14" borderId="0" xfId="95" applyProtection="1">
      <alignment vertical="center"/>
    </xf>
    <xf numFmtId="0" fontId="40" fillId="14" borderId="0" xfId="95" applyFont="1" applyProtection="1">
      <alignment vertical="center"/>
    </xf>
    <xf numFmtId="0" fontId="41" fillId="14" borderId="0" xfId="96" quotePrefix="1" applyFont="1" applyProtection="1">
      <alignment vertical="center"/>
    </xf>
    <xf numFmtId="168" fontId="42" fillId="14" borderId="15" xfId="97" applyFont="1" applyProtection="1">
      <alignment vertical="top" wrapText="1"/>
    </xf>
    <xf numFmtId="164" fontId="42" fillId="14" borderId="15" xfId="98" quotePrefix="1" applyFont="1" applyProtection="1">
      <alignment horizontal="left" shrinkToFit="1"/>
    </xf>
    <xf numFmtId="168" fontId="42" fillId="14" borderId="2" xfId="101" quotePrefix="1" applyFont="1" applyProtection="1">
      <alignment vertical="top" wrapText="1"/>
    </xf>
    <xf numFmtId="168" fontId="42" fillId="14" borderId="2" xfId="101" applyFont="1" applyProtection="1">
      <alignment vertical="top" wrapText="1"/>
    </xf>
    <xf numFmtId="164" fontId="42" fillId="14" borderId="2" xfId="102" applyFont="1" applyProtection="1">
      <alignment horizontal="left" shrinkToFit="1"/>
    </xf>
    <xf numFmtId="168" fontId="43" fillId="14" borderId="2" xfId="104" quotePrefix="1" applyFont="1" applyProtection="1">
      <alignment horizontal="left" vertical="top" wrapText="1" indent="1"/>
    </xf>
    <xf numFmtId="168" fontId="43" fillId="14" borderId="2" xfId="104" applyFont="1" applyProtection="1">
      <alignment horizontal="left" vertical="top" wrapText="1" indent="1"/>
    </xf>
    <xf numFmtId="164" fontId="43" fillId="14" borderId="2" xfId="105" applyFont="1" applyProtection="1">
      <alignment horizontal="left" shrinkToFit="1"/>
    </xf>
    <xf numFmtId="0" fontId="28" fillId="14" borderId="0" xfId="118" applyProtection="1">
      <alignment vertical="center"/>
    </xf>
    <xf numFmtId="0" fontId="6" fillId="14" borderId="0" xfId="107" applyProtection="1">
      <alignment vertical="center"/>
    </xf>
    <xf numFmtId="0" fontId="40" fillId="14" borderId="0" xfId="107" applyFont="1" applyProtection="1">
      <alignment vertical="center"/>
    </xf>
    <xf numFmtId="0" fontId="6" fillId="16" borderId="6" xfId="109" applyProtection="1">
      <alignment vertical="center"/>
    </xf>
    <xf numFmtId="0" fontId="6" fillId="16" borderId="2" xfId="110" applyProtection="1">
      <alignment vertical="center"/>
    </xf>
    <xf numFmtId="0" fontId="6" fillId="16" borderId="16" xfId="111" applyProtection="1">
      <alignment vertical="center"/>
    </xf>
    <xf numFmtId="0" fontId="26" fillId="14" borderId="7" xfId="94" quotePrefix="1" applyProtection="1">
      <alignment vertical="center"/>
    </xf>
    <xf numFmtId="0" fontId="16" fillId="14" borderId="0" xfId="96" quotePrefix="1" applyProtection="1">
      <alignment vertical="center"/>
    </xf>
    <xf numFmtId="168" fontId="9" fillId="14" borderId="15" xfId="97" applyProtection="1">
      <alignment vertical="top" wrapText="1"/>
    </xf>
    <xf numFmtId="168" fontId="9" fillId="14" borderId="15" xfId="99" applyProtection="1">
      <alignment horizontal="right" shrinkToFit="1"/>
    </xf>
    <xf numFmtId="168" fontId="5" fillId="14" borderId="2" xfId="113" quotePrefix="1" applyProtection="1">
      <alignment vertical="top" wrapText="1"/>
    </xf>
    <xf numFmtId="168" fontId="5" fillId="14" borderId="2" xfId="113" applyProtection="1">
      <alignment vertical="top" wrapText="1"/>
    </xf>
    <xf numFmtId="164" fontId="5" fillId="14" borderId="2" xfId="105" applyProtection="1">
      <alignment horizontal="left" shrinkToFit="1"/>
    </xf>
    <xf numFmtId="164" fontId="5" fillId="14" borderId="2" xfId="5" applyProtection="1">
      <alignment horizontal="right" shrinkToFit="1"/>
    </xf>
    <xf numFmtId="168" fontId="5" fillId="14" borderId="2" xfId="104" quotePrefix="1" applyProtection="1">
      <alignment horizontal="left" vertical="top" wrapText="1" indent="1"/>
    </xf>
    <xf numFmtId="168" fontId="5" fillId="14" borderId="2" xfId="104" applyProtection="1">
      <alignment horizontal="left" vertical="top" wrapText="1" indent="1"/>
    </xf>
    <xf numFmtId="168" fontId="9" fillId="14" borderId="2" xfId="101" quotePrefix="1" applyProtection="1">
      <alignment vertical="top" wrapText="1"/>
    </xf>
    <xf numFmtId="168" fontId="9" fillId="14" borderId="2" xfId="101" applyProtection="1">
      <alignment vertical="top" wrapText="1"/>
    </xf>
    <xf numFmtId="164" fontId="9" fillId="14" borderId="2" xfId="102" applyProtection="1">
      <alignment horizontal="left" shrinkToFit="1"/>
    </xf>
    <xf numFmtId="164" fontId="9" fillId="14" borderId="2" xfId="103" applyProtection="1">
      <alignment horizontal="right" shrinkToFit="1"/>
    </xf>
    <xf numFmtId="168" fontId="9" fillId="14" borderId="15" xfId="99" quotePrefix="1" applyProtection="1">
      <alignment horizontal="right" shrinkToFit="1"/>
    </xf>
    <xf numFmtId="9" fontId="9" fillId="14" borderId="2" xfId="115" applyProtection="1">
      <alignment horizontal="right" shrinkToFit="1"/>
    </xf>
    <xf numFmtId="168" fontId="9" fillId="14" borderId="2" xfId="117" quotePrefix="1" applyProtection="1">
      <alignment horizontal="left" vertical="top" wrapText="1" indent="1"/>
    </xf>
    <xf numFmtId="0" fontId="6" fillId="14" borderId="0" xfId="100" applyProtection="1">
      <alignment vertical="center"/>
    </xf>
    <xf numFmtId="164" fontId="29" fillId="14" borderId="2" xfId="120" applyProtection="1">
      <alignment horizontal="right"/>
    </xf>
    <xf numFmtId="14" fontId="6" fillId="0" borderId="0" xfId="35" applyNumberFormat="1" applyProtection="1"/>
    <xf numFmtId="0" fontId="48" fillId="29" borderId="0" xfId="122" applyAlignment="1" applyProtection="1">
      <alignment vertical="center"/>
    </xf>
    <xf numFmtId="0" fontId="6" fillId="0" borderId="0" xfId="35" applyProtection="1"/>
    <xf numFmtId="9" fontId="5" fillId="16" borderId="11" xfId="50" quotePrefix="1" applyNumberFormat="1" applyAlignment="1">
      <alignment horizontal="right" vertical="center" wrapText="1" indent="1"/>
      <protection locked="0"/>
    </xf>
    <xf numFmtId="0" fontId="34" fillId="18" borderId="0" xfId="60" applyFont="1" applyAlignment="1">
      <alignment horizontal="right" vertical="center" indent="1"/>
    </xf>
    <xf numFmtId="0" fontId="0" fillId="18" borderId="0" xfId="0" applyFill="1"/>
    <xf numFmtId="0" fontId="0" fillId="18" borderId="0" xfId="0" applyFill="1" applyAlignment="1">
      <alignment wrapText="1"/>
    </xf>
    <xf numFmtId="0" fontId="36" fillId="10" borderId="0" xfId="0" applyFont="1" applyFill="1" applyAlignment="1">
      <alignment vertical="top" wrapText="1"/>
    </xf>
    <xf numFmtId="0" fontId="25" fillId="10" borderId="0" xfId="0" applyFont="1" applyFill="1" applyAlignment="1">
      <alignment horizontal="left" vertical="center" indent="1"/>
    </xf>
    <xf numFmtId="0" fontId="0" fillId="18" borderId="0" xfId="0" quotePrefix="1" applyFill="1"/>
    <xf numFmtId="0" fontId="0" fillId="18" borderId="0" xfId="0" quotePrefix="1" applyFill="1" applyAlignment="1">
      <alignment wrapText="1"/>
    </xf>
    <xf numFmtId="0" fontId="0" fillId="18" borderId="0" xfId="0" quotePrefix="1" applyFill="1" applyAlignment="1"/>
    <xf numFmtId="165" fontId="9" fillId="23" borderId="19" xfId="42" quotePrefix="1" applyBorder="1" applyAlignment="1">
      <alignment horizontal="left" vertical="center" indent="1"/>
    </xf>
    <xf numFmtId="0" fontId="5" fillId="18" borderId="0" xfId="72" quotePrefix="1" applyAlignment="1">
      <alignment horizontal="left" vertical="center" indent="1"/>
    </xf>
    <xf numFmtId="0" fontId="9" fillId="18" borderId="0" xfId="60" quotePrefix="1" applyAlignment="1">
      <alignment horizontal="left" vertical="center" indent="1"/>
    </xf>
    <xf numFmtId="0" fontId="9" fillId="18" borderId="0" xfId="60" applyAlignment="1">
      <alignment vertical="center"/>
    </xf>
    <xf numFmtId="164" fontId="9" fillId="14" borderId="2" xfId="5" applyFont="1" applyProtection="1">
      <alignment horizontal="right" shrinkToFit="1"/>
    </xf>
    <xf numFmtId="168" fontId="9" fillId="14" borderId="2" xfId="104" applyFont="1" applyAlignment="1" applyProtection="1">
      <alignment horizontal="left" vertical="top" wrapText="1"/>
    </xf>
    <xf numFmtId="165" fontId="5" fillId="16" borderId="11" xfId="50" quotePrefix="1" applyAlignment="1" applyProtection="1">
      <alignment horizontal="right" vertical="center" wrapText="1" indent="1"/>
      <protection locked="0"/>
    </xf>
    <xf numFmtId="164" fontId="5" fillId="14" borderId="2" xfId="102" applyFont="1" applyProtection="1">
      <alignment horizontal="left" shrinkToFit="1"/>
    </xf>
    <xf numFmtId="168" fontId="43" fillId="14" borderId="2" xfId="104" quotePrefix="1" applyFont="1" applyAlignment="1" applyProtection="1">
      <alignment horizontal="left" vertical="top" wrapText="1" indent="2"/>
    </xf>
    <xf numFmtId="165" fontId="5" fillId="10" borderId="0" xfId="0" applyNumberFormat="1" applyFont="1" applyFill="1" applyAlignment="1">
      <alignment horizontal="left" vertical="center"/>
    </xf>
    <xf numFmtId="49" fontId="12" fillId="16" borderId="26" xfId="18" quotePrefix="1" applyBorder="1" applyProtection="1">
      <alignment horizontal="left" vertical="center" wrapText="1" indent="1"/>
      <protection locked="0"/>
    </xf>
    <xf numFmtId="14" fontId="12" fillId="16" borderId="27" xfId="14" quotePrefix="1" applyBorder="1" applyAlignment="1" applyProtection="1">
      <alignment horizontal="right" vertical="center" wrapText="1" indent="2"/>
      <protection locked="0"/>
    </xf>
    <xf numFmtId="0" fontId="12" fillId="16" borderId="28" xfId="14" quotePrefix="1" applyNumberFormat="1" applyBorder="1" applyAlignment="1" applyProtection="1">
      <alignment horizontal="right" vertical="center" wrapText="1" indent="2"/>
      <protection locked="0"/>
    </xf>
    <xf numFmtId="0" fontId="19" fillId="27" borderId="1" xfId="79" quotePrefix="1" applyAlignment="1">
      <alignment vertical="center"/>
    </xf>
    <xf numFmtId="165" fontId="8" fillId="27" borderId="1" xfId="123">
      <alignment horizontal="right" vertical="center" indent="1" shrinkToFit="1"/>
    </xf>
    <xf numFmtId="9" fontId="5" fillId="16" borderId="30" xfId="49" quotePrefix="1" applyNumberFormat="1" applyBorder="1" applyAlignment="1" applyProtection="1">
      <alignment horizontal="right" vertical="center" wrapText="1" indent="1"/>
      <protection locked="0"/>
    </xf>
    <xf numFmtId="9" fontId="5" fillId="16" borderId="29" xfId="49" quotePrefix="1" applyNumberFormat="1" applyBorder="1" applyAlignment="1" applyProtection="1">
      <alignment horizontal="right" vertical="center" wrapText="1" indent="1"/>
      <protection locked="0"/>
    </xf>
    <xf numFmtId="165" fontId="9" fillId="23" borderId="29" xfId="43" applyBorder="1">
      <alignment horizontal="right" vertical="center" indent="1" shrinkToFit="1"/>
    </xf>
    <xf numFmtId="0" fontId="9" fillId="18" borderId="0" xfId="72" quotePrefix="1" applyFont="1" applyAlignment="1">
      <alignment horizontal="left" vertical="center" indent="1"/>
    </xf>
    <xf numFmtId="0" fontId="50" fillId="11" borderId="0" xfId="124">
      <alignment horizontal="left" vertical="center"/>
    </xf>
    <xf numFmtId="0" fontId="51" fillId="10" borderId="0" xfId="0" applyFont="1" applyFill="1" applyAlignment="1">
      <alignment horizontal="left" vertical="center"/>
    </xf>
    <xf numFmtId="0" fontId="53" fillId="30" borderId="0" xfId="125" quotePrefix="1" applyFont="1" applyFill="1" applyBorder="1" applyAlignment="1">
      <alignment horizontal="left" vertical="top"/>
    </xf>
    <xf numFmtId="0" fontId="54" fillId="25" borderId="1" xfId="126" quotePrefix="1">
      <alignment horizontal="left" vertical="top" wrapText="1" indent="1"/>
    </xf>
    <xf numFmtId="0" fontId="54" fillId="31" borderId="1" xfId="127" quotePrefix="1" applyFill="1">
      <alignment horizontal="left" vertical="top" wrapText="1" indent="1"/>
    </xf>
    <xf numFmtId="22" fontId="0" fillId="15" borderId="31" xfId="128" applyNumberFormat="1" applyFont="1" applyFill="1" applyBorder="1" applyAlignment="1">
      <alignment horizontal="left" vertical="top"/>
    </xf>
    <xf numFmtId="0" fontId="0" fillId="15" borderId="32" xfId="128" applyNumberFormat="1" applyFont="1" applyFill="1" applyBorder="1" applyAlignment="1">
      <alignment horizontal="left" vertical="top" wrapText="1"/>
    </xf>
    <xf numFmtId="0" fontId="0" fillId="15" borderId="33" xfId="128" applyNumberFormat="1" applyFont="1" applyFill="1" applyBorder="1" applyAlignment="1">
      <alignment horizontal="left" vertical="top"/>
    </xf>
    <xf numFmtId="0" fontId="9" fillId="16" borderId="10" xfId="32" applyFont="1">
      <alignment horizontal="center" vertical="center" wrapText="1"/>
      <protection locked="0"/>
    </xf>
    <xf numFmtId="0" fontId="9" fillId="16" borderId="10" xfId="32" applyFont="1" applyProtection="1">
      <alignment horizontal="center" vertical="center" wrapText="1"/>
      <protection locked="0"/>
    </xf>
    <xf numFmtId="172" fontId="49" fillId="18" borderId="0" xfId="22" applyNumberFormat="1" applyFont="1" applyFill="1" applyAlignment="1">
      <alignment horizontal="right" vertical="center" indent="1"/>
    </xf>
    <xf numFmtId="165" fontId="55" fillId="16" borderId="30" xfId="50" quotePrefix="1" applyFont="1" applyBorder="1" applyAlignment="1" applyProtection="1">
      <alignment horizontal="left" vertical="center" wrapText="1" indent="1"/>
      <protection locked="0"/>
    </xf>
    <xf numFmtId="165" fontId="5" fillId="16" borderId="19" xfId="49" quotePrefix="1" applyBorder="1" applyAlignment="1" applyProtection="1">
      <alignment horizontal="left" vertical="center" wrapText="1"/>
      <protection locked="0"/>
    </xf>
    <xf numFmtId="165" fontId="5" fillId="16" borderId="18" xfId="49" quotePrefix="1" applyBorder="1" applyAlignment="1" applyProtection="1">
      <alignment horizontal="left" vertical="center" wrapText="1"/>
      <protection locked="0"/>
    </xf>
    <xf numFmtId="165" fontId="43" fillId="16" borderId="29" xfId="49" quotePrefix="1" applyFont="1" applyBorder="1" applyAlignment="1" applyProtection="1">
      <alignment horizontal="left" vertical="center" wrapText="1"/>
      <protection locked="0"/>
    </xf>
    <xf numFmtId="165" fontId="5" fillId="16" borderId="14" xfId="49" quotePrefix="1" applyAlignment="1" applyProtection="1">
      <alignment horizontal="left" vertical="center" wrapText="1"/>
      <protection locked="0"/>
    </xf>
    <xf numFmtId="0" fontId="9" fillId="16" borderId="34" xfId="32" applyFont="1" applyBorder="1" applyAlignment="1" applyProtection="1">
      <alignment horizontal="right" vertical="center" wrapText="1"/>
      <protection locked="0"/>
    </xf>
    <xf numFmtId="0" fontId="19" fillId="25" borderId="0" xfId="63" applyBorder="1" applyAlignment="1">
      <alignment vertical="top" wrapText="1"/>
    </xf>
    <xf numFmtId="9" fontId="5" fillId="16" borderId="1" xfId="50" quotePrefix="1" applyNumberFormat="1" applyBorder="1" applyAlignment="1" applyProtection="1">
      <alignment horizontal="right" vertical="center" wrapText="1" indent="1"/>
      <protection locked="0"/>
    </xf>
    <xf numFmtId="0" fontId="47" fillId="25" borderId="0" xfId="63" applyFont="1" applyBorder="1" applyAlignment="1">
      <alignment vertical="top" wrapText="1"/>
    </xf>
    <xf numFmtId="0" fontId="19" fillId="25" borderId="0" xfId="63" applyFill="1" applyBorder="1" applyAlignment="1">
      <alignment vertical="top" wrapText="1"/>
    </xf>
    <xf numFmtId="0" fontId="9" fillId="16" borderId="34" xfId="32" applyFont="1" applyBorder="1" applyAlignment="1">
      <alignment horizontal="right" vertical="center" wrapText="1"/>
      <protection locked="0"/>
    </xf>
    <xf numFmtId="0" fontId="5" fillId="18" borderId="0" xfId="72" quotePrefix="1" applyBorder="1" applyAlignment="1">
      <alignment horizontal="left" vertical="center"/>
    </xf>
    <xf numFmtId="0" fontId="5" fillId="18" borderId="0" xfId="72" quotePrefix="1" applyFont="1" applyAlignment="1">
      <alignment horizontal="left" vertical="center" indent="1"/>
    </xf>
    <xf numFmtId="0" fontId="19" fillId="27" borderId="1" xfId="80">
      <alignment horizontal="center" vertical="center" wrapText="1"/>
    </xf>
    <xf numFmtId="0" fontId="5" fillId="10" borderId="35" xfId="0" applyFont="1" applyFill="1" applyBorder="1" applyAlignment="1">
      <alignment horizontal="left" vertical="center"/>
    </xf>
    <xf numFmtId="0" fontId="8" fillId="13" borderId="36" xfId="4" applyBorder="1">
      <alignment horizontal="center" vertical="center"/>
    </xf>
    <xf numFmtId="0" fontId="19" fillId="21" borderId="0" xfId="80" applyFill="1" applyBorder="1">
      <alignment horizontal="center" vertical="center" wrapText="1"/>
    </xf>
    <xf numFmtId="0" fontId="19" fillId="21" borderId="1" xfId="36" quotePrefix="1">
      <alignment horizontal="left" vertical="center" indent="1"/>
    </xf>
    <xf numFmtId="0" fontId="19" fillId="21" borderId="1" xfId="37">
      <alignment horizontal="center" vertical="center" wrapText="1"/>
    </xf>
    <xf numFmtId="0" fontId="8" fillId="20" borderId="1" xfId="29">
      <alignment horizontal="center" vertical="center"/>
    </xf>
    <xf numFmtId="165" fontId="8" fillId="21" borderId="1" xfId="59">
      <alignment horizontal="right" vertical="center" indent="1" shrinkToFit="1"/>
    </xf>
    <xf numFmtId="0" fontId="43" fillId="10" borderId="0" xfId="0" applyFont="1" applyFill="1" applyAlignment="1">
      <alignment horizontal="left" vertical="center"/>
    </xf>
    <xf numFmtId="0" fontId="56" fillId="10" borderId="0" xfId="28" quotePrefix="1" applyFont="1">
      <alignment vertical="center"/>
    </xf>
    <xf numFmtId="0" fontId="56" fillId="10" borderId="0" xfId="28" quotePrefix="1" applyFont="1" applyBorder="1">
      <alignment vertical="center"/>
    </xf>
    <xf numFmtId="0" fontId="8" fillId="13" borderId="1" xfId="4">
      <alignment horizontal="center" vertical="center"/>
    </xf>
    <xf numFmtId="0" fontId="19" fillId="21" borderId="1" xfId="80" applyFill="1">
      <alignment horizontal="center" vertical="center" wrapText="1"/>
    </xf>
    <xf numFmtId="165" fontId="8" fillId="25" borderId="1" xfId="71" applyNumberFormat="1">
      <alignment horizontal="right" vertical="center" indent="1" shrinkToFit="1"/>
    </xf>
    <xf numFmtId="165" fontId="5" fillId="16" borderId="11" xfId="50" quotePrefix="1" applyNumberFormat="1">
      <alignment horizontal="right" vertical="center" wrapText="1" indent="1"/>
      <protection locked="0"/>
    </xf>
    <xf numFmtId="0" fontId="21" fillId="21" borderId="0" xfId="34">
      <alignment vertical="center"/>
    </xf>
    <xf numFmtId="0" fontId="25" fillId="15" borderId="40" xfId="89" quotePrefix="1" applyBorder="1" applyAlignment="1" applyProtection="1">
      <alignment vertical="center"/>
    </xf>
    <xf numFmtId="0" fontId="25" fillId="15" borderId="41" xfId="89" quotePrefix="1" applyBorder="1" applyAlignment="1" applyProtection="1">
      <alignment vertical="center"/>
    </xf>
    <xf numFmtId="0" fontId="25" fillId="15" borderId="42" xfId="89" quotePrefix="1" applyBorder="1" applyAlignment="1" applyProtection="1">
      <alignment vertical="center"/>
    </xf>
    <xf numFmtId="0" fontId="25" fillId="15" borderId="37" xfId="89" quotePrefix="1" applyBorder="1" applyAlignment="1" applyProtection="1">
      <alignment vertical="center"/>
    </xf>
    <xf numFmtId="0" fontId="25" fillId="15" borderId="38" xfId="89" quotePrefix="1" applyBorder="1" applyAlignment="1" applyProtection="1">
      <alignment vertical="center"/>
    </xf>
    <xf numFmtId="0" fontId="25" fillId="15" borderId="39" xfId="89" quotePrefix="1" applyBorder="1" applyAlignment="1" applyProtection="1">
      <alignment vertical="center"/>
    </xf>
    <xf numFmtId="0" fontId="27" fillId="15" borderId="43" xfId="112" quotePrefix="1" applyBorder="1" applyAlignment="1" applyProtection="1">
      <alignment vertical="center"/>
    </xf>
    <xf numFmtId="0" fontId="27" fillId="15" borderId="44" xfId="112" quotePrefix="1" applyBorder="1" applyAlignment="1" applyProtection="1">
      <alignment vertical="center"/>
    </xf>
    <xf numFmtId="0" fontId="27" fillId="15" borderId="45" xfId="112" quotePrefix="1" applyBorder="1" applyAlignment="1" applyProtection="1">
      <alignment vertical="center"/>
    </xf>
    <xf numFmtId="0" fontId="19" fillId="25" borderId="1" xfId="66" applyAlignment="1">
      <alignment horizontal="left" vertical="center" wrapText="1" indent="1"/>
    </xf>
    <xf numFmtId="0" fontId="19" fillId="21" borderId="0" xfId="80" applyFill="1" applyBorder="1">
      <alignment horizontal="center" vertical="center" wrapText="1"/>
    </xf>
    <xf numFmtId="173" fontId="49" fillId="18" borderId="0" xfId="22" applyNumberFormat="1" applyFont="1" applyFill="1" applyAlignment="1">
      <alignment horizontal="right" vertical="center" indent="1"/>
    </xf>
    <xf numFmtId="0" fontId="13" fillId="15" borderId="6" xfId="13" quotePrefix="1">
      <alignment horizontal="left" vertical="center" wrapText="1" indent="1"/>
    </xf>
    <xf numFmtId="14" fontId="12" fillId="16" borderId="0" xfId="14" quotePrefix="1" applyAlignment="1" applyProtection="1">
      <alignment horizontal="left" vertical="center" wrapText="1" indent="1"/>
      <protection locked="0"/>
    </xf>
    <xf numFmtId="49" fontId="12" fillId="16" borderId="0" xfId="10" quotePrefix="1" applyNumberFormat="1" applyAlignment="1" applyProtection="1">
      <alignment horizontal="left" vertical="center" wrapText="1" indent="1"/>
      <protection locked="0"/>
    </xf>
    <xf numFmtId="0" fontId="12" fillId="16" borderId="0" xfId="10" quotePrefix="1" applyNumberFormat="1" applyAlignment="1">
      <alignment horizontal="left" vertical="center" wrapText="1" indent="1"/>
      <protection locked="0"/>
    </xf>
    <xf numFmtId="0" fontId="12" fillId="10" borderId="0" xfId="0" applyFont="1" applyFill="1" applyAlignment="1">
      <alignment horizontal="left" vertical="top" wrapText="1"/>
    </xf>
    <xf numFmtId="0" fontId="39" fillId="15" borderId="5" xfId="12" quotePrefix="1" applyFont="1" applyAlignment="1">
      <alignment horizontal="left" vertical="center" wrapText="1" indent="1"/>
    </xf>
    <xf numFmtId="0" fontId="39" fillId="15" borderId="7" xfId="12" quotePrefix="1" applyFont="1" applyBorder="1" applyAlignment="1">
      <alignment horizontal="left" vertical="center" wrapText="1" indent="1"/>
    </xf>
    <xf numFmtId="0" fontId="16" fillId="18" borderId="0" xfId="23" quotePrefix="1">
      <alignment vertical="center"/>
    </xf>
    <xf numFmtId="0" fontId="16" fillId="18" borderId="0" xfId="23">
      <alignment vertical="center"/>
    </xf>
    <xf numFmtId="0" fontId="6" fillId="18" borderId="0" xfId="25" quotePrefix="1" applyAlignment="1">
      <alignment horizontal="left" vertical="center" wrapText="1" indent="1"/>
    </xf>
    <xf numFmtId="0" fontId="19" fillId="25" borderId="9" xfId="62" applyBorder="1">
      <alignment horizontal="center" vertical="center" wrapText="1"/>
    </xf>
    <xf numFmtId="0" fontId="19" fillId="25" borderId="0" xfId="62" applyBorder="1">
      <alignment horizontal="center" vertical="center" wrapText="1"/>
    </xf>
    <xf numFmtId="0" fontId="19" fillId="25" borderId="1" xfId="66" quotePrefix="1" applyAlignment="1">
      <alignment horizontal="left" vertical="center" wrapText="1" indent="1"/>
    </xf>
    <xf numFmtId="0" fontId="19" fillId="25" borderId="1" xfId="66" applyAlignment="1">
      <alignment horizontal="left" vertical="center" wrapText="1" indent="1"/>
    </xf>
    <xf numFmtId="0" fontId="19" fillId="21" borderId="1" xfId="36" quotePrefix="1">
      <alignment horizontal="left" vertical="center" indent="1"/>
    </xf>
    <xf numFmtId="0" fontId="16" fillId="18" borderId="35" xfId="23" quotePrefix="1" applyBorder="1">
      <alignment vertical="center"/>
    </xf>
    <xf numFmtId="0" fontId="19" fillId="25" borderId="1" xfId="62">
      <alignment horizontal="center" vertical="center" wrapText="1"/>
    </xf>
    <xf numFmtId="0" fontId="19" fillId="27" borderId="0" xfId="79" quotePrefix="1" applyBorder="1">
      <alignment horizontal="left" vertical="center" indent="1"/>
    </xf>
    <xf numFmtId="0" fontId="19" fillId="21" borderId="1" xfId="79" quotePrefix="1" applyFill="1">
      <alignment horizontal="left" vertical="center" indent="1"/>
    </xf>
    <xf numFmtId="0" fontId="19" fillId="21" borderId="0" xfId="79" quotePrefix="1" applyFill="1" applyBorder="1">
      <alignment horizontal="left" vertical="center" indent="1"/>
    </xf>
    <xf numFmtId="0" fontId="19" fillId="21" borderId="1" xfId="80" applyFill="1">
      <alignment horizontal="center" vertical="center" wrapText="1"/>
    </xf>
    <xf numFmtId="0" fontId="19" fillId="21" borderId="0" xfId="80" applyFill="1" applyBorder="1">
      <alignment horizontal="center" vertical="center" wrapText="1"/>
    </xf>
    <xf numFmtId="0" fontId="27" fillId="15" borderId="43" xfId="112" quotePrefix="1" applyBorder="1" applyAlignment="1" applyProtection="1">
      <alignment vertical="center"/>
    </xf>
    <xf numFmtId="0" fontId="27" fillId="15" borderId="44" xfId="112" quotePrefix="1" applyBorder="1" applyAlignment="1" applyProtection="1">
      <alignment vertical="center"/>
    </xf>
    <xf numFmtId="0" fontId="27" fillId="15" borderId="45" xfId="112" quotePrefix="1" applyBorder="1" applyAlignment="1" applyProtection="1">
      <alignment vertical="center"/>
    </xf>
    <xf numFmtId="0" fontId="0" fillId="15" borderId="31" xfId="128" applyNumberFormat="1" applyFont="1" applyFill="1" applyBorder="1" applyAlignment="1">
      <alignment horizontal="left" vertical="top"/>
    </xf>
  </cellXfs>
  <cellStyles count="129">
    <cellStyle name="Neutral" xfId="122" builtinId="28"/>
    <cellStyle name="Normal" xfId="0" builtinId="0"/>
    <cellStyle name="r_0_BKG" xfId="3"/>
    <cellStyle name="r_0_blueHeaderLeftIdent" xfId="126"/>
    <cellStyle name="r_0_comment" xfId="41"/>
    <cellStyle name="r_0_comment1" xfId="118"/>
    <cellStyle name="r_0_estimateBest" xfId="56"/>
    <cellStyle name="r_0_estimateBudget" xfId="82"/>
    <cellStyle name="r_0_estimateMed" xfId="57"/>
    <cellStyle name="r_0_estimatePerc" xfId="73"/>
    <cellStyle name="r_0_estimateWorst" xfId="58"/>
    <cellStyle name="r_0_grayDark" xfId="1"/>
    <cellStyle name="r_0_grayDark2" xfId="124"/>
    <cellStyle name="r_0_grayTitle" xfId="125"/>
    <cellStyle name="r_0_greenHeaderLeftIdent" xfId="127"/>
    <cellStyle name="r_0_H1_gray" xfId="27"/>
    <cellStyle name="r_0_H2_red" xfId="121"/>
    <cellStyle name="r_0_H2_red2" xfId="28"/>
    <cellStyle name="r_0_H3MLblueHidden" xfId="64"/>
    <cellStyle name="r_0_H3MLredHidden" xfId="33"/>
    <cellStyle name="r_0_H3MMblue" xfId="62"/>
    <cellStyle name="r_0_H3MMblue2" xfId="67"/>
    <cellStyle name="r_0_H3MMblueHidden" xfId="65"/>
    <cellStyle name="r_0_H3MMblueL1" xfId="66"/>
    <cellStyle name="r_0_H3MMgreen" xfId="80"/>
    <cellStyle name="r_0_H3MMgreen2" xfId="81"/>
    <cellStyle name="r_0_H3MMgreenL1" xfId="79"/>
    <cellStyle name="r_0_H3MMred" xfId="37"/>
    <cellStyle name="r_0_H3MMred2" xfId="39"/>
    <cellStyle name="r_0_H3MMredHidden" xfId="34"/>
    <cellStyle name="r_0_H3MMredL1" xfId="36"/>
    <cellStyle name="r_0_H3TMblue" xfId="63"/>
    <cellStyle name="r_0_H3TMred" xfId="30"/>
    <cellStyle name="r_0_H4TRgray" xfId="38"/>
    <cellStyle name="r_0_help" xfId="25"/>
    <cellStyle name="r_0_helpBold" xfId="23"/>
    <cellStyle name="r_0_helpJustify" xfId="24"/>
    <cellStyle name="r_0_line" xfId="54"/>
    <cellStyle name="r_0_lineBorderTop" xfId="50"/>
    <cellStyle name="r_0_lineBorderTop2" xfId="46"/>
    <cellStyle name="r_0_lineBorderTop2bold" xfId="86"/>
    <cellStyle name="r_0_lineBorderTop2date" xfId="85"/>
    <cellStyle name="r_0_lineBorderTopPre" xfId="49"/>
    <cellStyle name="r_0_lineLocked" xfId="69"/>
    <cellStyle name="r_0_lineLocked2" xfId="77"/>
    <cellStyle name="r_0_lineLocked2bold" xfId="76"/>
    <cellStyle name="r_0_lineLocked2pale" xfId="87"/>
    <cellStyle name="r_0_lineLocked2paledate" xfId="88"/>
    <cellStyle name="r_0_lineLockedAccount" xfId="55"/>
    <cellStyle name="r_0_lineLockedBold" xfId="42"/>
    <cellStyle name="r_0_lineLockedBold2" xfId="47"/>
    <cellStyle name="r_0_lineLockedPre" xfId="45"/>
    <cellStyle name="r_0_lineLockedPre2" xfId="75"/>
    <cellStyle name="r_0_linePre" xfId="53"/>
    <cellStyle name="r_0_lineSubtotal1" xfId="51"/>
    <cellStyle name="r_0_lineSubtotal1Bold" xfId="43"/>
    <cellStyle name="r_0_lineSubtotal2Bold" xfId="48"/>
    <cellStyle name="r_0_MRDblue" xfId="2"/>
    <cellStyle name="r_0_MRDgreen" xfId="4"/>
    <cellStyle name="r_0_MRDred" xfId="29"/>
    <cellStyle name="r_0_MRLred" xfId="31"/>
    <cellStyle name="r_0_plAdjustment" xfId="32"/>
    <cellStyle name="r_0_separator" xfId="40"/>
    <cellStyle name="r_0_separator2" xfId="22"/>
    <cellStyle name="r_0_separator2Grad" xfId="26"/>
    <cellStyle name="r_0_separatorG1" xfId="84"/>
    <cellStyle name="r_0_STblue1" xfId="71"/>
    <cellStyle name="r_0_STblue2" xfId="70"/>
    <cellStyle name="r_0_STblue2Perc" xfId="78"/>
    <cellStyle name="r_0_STblue3" xfId="68"/>
    <cellStyle name="r_0_STblue5" xfId="74"/>
    <cellStyle name="r_0_STgreen1" xfId="123"/>
    <cellStyle name="r_0_STgreen2" xfId="83"/>
    <cellStyle name="r_0_STred1" xfId="59"/>
    <cellStyle name="r_0_STred2" xfId="52"/>
    <cellStyle name="r_0_STred3" xfId="44"/>
    <cellStyle name="r_0_STred5" xfId="61"/>
    <cellStyle name="r_0_total" xfId="72"/>
    <cellStyle name="r_0_totalBold" xfId="60"/>
    <cellStyle name="r_1_bkgGrayML" xfId="6"/>
    <cellStyle name="r_1_bkgGrayMM" xfId="7"/>
    <cellStyle name="r_1_bkgGrayMR" xfId="8"/>
    <cellStyle name="r_1_bkgMain" xfId="128"/>
    <cellStyle name="r_1_bkgMainTM" xfId="19"/>
    <cellStyle name="r_1_bkgWhite" xfId="91"/>
    <cellStyle name="r_1_bkgWhiteBottom" xfId="110"/>
    <cellStyle name="r_1_bkgWhiteLeft" xfId="90"/>
    <cellStyle name="r_1_bkgWhiteLeftBottom" xfId="109"/>
    <cellStyle name="r_1_bkgWhiteRight" xfId="92"/>
    <cellStyle name="r_1_bkgWhiteRightBottom" xfId="111"/>
    <cellStyle name="r_1_bkgYellow" xfId="95"/>
    <cellStyle name="r_1_bkgYellowEnd" xfId="107"/>
    <cellStyle name="r_1_bkgYellowForce" xfId="100"/>
    <cellStyle name="r_1_bkgYellowStart" xfId="93"/>
    <cellStyle name="r_1_faq-link" xfId="16"/>
    <cellStyle name="r_1_faq-text" xfId="21"/>
    <cellStyle name="r_1_fpHeader3" xfId="9"/>
    <cellStyle name="r_1_fpHeader4" xfId="15"/>
    <cellStyle name="r_1_lineInputDate" xfId="14"/>
    <cellStyle name="r_1_lineInputText" xfId="18"/>
    <cellStyle name="r_1_lineInputValue" xfId="10"/>
    <cellStyle name="r_1_lineInputValueNon" xfId="20"/>
    <cellStyle name="r_1_separatorLine" xfId="17"/>
    <cellStyle name="r_1_separatorLineBottom" xfId="11"/>
    <cellStyle name="r_1_sideTextBottom" xfId="13"/>
    <cellStyle name="r_1_sideTextTop" xfId="12"/>
    <cellStyle name="r_2_perc8" xfId="119"/>
    <cellStyle name="r_2_perc8Bold" xfId="115"/>
    <cellStyle name="r_2_text10Bold" xfId="96"/>
    <cellStyle name="r_2_text12Blue" xfId="94"/>
    <cellStyle name="r_2_text12BlueNT" xfId="108"/>
    <cellStyle name="r_2_text18White" xfId="112"/>
    <cellStyle name="r_2_text20WhiteBold" xfId="89"/>
    <cellStyle name="r_2_text8" xfId="113"/>
    <cellStyle name="r_2_text8Bold" xfId="101"/>
    <cellStyle name="r_2_text8BoldIdent1" xfId="117"/>
    <cellStyle name="r_2_text8BoldStart" xfId="97"/>
    <cellStyle name="r_2_text8Ident1" xfId="104"/>
    <cellStyle name="r_2_text8Ident2" xfId="106"/>
    <cellStyle name="r_2_text8Ident3" xfId="114"/>
    <cellStyle name="r_2_textNoFormat" xfId="35"/>
    <cellStyle name="r_2_val8" xfId="5"/>
    <cellStyle name="r_2_val8Bkg" xfId="120"/>
    <cellStyle name="r_2_val8Bold" xfId="103"/>
    <cellStyle name="r_2_val8BoldLeft" xfId="102"/>
    <cellStyle name="r_2_val8BoldStart" xfId="99"/>
    <cellStyle name="r_2_val8BoldStartLeft" xfId="98"/>
    <cellStyle name="r_2_val8Left" xfId="105"/>
    <cellStyle name="r_2_val8NegativeRed" xfId="116"/>
  </cellStyles>
  <dxfs count="139">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fill>
        <patternFill>
          <bgColor rgb="FFF8F8DE"/>
        </patternFill>
      </fill>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fill>
        <patternFill>
          <bgColor rgb="FFF8F8DE"/>
        </patternFill>
      </fill>
      <border>
        <left/>
        <right/>
        <top/>
        <bottom/>
        <vertical/>
        <horizontal/>
      </border>
    </dxf>
    <dxf>
      <fill>
        <patternFill>
          <bgColor rgb="FFF8F8DE"/>
        </patternFill>
      </fill>
      <border>
        <left/>
        <right/>
        <top/>
        <bottom/>
        <vertical/>
        <horizontal/>
      </border>
    </dxf>
    <dxf>
      <fill>
        <patternFill>
          <bgColor rgb="FFF8F8DE"/>
        </patternFill>
      </fill>
      <border>
        <left/>
        <right/>
        <top/>
        <bottom/>
        <vertical/>
        <horizontal/>
      </border>
    </dxf>
    <dxf>
      <fill>
        <patternFill>
          <bgColor rgb="FFF8F8DE"/>
        </patternFill>
      </fill>
      <border>
        <left/>
        <right/>
        <top/>
        <bottom/>
        <vertical/>
        <horizontal/>
      </border>
    </dxf>
    <dxf>
      <fill>
        <patternFill>
          <bgColor rgb="FFF9F9F3"/>
        </patternFill>
      </fill>
      <border>
        <left/>
        <right/>
        <top/>
        <bottom/>
        <vertical/>
        <horizontal/>
      </border>
    </dxf>
    <dxf>
      <fill>
        <patternFill>
          <bgColor rgb="FFF9F8F6"/>
        </patternFill>
      </fill>
    </dxf>
    <dxf>
      <fill>
        <patternFill>
          <bgColor rgb="FFF9F8F6"/>
        </patternFill>
      </fill>
    </dxf>
    <dxf>
      <fill>
        <patternFill>
          <bgColor rgb="FFF9F9F3"/>
        </patternFill>
      </fill>
      <border>
        <left/>
        <right/>
        <top/>
        <bottom/>
        <vertical/>
        <horizontal/>
      </border>
    </dxf>
    <dxf>
      <fill>
        <patternFill>
          <bgColor rgb="FFF9F8F6"/>
        </patternFill>
      </fill>
    </dxf>
    <dxf>
      <fill>
        <patternFill>
          <bgColor rgb="FFF9F8F6"/>
        </patternFill>
      </fill>
    </dxf>
    <dxf>
      <fill>
        <patternFill>
          <bgColor rgb="FFF9F8F6"/>
        </patternFill>
      </fill>
    </dxf>
    <dxf>
      <fill>
        <patternFill>
          <bgColor rgb="FFF9F8F6"/>
        </patternFill>
      </fill>
    </dxf>
    <dxf>
      <fill>
        <patternFill>
          <bgColor rgb="FFF9F8F3"/>
        </patternFill>
      </fill>
      <border>
        <left/>
        <right/>
        <top/>
        <bottom/>
        <vertical/>
        <horizontal/>
      </border>
    </dxf>
    <dxf>
      <fill>
        <patternFill>
          <bgColor rgb="FFF9F8F3"/>
        </patternFill>
      </fill>
      <border>
        <left/>
        <right/>
        <top/>
        <bottom/>
        <vertical/>
        <horizontal/>
      </border>
    </dxf>
    <dxf>
      <fill>
        <patternFill>
          <bgColor rgb="FFF9F8F6"/>
        </patternFill>
      </fill>
    </dxf>
    <dxf>
      <fill>
        <patternFill>
          <bgColor rgb="FFF9F8F6"/>
        </patternFill>
      </fill>
    </dxf>
    <dxf>
      <fill>
        <patternFill>
          <bgColor rgb="FFF9F9F3"/>
        </patternFill>
      </fill>
      <border>
        <left/>
        <right/>
        <top/>
        <bottom/>
        <vertical/>
        <horizontal/>
      </border>
    </dxf>
    <dxf>
      <fill>
        <patternFill>
          <bgColor rgb="FFF9F9F3"/>
        </patternFill>
      </fill>
      <border>
        <left/>
        <right/>
        <top/>
        <bottom/>
        <vertical/>
        <horizontal/>
      </border>
    </dxf>
    <dxf>
      <fill>
        <patternFill>
          <bgColor rgb="FFF9F8F3"/>
        </patternFill>
      </fill>
      <border>
        <left/>
        <right/>
        <top/>
        <bottom/>
        <vertical/>
        <horizontal/>
      </border>
    </dxf>
    <dxf>
      <fill>
        <patternFill>
          <bgColor rgb="FFF9F8F6"/>
        </patternFill>
      </fill>
    </dxf>
    <dxf>
      <fill>
        <patternFill>
          <bgColor rgb="FFF9F8F6"/>
        </patternFill>
      </fill>
    </dxf>
    <dxf>
      <fill>
        <patternFill>
          <bgColor rgb="FFF9F8F6"/>
        </patternFill>
      </fill>
    </dxf>
    <dxf>
      <fill>
        <patternFill>
          <bgColor rgb="FFF9F8F6"/>
        </patternFill>
      </fill>
    </dxf>
    <dxf>
      <fill>
        <patternFill>
          <bgColor rgb="FFF9F8F6"/>
        </patternFill>
      </fill>
    </dxf>
    <dxf>
      <fill>
        <patternFill>
          <bgColor rgb="FFF9F8F6"/>
        </patternFill>
      </fill>
    </dxf>
    <dxf>
      <fill>
        <patternFill>
          <bgColor rgb="FFF9F9F3"/>
        </patternFill>
      </fill>
      <border>
        <left/>
        <right/>
        <top/>
        <bottom/>
        <vertical/>
        <horizontal/>
      </border>
    </dxf>
    <dxf>
      <fill>
        <patternFill>
          <bgColor rgb="FFF9F9F3"/>
        </patternFill>
      </fill>
      <border>
        <left/>
        <right/>
        <top/>
        <bottom/>
        <vertical/>
        <horizontal/>
      </border>
    </dxf>
    <dxf>
      <fill>
        <patternFill>
          <bgColor rgb="FFFFCCCC"/>
        </patternFill>
      </fill>
    </dxf>
    <dxf>
      <fill>
        <patternFill>
          <bgColor rgb="FFF9F9F3"/>
        </patternFill>
      </fill>
      <border>
        <left/>
        <right/>
        <top/>
        <bottom/>
        <vertical/>
        <horizontal/>
      </border>
    </dxf>
    <dxf>
      <font>
        <color theme="0" tint="-0.34998626667073579"/>
      </font>
    </dxf>
    <dxf>
      <fill>
        <patternFill>
          <bgColor rgb="FFF9F9F3"/>
        </patternFill>
      </fill>
      <border>
        <left/>
        <right/>
        <top/>
        <bottom/>
        <vertical/>
        <horizontal/>
      </border>
    </dxf>
    <dxf>
      <fill>
        <patternFill>
          <bgColor rgb="FFF9F9F3"/>
        </patternFill>
      </fill>
      <border>
        <left/>
        <right/>
        <top/>
        <bottom/>
        <vertical/>
        <horizontal/>
      </border>
    </dxf>
    <dxf>
      <fill>
        <patternFill>
          <bgColor rgb="FFF9F8F6"/>
        </patternFill>
      </fill>
    </dxf>
    <dxf>
      <fill>
        <patternFill>
          <bgColor rgb="FFF9F8F6"/>
        </patternFill>
      </fill>
    </dxf>
    <dxf>
      <fill>
        <patternFill>
          <bgColor rgb="FFF9F8F6"/>
        </patternFill>
      </fill>
    </dxf>
    <dxf>
      <fill>
        <patternFill>
          <bgColor rgb="FFF9F8F6"/>
        </patternFill>
      </fill>
    </dxf>
    <dxf>
      <fill>
        <patternFill>
          <bgColor rgb="FFF9F8F6"/>
        </patternFill>
      </fill>
    </dxf>
    <dxf>
      <fill>
        <patternFill>
          <bgColor rgb="FFF9F8F6"/>
        </patternFill>
      </fill>
    </dxf>
    <dxf>
      <fill>
        <patternFill>
          <bgColor rgb="FFF9F9F3"/>
        </patternFill>
      </fill>
      <border>
        <left/>
        <right/>
        <top/>
        <bottom/>
        <vertical/>
        <horizontal/>
      </border>
    </dxf>
    <dxf>
      <fill>
        <patternFill>
          <bgColor rgb="FFF9F8F3"/>
        </patternFill>
      </fill>
      <border>
        <left/>
        <right/>
        <top/>
        <bottom/>
        <vertical/>
        <horizontal/>
      </border>
    </dxf>
    <dxf>
      <fill>
        <patternFill>
          <bgColor rgb="FFF9F8F3"/>
        </patternFill>
      </fill>
      <border>
        <left/>
        <right/>
        <top/>
        <bottom/>
      </border>
    </dxf>
    <dxf>
      <fill>
        <patternFill>
          <bgColor rgb="FFF9F8F6"/>
        </patternFill>
      </fill>
    </dxf>
    <dxf>
      <fill>
        <patternFill>
          <bgColor rgb="FFF9F8F6"/>
        </patternFill>
      </fill>
    </dxf>
    <dxf>
      <fill>
        <patternFill>
          <bgColor rgb="FFFFCCCC"/>
        </patternFill>
      </fill>
    </dxf>
    <dxf>
      <fill>
        <patternFill>
          <bgColor rgb="FFF9F8F3"/>
        </patternFill>
      </fill>
      <border>
        <left/>
        <right/>
        <top/>
        <bottom/>
        <vertical/>
        <horizontal/>
      </border>
    </dxf>
    <dxf>
      <fill>
        <patternFill>
          <bgColor rgb="FFF9F9F3"/>
        </patternFill>
      </fill>
      <border>
        <left/>
        <right/>
        <top/>
        <bottom/>
        <vertical/>
        <horizontal/>
      </border>
    </dxf>
    <dxf>
      <fill>
        <patternFill>
          <bgColor rgb="FFF9F8F3"/>
        </patternFill>
      </fill>
      <border>
        <left/>
        <right/>
        <top/>
        <bottom/>
        <vertical/>
        <horizontal/>
      </border>
    </dxf>
    <dxf>
      <fill>
        <patternFill>
          <bgColor rgb="FFF9F8F3"/>
        </patternFill>
      </fill>
    </dxf>
    <dxf>
      <numFmt numFmtId="174" formatCode="#;#;"/>
      <fill>
        <patternFill>
          <bgColor rgb="FFF9F8F3"/>
        </patternFill>
      </fill>
      <border>
        <left/>
        <right/>
        <top/>
        <bottom/>
      </border>
    </dxf>
    <dxf>
      <fill>
        <patternFill>
          <bgColor rgb="FFF9F8F3"/>
        </patternFill>
      </fill>
      <border>
        <left/>
        <right/>
        <top/>
        <bottom/>
        <vertical/>
        <horizontal/>
      </border>
    </dxf>
    <dxf>
      <fill>
        <patternFill>
          <bgColor rgb="FFF9F8F3"/>
        </patternFill>
      </fill>
      <border>
        <left/>
        <right/>
        <top/>
        <bottom/>
        <vertical/>
        <horizontal/>
      </border>
    </dxf>
    <dxf>
      <font>
        <color rgb="FFF9F8F3"/>
      </font>
      <fill>
        <patternFill>
          <bgColor rgb="FFF9F8F3"/>
        </patternFill>
      </fill>
      <border>
        <left/>
        <right/>
        <top/>
        <bottom/>
        <vertical/>
        <horizontal/>
      </border>
    </dxf>
    <dxf>
      <fill>
        <patternFill>
          <bgColor rgb="FFF9F8F3"/>
        </patternFill>
      </fill>
      <border>
        <left/>
        <right/>
        <top/>
        <bottom/>
        <vertical/>
        <horizontal/>
      </border>
    </dxf>
    <dxf>
      <fill>
        <patternFill>
          <bgColor rgb="FFF9F9F3"/>
        </patternFill>
      </fill>
      <border>
        <left/>
        <right/>
        <top/>
        <bottom/>
        <vertical/>
        <horizontal/>
      </border>
    </dxf>
    <dxf>
      <fill>
        <patternFill>
          <bgColor rgb="FFF9F9F3"/>
        </patternFill>
      </fill>
      <border>
        <left/>
        <right/>
        <top/>
        <bottom/>
        <vertical/>
        <horizontal/>
      </border>
    </dxf>
    <dxf>
      <fill>
        <patternFill>
          <bgColor rgb="FFF9F8F6"/>
        </patternFill>
      </fill>
    </dxf>
    <dxf>
      <fill>
        <patternFill>
          <bgColor rgb="FFF9F8F6"/>
        </patternFill>
      </fill>
    </dxf>
    <dxf>
      <fill>
        <patternFill>
          <bgColor rgb="FFF9F8F6"/>
        </patternFill>
      </fill>
    </dxf>
    <dxf>
      <fill>
        <patternFill>
          <bgColor rgb="FFF9F8F6"/>
        </patternFill>
      </fill>
    </dxf>
    <dxf>
      <fill>
        <patternFill>
          <bgColor rgb="FFF9F8F6"/>
        </patternFill>
      </fill>
    </dxf>
    <dxf>
      <fill>
        <patternFill>
          <bgColor rgb="FFF9F8F6"/>
        </patternFill>
      </fill>
    </dxf>
    <dxf>
      <fill>
        <patternFill>
          <bgColor rgb="FFF9F8F3"/>
        </patternFill>
      </fill>
      <border>
        <left/>
        <right/>
        <top/>
        <bottom/>
      </border>
    </dxf>
    <dxf>
      <fill>
        <patternFill>
          <bgColor rgb="FFF9F8F3"/>
        </patternFill>
      </fill>
      <border>
        <left/>
        <right/>
        <top/>
        <bottom/>
      </border>
    </dxf>
    <dxf>
      <fill>
        <patternFill>
          <bgColor rgb="FFF9F8F3"/>
        </patternFill>
      </fill>
      <border>
        <left/>
        <right/>
        <top/>
        <bottom/>
      </border>
    </dxf>
    <dxf>
      <fill>
        <patternFill>
          <bgColor rgb="FFF9F8F3"/>
        </patternFill>
      </fill>
    </dxf>
    <dxf>
      <numFmt numFmtId="174" formatCode="#;#;"/>
      <fill>
        <patternFill>
          <bgColor rgb="FFF9F8F3"/>
        </patternFill>
      </fill>
      <border>
        <left/>
        <right/>
        <top/>
        <bottom/>
      </border>
    </dxf>
    <dxf>
      <fill>
        <patternFill>
          <bgColor rgb="FFF9F8F6"/>
        </patternFill>
      </fill>
    </dxf>
    <dxf>
      <fill>
        <patternFill>
          <bgColor rgb="FFF9F8F6"/>
        </patternFill>
      </fill>
    </dxf>
    <dxf>
      <fill>
        <patternFill>
          <bgColor rgb="FFF9F8F6"/>
        </patternFill>
      </fill>
    </dxf>
    <dxf>
      <fill>
        <patternFill>
          <bgColor rgb="FFF9F8F6"/>
        </patternFill>
      </fill>
    </dxf>
    <dxf>
      <fill>
        <patternFill>
          <bgColor rgb="FFF9F8F3"/>
        </patternFill>
      </fill>
      <border>
        <left/>
        <right/>
        <top/>
        <bottom/>
      </border>
    </dxf>
    <dxf>
      <fill>
        <patternFill>
          <bgColor rgb="FFF9F8F6"/>
        </patternFill>
      </fill>
    </dxf>
    <dxf>
      <fill>
        <patternFill>
          <bgColor rgb="FFF9F8F3"/>
        </patternFill>
      </fill>
      <border>
        <left/>
        <right/>
        <top/>
        <bottom/>
        <vertical/>
        <horizontal/>
      </border>
    </dxf>
    <dxf>
      <fill>
        <patternFill>
          <bgColor rgb="FFF9F8F6"/>
        </patternFill>
      </fill>
      <border>
        <left/>
        <right/>
        <top/>
        <bottom/>
      </border>
    </dxf>
    <dxf>
      <fill>
        <patternFill>
          <bgColor rgb="FFF9F8F6"/>
        </patternFill>
      </fill>
      <border>
        <left/>
        <right/>
        <top/>
        <bottom/>
      </border>
    </dxf>
    <dxf>
      <fill>
        <patternFill>
          <bgColor rgb="FFF9F8F6"/>
        </patternFill>
      </fill>
    </dxf>
    <dxf>
      <fill>
        <patternFill>
          <bgColor rgb="FFF9F8F6"/>
        </patternFill>
      </fill>
    </dxf>
    <dxf>
      <fill>
        <patternFill>
          <bgColor rgb="FFF9F8F6"/>
        </patternFill>
      </fill>
    </dxf>
    <dxf>
      <fill>
        <patternFill>
          <bgColor rgb="FFF9F8F6"/>
        </patternFill>
      </fill>
    </dxf>
    <dxf>
      <fill>
        <patternFill>
          <bgColor rgb="FFF9F9F3"/>
        </patternFill>
      </fill>
      <border>
        <left/>
        <right/>
        <top/>
        <bottom/>
        <vertical/>
        <horizontal/>
      </border>
    </dxf>
    <dxf>
      <fill>
        <patternFill>
          <bgColor rgb="FFF9F8F6"/>
        </patternFill>
      </fill>
    </dxf>
    <dxf>
      <fill>
        <patternFill>
          <bgColor rgb="FFF9F8F3"/>
        </patternFill>
      </fill>
      <border>
        <left/>
        <right/>
        <top/>
        <bottom/>
        <vertical/>
        <horizontal/>
      </border>
    </dxf>
    <dxf>
      <fill>
        <patternFill>
          <bgColor rgb="FFF9F8F3"/>
        </patternFill>
      </fill>
      <border>
        <left/>
        <right/>
        <top/>
        <bottom/>
        <vertical/>
        <horizontal/>
      </border>
    </dxf>
    <dxf>
      <font>
        <color rgb="FFF9F9F3"/>
      </font>
      <fill>
        <patternFill>
          <bgColor rgb="FFF9F8F3"/>
        </patternFill>
      </fill>
      <border>
        <left/>
        <right/>
        <top/>
        <bottom/>
        <vertical/>
        <horizontal/>
      </border>
    </dxf>
    <dxf>
      <font>
        <color rgb="FFF9F8F3"/>
      </font>
      <fill>
        <patternFill>
          <bgColor rgb="FFF9F8F3"/>
        </patternFill>
      </fill>
      <border>
        <left/>
        <right/>
        <top/>
        <bottom/>
      </border>
    </dxf>
    <dxf>
      <fill>
        <patternFill>
          <bgColor rgb="FFF9F8F6"/>
        </patternFill>
      </fill>
    </dxf>
    <dxf>
      <fill>
        <patternFill>
          <bgColor rgb="FFF9F8F3"/>
        </patternFill>
      </fill>
    </dxf>
    <dxf>
      <numFmt numFmtId="174" formatCode="#;#;"/>
      <fill>
        <patternFill>
          <bgColor rgb="FFF9F8F3"/>
        </patternFill>
      </fill>
      <border>
        <left/>
        <right/>
        <top/>
        <bottom/>
      </border>
    </dxf>
    <dxf>
      <fill>
        <patternFill>
          <bgColor rgb="FFF9F8F3"/>
        </patternFill>
      </fill>
      <border>
        <left/>
        <right/>
        <top/>
        <bottom/>
        <vertical/>
        <horizontal/>
      </border>
    </dxf>
    <dxf>
      <fill>
        <patternFill>
          <bgColor rgb="FFF9F8F3"/>
        </patternFill>
      </fill>
      <border>
        <left/>
        <right/>
        <top/>
        <bottom/>
        <vertical/>
        <horizontal/>
      </border>
    </dxf>
    <dxf>
      <font>
        <color rgb="FFF9F8F3"/>
      </font>
      <fill>
        <patternFill>
          <bgColor rgb="FFF9F8F3"/>
        </patternFill>
      </fill>
      <border>
        <left/>
        <right/>
        <top/>
        <bottom/>
        <vertical/>
        <horizontal/>
      </border>
    </dxf>
    <dxf>
      <fill>
        <patternFill>
          <bgColor rgb="FFF9F8F3"/>
        </patternFill>
      </fill>
      <border>
        <left/>
        <right/>
        <top/>
        <bottom/>
        <vertical/>
        <horizontal/>
      </border>
    </dxf>
    <dxf>
      <fill>
        <patternFill>
          <bgColor rgb="FFF9F9F3"/>
        </patternFill>
      </fill>
      <border>
        <left/>
        <right/>
        <top/>
        <bottom/>
        <vertical/>
        <horizontal/>
      </border>
    </dxf>
    <dxf>
      <fill>
        <patternFill>
          <bgColor rgb="FFF9F8F6"/>
        </patternFill>
      </fill>
    </dxf>
    <dxf>
      <fill>
        <patternFill>
          <bgColor rgb="FFF9F8F6"/>
        </patternFill>
      </fill>
    </dxf>
    <dxf>
      <fill>
        <patternFill>
          <bgColor rgb="FFF9F8F6"/>
        </patternFill>
      </fill>
    </dxf>
    <dxf>
      <fill>
        <patternFill>
          <bgColor rgb="FFF9F8F6"/>
        </patternFill>
      </fill>
    </dxf>
    <dxf>
      <fill>
        <patternFill>
          <bgColor rgb="FFF9F8F6"/>
        </patternFill>
      </fill>
    </dxf>
    <dxf>
      <fill>
        <patternFill>
          <bgColor rgb="FFF9F8F6"/>
        </patternFill>
      </fill>
    </dxf>
    <dxf>
      <fill>
        <patternFill>
          <bgColor rgb="FFF9F8F3"/>
        </patternFill>
      </fill>
      <border>
        <left/>
        <right/>
        <top/>
        <bottom/>
      </border>
    </dxf>
    <dxf>
      <fill>
        <patternFill>
          <bgColor rgb="FFF9F8F3"/>
        </patternFill>
      </fill>
      <border>
        <left/>
        <right/>
        <top/>
        <bottom/>
      </border>
    </dxf>
    <dxf>
      <fill>
        <patternFill>
          <bgColor rgb="FFF9F8F3"/>
        </patternFill>
      </fill>
      <border>
        <left/>
        <right/>
        <top/>
        <bottom/>
      </border>
    </dxf>
    <dxf>
      <fill>
        <patternFill>
          <bgColor rgb="FFF9F8F3"/>
        </patternFill>
      </fill>
    </dxf>
    <dxf>
      <numFmt numFmtId="174" formatCode="#;#;"/>
      <fill>
        <patternFill>
          <bgColor rgb="FFF9F8F3"/>
        </patternFill>
      </fill>
      <border>
        <left/>
        <right/>
        <top/>
        <bottom/>
      </border>
    </dxf>
    <dxf>
      <fill>
        <patternFill>
          <bgColor rgb="FFF9F8F6"/>
        </patternFill>
      </fill>
    </dxf>
    <dxf>
      <fill>
        <patternFill>
          <bgColor rgb="FFF9F8F6"/>
        </patternFill>
      </fill>
    </dxf>
    <dxf>
      <fill>
        <patternFill>
          <bgColor rgb="FFF9F8F6"/>
        </patternFill>
      </fill>
    </dxf>
    <dxf>
      <fill>
        <patternFill>
          <bgColor rgb="FFF9F8F6"/>
        </patternFill>
      </fill>
    </dxf>
    <dxf>
      <fill>
        <patternFill>
          <bgColor rgb="FFF9F8F3"/>
        </patternFill>
      </fill>
      <border>
        <left/>
        <right/>
        <top/>
        <bottom/>
      </border>
    </dxf>
    <dxf>
      <fill>
        <patternFill>
          <bgColor rgb="FFF9F8F6"/>
        </patternFill>
      </fill>
    </dxf>
  </dxfs>
  <tableStyles count="0" defaultTableStyle="TableStyleMedium2" defaultPivotStyle="PivotStyleLight16"/>
  <colors>
    <mruColors>
      <color rgb="FFF9F8F3"/>
      <color rgb="FFF9F9F3"/>
      <color rgb="FFF8F8DE"/>
      <color rgb="FFF9F8F1"/>
      <color rgb="FF9C0027"/>
      <color rgb="FFEBEAE5"/>
      <color rgb="FF066B43"/>
      <color rgb="FF017024"/>
      <color rgb="FFFFCCCC"/>
      <color rgb="FF2686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7.19978362646614E-2"/>
          <c:y val="0.20711826684282877"/>
          <c:w val="0.89920211485532586"/>
          <c:h val="0.63632301253217882"/>
        </c:manualLayout>
      </c:layout>
      <c:areaChart>
        <c:grouping val="stacked"/>
        <c:varyColors val="0"/>
        <c:ser>
          <c:idx val="1"/>
          <c:order val="0"/>
          <c:tx>
            <c:v>1</c:v>
          </c:tx>
          <c:spPr>
            <a:solidFill>
              <a:srgbClr val="C3D69B"/>
            </a:solidFill>
            <a:ln w="25400">
              <a:noFill/>
            </a:ln>
            <a:effectLst/>
            <a:extLst>
              <a:ext uri="{91240B29-F687-4F45-9708-019B960494DF}">
                <a14:hiddenLine xmlns:a14="http://schemas.microsoft.com/office/drawing/2010/main" w="25400">
                  <a:solidFill>
                    <a:srgbClr val="024C17"/>
                  </a:solidFill>
                </a14:hiddenLine>
              </a:ext>
            </a:extLst>
          </c:spPr>
          <c:cat>
            <c:numLit>
              <c:formatCode>General</c:formatCode>
              <c:ptCount val="2"/>
              <c:pt idx="0">
                <c:v>2</c:v>
              </c:pt>
              <c:pt idx="1">
                <c:v>1</c:v>
              </c:pt>
            </c:numLit>
          </c:cat>
          <c:val>
            <c:numLit>
              <c:formatCode>General</c:formatCode>
              <c:ptCount val="2"/>
              <c:pt idx="0">
                <c:v>2</c:v>
              </c:pt>
              <c:pt idx="1">
                <c:v>1</c:v>
              </c:pt>
            </c:numLit>
          </c:val>
          <c:extLst>
            <c:ext xmlns:c16="http://schemas.microsoft.com/office/drawing/2014/chart" uri="{C3380CC4-5D6E-409C-BE32-E72D297353CC}">
              <c16:uniqueId val="{00000000-4D46-450C-9AA8-CE16753EB776}"/>
            </c:ext>
          </c:extLst>
        </c:ser>
        <c:dLbls>
          <c:showLegendKey val="0"/>
          <c:showVal val="0"/>
          <c:showCatName val="0"/>
          <c:showSerName val="0"/>
          <c:showPercent val="0"/>
          <c:showBubbleSize val="0"/>
        </c:dLbls>
        <c:axId val="445673952"/>
        <c:axId val="445674280"/>
      </c:areaChart>
      <c:barChart>
        <c:barDir val="col"/>
        <c:grouping val="clustered"/>
        <c:varyColors val="0"/>
        <c:ser>
          <c:idx val="0"/>
          <c:order val="1"/>
          <c:tx>
            <c:v>1</c:v>
          </c:tx>
          <c:spPr>
            <a:solidFill>
              <a:srgbClr val="017024"/>
            </a:solidFill>
            <a:ln w="25400">
              <a:noFill/>
            </a:ln>
            <a:effectLst/>
            <a:extLst>
              <a:ext uri="{91240B29-F687-4F45-9708-019B960494DF}">
                <a14:hiddenLine xmlns:a14="http://schemas.microsoft.com/office/drawing/2010/main" w="25400">
                  <a:solidFill>
                    <a:srgbClr val="017024"/>
                  </a:solidFill>
                </a14:hiddenLine>
              </a:ext>
            </a:extLst>
          </c:spPr>
          <c:invertIfNegative val="0"/>
          <c:cat>
            <c:numLit>
              <c:formatCode>General</c:formatCode>
              <c:ptCount val="2"/>
              <c:pt idx="0">
                <c:v>1</c:v>
              </c:pt>
              <c:pt idx="1">
                <c:v>2</c:v>
              </c:pt>
            </c:numLit>
          </c:cat>
          <c:val>
            <c:numLit>
              <c:formatCode>General</c:formatCode>
              <c:ptCount val="2"/>
              <c:pt idx="0">
                <c:v>1</c:v>
              </c:pt>
              <c:pt idx="1">
                <c:v>2</c:v>
              </c:pt>
            </c:numLit>
          </c:val>
          <c:extLst>
            <c:ext xmlns:c16="http://schemas.microsoft.com/office/drawing/2014/chart" uri="{C3380CC4-5D6E-409C-BE32-E72D297353CC}">
              <c16:uniqueId val="{00000001-4D46-450C-9AA8-CE16753EB776}"/>
            </c:ext>
          </c:extLst>
        </c:ser>
        <c:dLbls>
          <c:showLegendKey val="0"/>
          <c:showVal val="0"/>
          <c:showCatName val="0"/>
          <c:showSerName val="0"/>
          <c:showPercent val="0"/>
          <c:showBubbleSize val="0"/>
        </c:dLbls>
        <c:gapWidth val="300"/>
        <c:axId val="445673952"/>
        <c:axId val="445674280"/>
      </c:barChart>
      <c:catAx>
        <c:axId val="445673952"/>
        <c:scaling>
          <c:orientation val="minMax"/>
        </c:scaling>
        <c:delete val="0"/>
        <c:axPos val="b"/>
        <c:numFmt formatCode="General" sourceLinked="1"/>
        <c:majorTickMark val="none"/>
        <c:minorTickMark val="none"/>
        <c:tickLblPos val="low"/>
        <c:spPr>
          <a:noFill/>
          <a:ln w="12700" cap="flat" cmpd="sng" algn="ctr">
            <a:solidFill>
              <a:schemeClr val="accent2">
                <a:lumMod val="20000"/>
                <a:lumOff val="80000"/>
              </a:schemeClr>
            </a:solidFill>
            <a:round/>
          </a:ln>
          <a:effectLst/>
        </c:spPr>
        <c:txPr>
          <a:bodyPr rot="-60000000" spcFirstLastPara="1" vertOverflow="ellipsis" vert="horz" wrap="square" anchor="t" anchorCtr="0"/>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crossAx val="445674280"/>
        <c:crosses val="autoZero"/>
        <c:auto val="1"/>
        <c:lblAlgn val="ctr"/>
        <c:lblOffset val="100"/>
        <c:noMultiLvlLbl val="0"/>
      </c:catAx>
      <c:valAx>
        <c:axId val="445674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900" b="1">
                    <a:solidFill>
                      <a:sysClr val="windowText" lastClr="000000"/>
                    </a:solidFill>
                    <a:latin typeface="Arial" panose="020B0604020202020204" pitchFamily="34" charset="0"/>
                    <a:cs typeface="Arial" panose="020B0604020202020204" pitchFamily="34" charset="0"/>
                  </a:rPr>
                  <a:t>Mio. kr.</a:t>
                </a:r>
              </a:p>
            </c:rich>
          </c:tx>
          <c:layout>
            <c:manualLayout>
              <c:xMode val="edge"/>
              <c:yMode val="edge"/>
              <c:x val="8.5245382063091173E-3"/>
              <c:y val="0"/>
            </c:manualLayout>
          </c:layout>
          <c:overlay val="0"/>
          <c:spPr>
            <a:noFill/>
            <a:ln>
              <a:noFill/>
            </a:ln>
            <a:effectLst/>
          </c:spPr>
          <c:txPr>
            <a:bodyPr rot="0" spcFirstLastPara="1" vertOverflow="ellipsis"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a-DK"/>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crossAx val="445673952"/>
        <c:crosses val="autoZero"/>
        <c:crossBetween val="between"/>
      </c:valAx>
      <c:spPr>
        <a:noFill/>
        <a:ln>
          <a:noFill/>
        </a:ln>
        <a:effectLst/>
      </c:spPr>
    </c:plotArea>
    <c:legend>
      <c:legendPos val="t"/>
      <c:layout>
        <c:manualLayout>
          <c:xMode val="edge"/>
          <c:yMode val="edge"/>
          <c:x val="0.35713958224311165"/>
          <c:y val="2.5449099796540791E-2"/>
          <c:w val="0.29849390953856331"/>
          <c:h val="0.14315218828860482"/>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legend>
    <c:plotVisOnly val="1"/>
    <c:dispBlanksAs val="gap"/>
    <c:showDLblsOverMax val="0"/>
  </c:chart>
  <c:spPr>
    <a:noFill/>
    <a:ln w="9525" cap="flat" cmpd="sng" algn="ctr">
      <a:noFill/>
      <a:round/>
    </a:ln>
    <a:effectLst/>
  </c:spPr>
  <c:txPr>
    <a:bodyPr/>
    <a:lstStyle/>
    <a:p>
      <a:pPr>
        <a:defRPr/>
      </a:pPr>
      <a:endParaRPr lang="da-DK"/>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9978362646614E-2"/>
          <c:y val="0.15622038531054946"/>
          <c:w val="0.89920211485532586"/>
          <c:h val="0.69692188795143573"/>
        </c:manualLayout>
      </c:layout>
      <c:lineChart>
        <c:grouping val="standard"/>
        <c:varyColors val="0"/>
        <c:ser>
          <c:idx val="0"/>
          <c:order val="0"/>
          <c:tx>
            <c:v>1</c:v>
          </c:tx>
          <c:spPr>
            <a:ln w="25400" cap="rnd">
              <a:solidFill>
                <a:srgbClr val="2686AC"/>
              </a:solidFill>
              <a:round/>
            </a:ln>
            <a:effectLst/>
          </c:spPr>
          <c:marker>
            <c:symbol val="none"/>
          </c:marker>
          <c:cat>
            <c:numLit>
              <c:formatCode>General</c:formatCode>
              <c:ptCount val="2"/>
              <c:pt idx="0">
                <c:v>2</c:v>
              </c:pt>
              <c:pt idx="1">
                <c:v>1</c:v>
              </c:pt>
            </c:numLit>
          </c:cat>
          <c:val>
            <c:numLit>
              <c:formatCode>General</c:formatCode>
              <c:ptCount val="2"/>
              <c:pt idx="0">
                <c:v>1</c:v>
              </c:pt>
              <c:pt idx="1">
                <c:v>2</c:v>
              </c:pt>
            </c:numLit>
          </c:val>
          <c:smooth val="0"/>
          <c:extLst>
            <c:ext xmlns:c16="http://schemas.microsoft.com/office/drawing/2014/chart" uri="{C3380CC4-5D6E-409C-BE32-E72D297353CC}">
              <c16:uniqueId val="{00000000-157B-443D-8051-4F24B96A2306}"/>
            </c:ext>
          </c:extLst>
        </c:ser>
        <c:ser>
          <c:idx val="1"/>
          <c:order val="1"/>
          <c:tx>
            <c:v>1</c:v>
          </c:tx>
          <c:spPr>
            <a:ln w="25400" cap="rnd">
              <a:solidFill>
                <a:srgbClr val="9C0027"/>
              </a:solidFill>
              <a:round/>
            </a:ln>
            <a:effectLst/>
          </c:spPr>
          <c:marker>
            <c:symbol val="none"/>
          </c:marker>
          <c:cat>
            <c:numLit>
              <c:formatCode>General</c:formatCode>
              <c:ptCount val="2"/>
              <c:pt idx="0">
                <c:v>2</c:v>
              </c:pt>
              <c:pt idx="1">
                <c:v>1</c:v>
              </c:pt>
            </c:numLit>
          </c:cat>
          <c:val>
            <c:numLit>
              <c:formatCode>General</c:formatCode>
              <c:ptCount val="2"/>
              <c:pt idx="0">
                <c:v>2</c:v>
              </c:pt>
              <c:pt idx="1">
                <c:v>1</c:v>
              </c:pt>
            </c:numLit>
          </c:val>
          <c:smooth val="0"/>
          <c:extLst>
            <c:ext xmlns:c16="http://schemas.microsoft.com/office/drawing/2014/chart" uri="{C3380CC4-5D6E-409C-BE32-E72D297353CC}">
              <c16:uniqueId val="{00000001-157B-443D-8051-4F24B96A2306}"/>
            </c:ext>
          </c:extLst>
        </c:ser>
        <c:dLbls>
          <c:showLegendKey val="0"/>
          <c:showVal val="0"/>
          <c:showCatName val="0"/>
          <c:showSerName val="0"/>
          <c:showPercent val="0"/>
          <c:showBubbleSize val="0"/>
        </c:dLbls>
        <c:smooth val="0"/>
        <c:axId val="445673952"/>
        <c:axId val="445674280"/>
      </c:lineChart>
      <c:catAx>
        <c:axId val="445673952"/>
        <c:scaling>
          <c:orientation val="minMax"/>
        </c:scaling>
        <c:delete val="0"/>
        <c:axPos val="b"/>
        <c:numFmt formatCode="General" sourceLinked="1"/>
        <c:majorTickMark val="none"/>
        <c:minorTickMark val="none"/>
        <c:tickLblPos val="low"/>
        <c:spPr>
          <a:noFill/>
          <a:ln w="12700" cap="flat" cmpd="sng" algn="ctr">
            <a:solidFill>
              <a:schemeClr val="accent2">
                <a:lumMod val="20000"/>
                <a:lumOff val="80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crossAx val="445674280"/>
        <c:crosses val="autoZero"/>
        <c:auto val="1"/>
        <c:lblAlgn val="ctr"/>
        <c:lblOffset val="100"/>
        <c:noMultiLvlLbl val="0"/>
      </c:catAx>
      <c:valAx>
        <c:axId val="445674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b="1"/>
                  <a:t>Mio. kr.</a:t>
                </a:r>
              </a:p>
            </c:rich>
          </c:tx>
          <c:layout>
            <c:manualLayout>
              <c:xMode val="edge"/>
              <c:yMode val="edge"/>
              <c:x val="1.1861932352795524E-2"/>
              <c:y val="0"/>
            </c:manualLayout>
          </c:layout>
          <c:overlay val="0"/>
          <c:spPr>
            <a:noFill/>
            <a:ln>
              <a:noFill/>
            </a:ln>
            <a:effectLst/>
          </c:spPr>
          <c:txPr>
            <a:bodyPr rot="0" spcFirstLastPara="1" vertOverflow="ellipsis"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crossAx val="445673952"/>
        <c:crossesAt val="1"/>
        <c:crossBetween val="midCat"/>
      </c:valAx>
      <c:spPr>
        <a:noFill/>
        <a:ln>
          <a:noFill/>
        </a:ln>
        <a:effectLst/>
      </c:spPr>
    </c:plotArea>
    <c:legend>
      <c:legendPos val="t"/>
      <c:overlay val="1"/>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legend>
    <c:plotVisOnly val="1"/>
    <c:dispBlanksAs val="gap"/>
    <c:showDLblsOverMax val="0"/>
  </c:chart>
  <c:spPr>
    <a:no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da-DK"/>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3.543165975220839E-2"/>
          <c:y val="4.7607819514363985E-2"/>
          <c:w val="0.94426792691969208"/>
          <c:h val="0.81253485893678745"/>
        </c:manualLayout>
      </c:layout>
      <c:barChart>
        <c:barDir val="bar"/>
        <c:grouping val="clustered"/>
        <c:varyColors val="0"/>
        <c:ser>
          <c:idx val="1"/>
          <c:order val="0"/>
          <c:tx>
            <c:v>bla</c:v>
          </c:tx>
          <c:spPr>
            <a:solidFill>
              <a:schemeClr val="accent5">
                <a:lumMod val="60000"/>
                <a:lumOff val="40000"/>
              </a:schemeClr>
            </a:solidFill>
            <a:ln w="25400">
              <a:noFill/>
            </a:ln>
            <a:effectLst/>
          </c:spPr>
          <c:invertIfNegative val="0"/>
          <c:dLbls>
            <c:dLbl>
              <c:idx val="9"/>
              <c:dLblPos val="inBase"/>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1E8-4F0C-B9AD-805F7713CC09}"/>
                </c:ext>
              </c:extLst>
            </c:dLbl>
            <c:spPr>
              <a:no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a-DK"/>
              </a:p>
            </c:txPr>
            <c:dLblPos val="inBase"/>
            <c:showLegendKey val="0"/>
            <c:showVal val="0"/>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Lit>
              <c:ptCount val="11"/>
              <c:pt idx="0">
                <c:v>Andre</c:v>
              </c:pt>
              <c:pt idx="1">
                <c:v>a</c:v>
              </c:pt>
              <c:pt idx="2">
                <c:v>b</c:v>
              </c:pt>
              <c:pt idx="3">
                <c:v>c</c:v>
              </c:pt>
              <c:pt idx="4">
                <c:v>d</c:v>
              </c:pt>
              <c:pt idx="5">
                <c:v>e</c:v>
              </c:pt>
              <c:pt idx="6">
                <c:v>f</c:v>
              </c:pt>
              <c:pt idx="7">
                <c:v>g</c:v>
              </c:pt>
              <c:pt idx="8">
                <c:v>h</c:v>
              </c:pt>
              <c:pt idx="9">
                <c:v>i</c:v>
              </c:pt>
              <c:pt idx="10">
                <c:v>j</c:v>
              </c:pt>
            </c:strLit>
          </c:cat>
          <c:val>
            <c:numLit>
              <c:formatCode>General</c:formatCode>
              <c:ptCount val="11"/>
              <c:pt idx="0">
                <c:v>15</c:v>
              </c:pt>
              <c:pt idx="1">
                <c:v>2</c:v>
              </c:pt>
              <c:pt idx="2">
                <c:v>3</c:v>
              </c:pt>
              <c:pt idx="3">
                <c:v>5</c:v>
              </c:pt>
              <c:pt idx="4">
                <c:v>2</c:v>
              </c:pt>
              <c:pt idx="5">
                <c:v>3</c:v>
              </c:pt>
              <c:pt idx="6">
                <c:v>4</c:v>
              </c:pt>
              <c:pt idx="7">
                <c:v>12</c:v>
              </c:pt>
              <c:pt idx="8">
                <c:v>14</c:v>
              </c:pt>
              <c:pt idx="9">
                <c:v>2</c:v>
              </c:pt>
              <c:pt idx="10">
                <c:v>4</c:v>
              </c:pt>
            </c:numLit>
          </c:val>
          <c:extLst>
            <c:ext xmlns:c16="http://schemas.microsoft.com/office/drawing/2014/chart" uri="{C3380CC4-5D6E-409C-BE32-E72D297353CC}">
              <c16:uniqueId val="{00000001-B1E8-4F0C-B9AD-805F7713CC09}"/>
            </c:ext>
          </c:extLst>
        </c:ser>
        <c:dLbls>
          <c:showLegendKey val="0"/>
          <c:showVal val="0"/>
          <c:showCatName val="0"/>
          <c:showSerName val="0"/>
          <c:showPercent val="0"/>
          <c:showBubbleSize val="0"/>
        </c:dLbls>
        <c:gapWidth val="10"/>
        <c:axId val="445673952"/>
        <c:axId val="445674280"/>
      </c:barChart>
      <c:catAx>
        <c:axId val="445673952"/>
        <c:scaling>
          <c:orientation val="minMax"/>
        </c:scaling>
        <c:delete val="1"/>
        <c:axPos val="l"/>
        <c:numFmt formatCode="General" sourceLinked="1"/>
        <c:majorTickMark val="none"/>
        <c:minorTickMark val="none"/>
        <c:tickLblPos val="low"/>
        <c:crossAx val="445674280"/>
        <c:crosses val="autoZero"/>
        <c:auto val="1"/>
        <c:lblAlgn val="ctr"/>
        <c:lblOffset val="100"/>
        <c:noMultiLvlLbl val="0"/>
      </c:catAx>
      <c:valAx>
        <c:axId val="445674280"/>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Mio. kr.</a:t>
                </a:r>
              </a:p>
            </c:rich>
          </c:tx>
          <c:layout>
            <c:manualLayout>
              <c:xMode val="edge"/>
              <c:yMode val="edge"/>
              <c:x val="8.0253031372222589E-3"/>
              <c:y val="0.8819493957534584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title>
        <c:numFmt formatCode="#;#;" sourceLinked="0"/>
        <c:majorTickMark val="none"/>
        <c:minorTickMark val="none"/>
        <c:tickLblPos val="nextTo"/>
        <c:spPr>
          <a:noFill/>
          <a:ln>
            <a:solidFill>
              <a:schemeClr val="bg1">
                <a:lumMod val="85000"/>
              </a:schemeClr>
            </a:solidFill>
          </a:ln>
          <a:effectLst/>
        </c:spPr>
        <c:txPr>
          <a:bodyPr rot="0" spcFirstLastPara="1" vertOverflow="ellipsis"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a-DK"/>
          </a:p>
        </c:txPr>
        <c:crossAx val="44567395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da-DK"/>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7.19978362646614E-2"/>
          <c:y val="0.2002342796939115"/>
          <c:w val="0.89920211485532586"/>
          <c:h val="0.63956970167461458"/>
        </c:manualLayout>
      </c:layout>
      <c:barChart>
        <c:barDir val="col"/>
        <c:grouping val="stacked"/>
        <c:varyColors val="0"/>
        <c:ser>
          <c:idx val="1"/>
          <c:order val="0"/>
          <c:tx>
            <c:v>1</c:v>
          </c:tx>
          <c:spPr>
            <a:solidFill>
              <a:srgbClr val="2686AC"/>
            </a:solidFill>
            <a:ln>
              <a:noFill/>
            </a:ln>
            <a:effectLst/>
          </c:spPr>
          <c:invertIfNegative val="0"/>
          <c:cat>
            <c:numLit>
              <c:formatCode>General</c:formatCode>
              <c:ptCount val="2"/>
              <c:pt idx="0">
                <c:v>2</c:v>
              </c:pt>
              <c:pt idx="1">
                <c:v>1</c:v>
              </c:pt>
            </c:numLit>
          </c:cat>
          <c:val>
            <c:numLit>
              <c:formatCode>General</c:formatCode>
              <c:ptCount val="2"/>
              <c:pt idx="0">
                <c:v>1</c:v>
              </c:pt>
              <c:pt idx="1">
                <c:v>2</c:v>
              </c:pt>
            </c:numLit>
          </c:val>
          <c:extLst>
            <c:ext xmlns:c16="http://schemas.microsoft.com/office/drawing/2014/chart" uri="{C3380CC4-5D6E-409C-BE32-E72D297353CC}">
              <c16:uniqueId val="{00000000-BA01-42E4-BC84-DD0A31A33727}"/>
            </c:ext>
          </c:extLst>
        </c:ser>
        <c:ser>
          <c:idx val="2"/>
          <c:order val="1"/>
          <c:tx>
            <c:v>1</c:v>
          </c:tx>
          <c:spPr>
            <a:solidFill>
              <a:schemeClr val="accent5"/>
            </a:solidFill>
            <a:ln>
              <a:noFill/>
            </a:ln>
            <a:effectLst/>
          </c:spPr>
          <c:invertIfNegative val="0"/>
          <c:cat>
            <c:numLit>
              <c:formatCode>General</c:formatCode>
              <c:ptCount val="2"/>
              <c:pt idx="0">
                <c:v>2</c:v>
              </c:pt>
              <c:pt idx="1">
                <c:v>1</c:v>
              </c:pt>
            </c:numLit>
          </c:cat>
          <c:val>
            <c:numLit>
              <c:formatCode>General</c:formatCode>
              <c:ptCount val="2"/>
              <c:pt idx="0">
                <c:v>1</c:v>
              </c:pt>
              <c:pt idx="1">
                <c:v>2</c:v>
              </c:pt>
            </c:numLit>
          </c:val>
          <c:extLst>
            <c:ext xmlns:c16="http://schemas.microsoft.com/office/drawing/2014/chart" uri="{C3380CC4-5D6E-409C-BE32-E72D297353CC}">
              <c16:uniqueId val="{00000001-BA01-42E4-BC84-DD0A31A33727}"/>
            </c:ext>
          </c:extLst>
        </c:ser>
        <c:ser>
          <c:idx val="4"/>
          <c:order val="2"/>
          <c:tx>
            <c:v>1</c:v>
          </c:tx>
          <c:spPr>
            <a:solidFill>
              <a:schemeClr val="accent5">
                <a:tint val="54000"/>
              </a:schemeClr>
            </a:solidFill>
            <a:ln>
              <a:noFill/>
            </a:ln>
            <a:effectLst/>
          </c:spPr>
          <c:invertIfNegative val="0"/>
          <c:cat>
            <c:numLit>
              <c:formatCode>General</c:formatCode>
              <c:ptCount val="2"/>
              <c:pt idx="0">
                <c:v>2</c:v>
              </c:pt>
              <c:pt idx="1">
                <c:v>1</c:v>
              </c:pt>
            </c:numLit>
          </c:cat>
          <c:val>
            <c:numLit>
              <c:formatCode>General</c:formatCode>
              <c:ptCount val="2"/>
              <c:pt idx="0">
                <c:v>1</c:v>
              </c:pt>
              <c:pt idx="1">
                <c:v>2</c:v>
              </c:pt>
            </c:numLit>
          </c:val>
          <c:extLst>
            <c:ext xmlns:c16="http://schemas.microsoft.com/office/drawing/2014/chart" uri="{C3380CC4-5D6E-409C-BE32-E72D297353CC}">
              <c16:uniqueId val="{00000002-BA01-42E4-BC84-DD0A31A33727}"/>
            </c:ext>
          </c:extLst>
        </c:ser>
        <c:ser>
          <c:idx val="0"/>
          <c:order val="3"/>
          <c:tx>
            <c:v>1</c:v>
          </c:tx>
          <c:spPr>
            <a:solidFill>
              <a:schemeClr val="bg1">
                <a:lumMod val="50000"/>
              </a:schemeClr>
            </a:solidFill>
            <a:ln>
              <a:noFill/>
            </a:ln>
            <a:effectLst/>
          </c:spPr>
          <c:invertIfNegative val="0"/>
          <c:cat>
            <c:numLit>
              <c:formatCode>General</c:formatCode>
              <c:ptCount val="2"/>
              <c:pt idx="0">
                <c:v>2</c:v>
              </c:pt>
              <c:pt idx="1">
                <c:v>1</c:v>
              </c:pt>
            </c:numLit>
          </c:cat>
          <c:val>
            <c:numLit>
              <c:formatCode>General</c:formatCode>
              <c:ptCount val="2"/>
              <c:pt idx="0">
                <c:v>1</c:v>
              </c:pt>
              <c:pt idx="1">
                <c:v>2</c:v>
              </c:pt>
            </c:numLit>
          </c:val>
          <c:extLst>
            <c:ext xmlns:c16="http://schemas.microsoft.com/office/drawing/2014/chart" uri="{C3380CC4-5D6E-409C-BE32-E72D297353CC}">
              <c16:uniqueId val="{00000003-BA01-42E4-BC84-DD0A31A33727}"/>
            </c:ext>
          </c:extLst>
        </c:ser>
        <c:dLbls>
          <c:showLegendKey val="0"/>
          <c:showVal val="0"/>
          <c:showCatName val="0"/>
          <c:showSerName val="0"/>
          <c:showPercent val="0"/>
          <c:showBubbleSize val="0"/>
        </c:dLbls>
        <c:gapWidth val="300"/>
        <c:overlap val="100"/>
        <c:axId val="445673952"/>
        <c:axId val="445674280"/>
      </c:barChart>
      <c:catAx>
        <c:axId val="445673952"/>
        <c:scaling>
          <c:orientation val="minMax"/>
        </c:scaling>
        <c:delete val="0"/>
        <c:axPos val="b"/>
        <c:numFmt formatCode="General" sourceLinked="1"/>
        <c:majorTickMark val="none"/>
        <c:minorTickMark val="none"/>
        <c:tickLblPos val="low"/>
        <c:spPr>
          <a:noFill/>
          <a:ln w="12700" cap="flat" cmpd="sng" algn="ctr">
            <a:solidFill>
              <a:schemeClr val="accent2">
                <a:lumMod val="20000"/>
                <a:lumOff val="80000"/>
              </a:schemeClr>
            </a:solidFill>
            <a:prstDash val="solid"/>
            <a:round/>
          </a:ln>
          <a:effectLst/>
        </c:spPr>
        <c:txPr>
          <a:bodyPr rot="-60000000" spcFirstLastPara="1" vertOverflow="ellipsis" vert="horz" wrap="square" anchor="ctr" anchorCtr="1"/>
          <a:lstStyle/>
          <a:p>
            <a:pPr>
              <a:defRPr sz="800" b="1" i="0" u="none" strike="noStrike" kern="1200" baseline="0">
                <a:solidFill>
                  <a:schemeClr val="tx1"/>
                </a:solidFill>
                <a:latin typeface="Arial" panose="020B0604020202020204" pitchFamily="34" charset="0"/>
                <a:ea typeface="+mn-ea"/>
                <a:cs typeface="Arial" panose="020B0604020202020204" pitchFamily="34" charset="0"/>
              </a:defRPr>
            </a:pPr>
            <a:endParaRPr lang="da-DK"/>
          </a:p>
        </c:txPr>
        <c:crossAx val="445674280"/>
        <c:crosses val="autoZero"/>
        <c:auto val="1"/>
        <c:lblAlgn val="ctr"/>
        <c:lblOffset val="100"/>
        <c:noMultiLvlLbl val="0"/>
      </c:catAx>
      <c:valAx>
        <c:axId val="445674280"/>
        <c:scaling>
          <c:orientation val="minMax"/>
        </c:scaling>
        <c:delete val="0"/>
        <c:axPos val="l"/>
        <c:majorGridlines>
          <c:spPr>
            <a:ln w="9525" cap="flat" cmpd="sng" algn="ctr">
              <a:solidFill>
                <a:schemeClr val="tx1">
                  <a:lumMod val="15000"/>
                  <a:lumOff val="85000"/>
                </a:schemeClr>
              </a:solidFill>
              <a:prstDash val="solid"/>
              <a:round/>
            </a:ln>
            <a:effectLst/>
          </c:spPr>
        </c:majorGridlines>
        <c:title>
          <c:tx>
            <c:rich>
              <a:bodyPr rot="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r>
                  <a:rPr lang="en-US" sz="900"/>
                  <a:t>Mio. kr.</a:t>
                </a:r>
              </a:p>
            </c:rich>
          </c:tx>
          <c:layout>
            <c:manualLayout>
              <c:xMode val="edge"/>
              <c:yMode val="edge"/>
              <c:x val="4.4667775506091172E-3"/>
              <c:y val="1.7386361736631083E-5"/>
            </c:manualLayout>
          </c:layout>
          <c:overlay val="0"/>
          <c:spPr>
            <a:noFill/>
            <a:ln>
              <a:noFill/>
            </a:ln>
            <a:effectLst/>
          </c:spPr>
          <c:txPr>
            <a:bodyPr rot="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da-DK"/>
            </a:p>
          </c:txPr>
        </c:title>
        <c:numFmt formatCode="General" sourceLinked="1"/>
        <c:majorTickMark val="none"/>
        <c:minorTickMark val="none"/>
        <c:tickLblPos val="nextTo"/>
        <c:spPr>
          <a:noFill/>
          <a:ln w="9525" cap="rnd" cmpd="sng" algn="ctr">
            <a:noFill/>
            <a:prstDash val="solid"/>
            <a:round/>
          </a:ln>
          <a:effectLst/>
        </c:spPr>
        <c:txPr>
          <a:bodyPr rot="-60000000" spcFirstLastPara="1" vertOverflow="ellipsis" vert="horz" wrap="square" anchor="ctr" anchorCtr="1"/>
          <a:lstStyle/>
          <a:p>
            <a:pPr>
              <a:defRPr sz="800" b="1" i="0" u="none" strike="noStrike" kern="1200" baseline="0">
                <a:solidFill>
                  <a:schemeClr val="tx1"/>
                </a:solidFill>
                <a:latin typeface="Arial" panose="020B0604020202020204" pitchFamily="34" charset="0"/>
                <a:ea typeface="+mn-ea"/>
                <a:cs typeface="Arial" panose="020B0604020202020204" pitchFamily="34" charset="0"/>
              </a:defRPr>
            </a:pPr>
            <a:endParaRPr lang="da-DK"/>
          </a:p>
        </c:txPr>
        <c:crossAx val="445673952"/>
        <c:crosses val="autoZero"/>
        <c:crossBetween val="between"/>
      </c:valAx>
      <c:spPr>
        <a:noFill/>
        <a:ln>
          <a:noFill/>
        </a:ln>
        <a:effectLst/>
      </c:spPr>
    </c:plotArea>
    <c:legend>
      <c:legendPos val="t"/>
      <c:overlay val="1"/>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a-DK"/>
        </a:p>
      </c:txPr>
    </c:legend>
    <c:plotVisOnly val="1"/>
    <c:dispBlanksAs val="gap"/>
    <c:showDLblsOverMax val="0"/>
  </c:chart>
  <c:spPr>
    <a:noFill/>
    <a:ln w="9525" cap="flat" cmpd="sng" algn="ctr">
      <a:noFill/>
      <a:prstDash val="solid"/>
      <a:round/>
    </a:ln>
    <a:effectLst/>
  </c:spPr>
  <c:txPr>
    <a:bodyPr/>
    <a:lstStyle/>
    <a:p>
      <a:pPr>
        <a:defRPr>
          <a:latin typeface="Arial" panose="020B0604020202020204" pitchFamily="34" charset="0"/>
          <a:cs typeface="Arial" panose="020B0604020202020204" pitchFamily="34" charset="0"/>
        </a:defRPr>
      </a:pPr>
      <a:endParaRPr lang="da-DK"/>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6">
  <a:schemeClr val="accent3"/>
</cs:colorStyle>
</file>

<file path=xl/charts/colors4.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image" Target="../media/image3.png"/><Relationship Id="rId7" Type="http://schemas.openxmlformats.org/officeDocument/2006/relationships/chart" Target="../charts/chart4.xml"/><Relationship Id="rId2" Type="http://schemas.microsoft.com/office/2007/relationships/hdphoto" Target="../media/hdphoto1.wdp"/><Relationship Id="rId1" Type="http://schemas.openxmlformats.org/officeDocument/2006/relationships/image" Target="../media/image2.png"/><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47625</xdr:rowOff>
    </xdr:from>
    <xdr:to>
      <xdr:col>2</xdr:col>
      <xdr:colOff>1200149</xdr:colOff>
      <xdr:row>0</xdr:row>
      <xdr:rowOff>524740</xdr:rowOff>
    </xdr:to>
    <xdr:pic>
      <xdr:nvPicPr>
        <xdr:cNvPr id="4" name="g0+J/Xhz78jw0/qGEagnxg==" descr="s_0_##md_0_model_scenario-assumptions|md_2_scenarios_start|md_2_start_0_1#_______#md_0_model_scenario-assumptions__logo#s_2_rLogo"/>
        <xdr:cNvPicPr>
          <a:picLocks/>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a:xfrm>
          <a:off x="361950" y="47625"/>
          <a:ext cx="1257299" cy="2770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xdr:row>
      <xdr:rowOff>152277</xdr:rowOff>
    </xdr:from>
    <xdr:to>
      <xdr:col>14</xdr:col>
      <xdr:colOff>0</xdr:colOff>
      <xdr:row>1</xdr:row>
      <xdr:rowOff>426597</xdr:rowOff>
    </xdr:to>
    <xdr:sp macro="" textlink="">
      <xdr:nvSpPr>
        <xdr:cNvPr id="3" name="svg_title">
          <a:extLst>
            <a:ext uri="{FF2B5EF4-FFF2-40B4-BE49-F238E27FC236}">
              <a16:creationId xmlns:a16="http://schemas.microsoft.com/office/drawing/2014/main" id="{00000000-0008-0000-2100-000003000000}"/>
            </a:ext>
          </a:extLst>
        </xdr:cNvPr>
        <xdr:cNvSpPr/>
      </xdr:nvSpPr>
      <xdr:spPr>
        <a:xfrm>
          <a:off x="8743950" y="0"/>
          <a:ext cx="328373" cy="0"/>
        </a:xfrm>
        <a:custGeom>
          <a:avLst/>
          <a:gdLst>
            <a:gd name="connsiteX0" fmla="*/ 4998043 w 6662057"/>
            <a:gd name="connsiteY0" fmla="*/ 3332528 h 6662057"/>
            <a:gd name="connsiteX1" fmla="*/ 4959007 w 6662057"/>
            <a:gd name="connsiteY1" fmla="*/ 3432285 h 6662057"/>
            <a:gd name="connsiteX2" fmla="*/ 3571078 w 6662057"/>
            <a:gd name="connsiteY2" fmla="*/ 4820214 h 6662057"/>
            <a:gd name="connsiteX3" fmla="*/ 3471321 w 6662057"/>
            <a:gd name="connsiteY3" fmla="*/ 4859250 h 6662057"/>
            <a:gd name="connsiteX4" fmla="*/ 3373732 w 6662057"/>
            <a:gd name="connsiteY4" fmla="*/ 4818046 h 6662057"/>
            <a:gd name="connsiteX5" fmla="*/ 3332528 w 6662057"/>
            <a:gd name="connsiteY5" fmla="*/ 4720457 h 6662057"/>
            <a:gd name="connsiteX6" fmla="*/ 3332528 w 6662057"/>
            <a:gd name="connsiteY6" fmla="*/ 3887700 h 6662057"/>
            <a:gd name="connsiteX7" fmla="*/ 1805807 w 6662057"/>
            <a:gd name="connsiteY7" fmla="*/ 3887700 h 6662057"/>
            <a:gd name="connsiteX8" fmla="*/ 1708218 w 6662057"/>
            <a:gd name="connsiteY8" fmla="*/ 3846495 h 6662057"/>
            <a:gd name="connsiteX9" fmla="*/ 1667014 w 6662057"/>
            <a:gd name="connsiteY9" fmla="*/ 3748907 h 6662057"/>
            <a:gd name="connsiteX10" fmla="*/ 1667014 w 6662057"/>
            <a:gd name="connsiteY10" fmla="*/ 2916150 h 6662057"/>
            <a:gd name="connsiteX11" fmla="*/ 1708218 w 6662057"/>
            <a:gd name="connsiteY11" fmla="*/ 2818561 h 6662057"/>
            <a:gd name="connsiteX12" fmla="*/ 1805807 w 6662057"/>
            <a:gd name="connsiteY12" fmla="*/ 2777357 h 6662057"/>
            <a:gd name="connsiteX13" fmla="*/ 3332528 w 6662057"/>
            <a:gd name="connsiteY13" fmla="*/ 2777357 h 6662057"/>
            <a:gd name="connsiteX14" fmla="*/ 3332528 w 6662057"/>
            <a:gd name="connsiteY14" fmla="*/ 1944599 h 6662057"/>
            <a:gd name="connsiteX15" fmla="*/ 3371564 w 6662057"/>
            <a:gd name="connsiteY15" fmla="*/ 1844842 h 6662057"/>
            <a:gd name="connsiteX16" fmla="*/ 3471321 w 6662057"/>
            <a:gd name="connsiteY16" fmla="*/ 1805807 h 6662057"/>
            <a:gd name="connsiteX17" fmla="*/ 3575416 w 6662057"/>
            <a:gd name="connsiteY17" fmla="*/ 1849179 h 6662057"/>
            <a:gd name="connsiteX18" fmla="*/ 4959007 w 6662057"/>
            <a:gd name="connsiteY18" fmla="*/ 3232771 h 6662057"/>
            <a:gd name="connsiteX19" fmla="*/ 4998043 w 6662057"/>
            <a:gd name="connsiteY19" fmla="*/ 3332528 h 6662057"/>
            <a:gd name="connsiteX20" fmla="*/ 5692007 w 6662057"/>
            <a:gd name="connsiteY20" fmla="*/ 3332528 h 6662057"/>
            <a:gd name="connsiteX21" fmla="*/ 5375386 w 6662057"/>
            <a:gd name="connsiteY21" fmla="*/ 2148452 h 6662057"/>
            <a:gd name="connsiteX22" fmla="*/ 4516605 w 6662057"/>
            <a:gd name="connsiteY22" fmla="*/ 1289671 h 6662057"/>
            <a:gd name="connsiteX23" fmla="*/ 3332528 w 6662057"/>
            <a:gd name="connsiteY23" fmla="*/ 973049 h 6662057"/>
            <a:gd name="connsiteX24" fmla="*/ 2148452 w 6662057"/>
            <a:gd name="connsiteY24" fmla="*/ 1289671 h 6662057"/>
            <a:gd name="connsiteX25" fmla="*/ 1289671 w 6662057"/>
            <a:gd name="connsiteY25" fmla="*/ 2148452 h 6662057"/>
            <a:gd name="connsiteX26" fmla="*/ 973049 w 6662057"/>
            <a:gd name="connsiteY26" fmla="*/ 3332528 h 6662057"/>
            <a:gd name="connsiteX27" fmla="*/ 1289671 w 6662057"/>
            <a:gd name="connsiteY27" fmla="*/ 4516605 h 6662057"/>
            <a:gd name="connsiteX28" fmla="*/ 2148452 w 6662057"/>
            <a:gd name="connsiteY28" fmla="*/ 5375386 h 6662057"/>
            <a:gd name="connsiteX29" fmla="*/ 3332528 w 6662057"/>
            <a:gd name="connsiteY29" fmla="*/ 5692007 h 6662057"/>
            <a:gd name="connsiteX30" fmla="*/ 4516605 w 6662057"/>
            <a:gd name="connsiteY30" fmla="*/ 5375386 h 6662057"/>
            <a:gd name="connsiteX31" fmla="*/ 5375386 w 6662057"/>
            <a:gd name="connsiteY31" fmla="*/ 4516605 h 6662057"/>
            <a:gd name="connsiteX32" fmla="*/ 5692007 w 6662057"/>
            <a:gd name="connsiteY32" fmla="*/ 3332528 h 6662057"/>
            <a:gd name="connsiteX33" fmla="*/ 6663557 w 6662057"/>
            <a:gd name="connsiteY33" fmla="*/ 3332528 h 6662057"/>
            <a:gd name="connsiteX34" fmla="*/ 6216817 w 6662057"/>
            <a:gd name="connsiteY34" fmla="*/ 5004548 h 6662057"/>
            <a:gd name="connsiteX35" fmla="*/ 5004548 w 6662057"/>
            <a:gd name="connsiteY35" fmla="*/ 6216817 h 6662057"/>
            <a:gd name="connsiteX36" fmla="*/ 3332528 w 6662057"/>
            <a:gd name="connsiteY36" fmla="*/ 6663557 h 6662057"/>
            <a:gd name="connsiteX37" fmla="*/ 1660508 w 6662057"/>
            <a:gd name="connsiteY37" fmla="*/ 6216817 h 6662057"/>
            <a:gd name="connsiteX38" fmla="*/ 448239 w 6662057"/>
            <a:gd name="connsiteY38" fmla="*/ 5004548 h 6662057"/>
            <a:gd name="connsiteX39" fmla="*/ 1499 w 6662057"/>
            <a:gd name="connsiteY39" fmla="*/ 3332528 h 6662057"/>
            <a:gd name="connsiteX40" fmla="*/ 448239 w 6662057"/>
            <a:gd name="connsiteY40" fmla="*/ 1660508 h 6662057"/>
            <a:gd name="connsiteX41" fmla="*/ 1660508 w 6662057"/>
            <a:gd name="connsiteY41" fmla="*/ 448239 h 6662057"/>
            <a:gd name="connsiteX42" fmla="*/ 3332528 w 6662057"/>
            <a:gd name="connsiteY42" fmla="*/ 1499 h 6662057"/>
            <a:gd name="connsiteX43" fmla="*/ 5004548 w 6662057"/>
            <a:gd name="connsiteY43" fmla="*/ 448239 h 6662057"/>
            <a:gd name="connsiteX44" fmla="*/ 6216817 w 6662057"/>
            <a:gd name="connsiteY44" fmla="*/ 1660508 h 6662057"/>
            <a:gd name="connsiteX45" fmla="*/ 6663557 w 6662057"/>
            <a:gd name="connsiteY45" fmla="*/ 3332528 h 6662057"/>
            <a:gd name="connsiteX0" fmla="*/ 4996545 w 6662058"/>
            <a:gd name="connsiteY0" fmla="*/ 3331030 h 6662058"/>
            <a:gd name="connsiteX1" fmla="*/ 4957509 w 6662058"/>
            <a:gd name="connsiteY1" fmla="*/ 3430787 h 6662058"/>
            <a:gd name="connsiteX2" fmla="*/ 3569580 w 6662058"/>
            <a:gd name="connsiteY2" fmla="*/ 4818716 h 6662058"/>
            <a:gd name="connsiteX3" fmla="*/ 3469823 w 6662058"/>
            <a:gd name="connsiteY3" fmla="*/ 4857752 h 6662058"/>
            <a:gd name="connsiteX4" fmla="*/ 3372234 w 6662058"/>
            <a:gd name="connsiteY4" fmla="*/ 4816548 h 6662058"/>
            <a:gd name="connsiteX5" fmla="*/ 3331030 w 6662058"/>
            <a:gd name="connsiteY5" fmla="*/ 4718959 h 6662058"/>
            <a:gd name="connsiteX6" fmla="*/ 3331030 w 6662058"/>
            <a:gd name="connsiteY6" fmla="*/ 3886202 h 6662058"/>
            <a:gd name="connsiteX7" fmla="*/ 1804309 w 6662058"/>
            <a:gd name="connsiteY7" fmla="*/ 3886202 h 6662058"/>
            <a:gd name="connsiteX8" fmla="*/ 1706720 w 6662058"/>
            <a:gd name="connsiteY8" fmla="*/ 3844997 h 6662058"/>
            <a:gd name="connsiteX9" fmla="*/ 1665516 w 6662058"/>
            <a:gd name="connsiteY9" fmla="*/ 3747409 h 6662058"/>
            <a:gd name="connsiteX10" fmla="*/ 1665516 w 6662058"/>
            <a:gd name="connsiteY10" fmla="*/ 2914652 h 6662058"/>
            <a:gd name="connsiteX11" fmla="*/ 1706720 w 6662058"/>
            <a:gd name="connsiteY11" fmla="*/ 2817063 h 6662058"/>
            <a:gd name="connsiteX12" fmla="*/ 1804309 w 6662058"/>
            <a:gd name="connsiteY12" fmla="*/ 2775859 h 6662058"/>
            <a:gd name="connsiteX13" fmla="*/ 3331030 w 6662058"/>
            <a:gd name="connsiteY13" fmla="*/ 2775859 h 6662058"/>
            <a:gd name="connsiteX14" fmla="*/ 3331030 w 6662058"/>
            <a:gd name="connsiteY14" fmla="*/ 1943101 h 6662058"/>
            <a:gd name="connsiteX15" fmla="*/ 3370066 w 6662058"/>
            <a:gd name="connsiteY15" fmla="*/ 1843344 h 6662058"/>
            <a:gd name="connsiteX16" fmla="*/ 3469823 w 6662058"/>
            <a:gd name="connsiteY16" fmla="*/ 1804309 h 6662058"/>
            <a:gd name="connsiteX17" fmla="*/ 3573918 w 6662058"/>
            <a:gd name="connsiteY17" fmla="*/ 1847681 h 6662058"/>
            <a:gd name="connsiteX18" fmla="*/ 4957509 w 6662058"/>
            <a:gd name="connsiteY18" fmla="*/ 3231273 h 6662058"/>
            <a:gd name="connsiteX19" fmla="*/ 4996545 w 6662058"/>
            <a:gd name="connsiteY19" fmla="*/ 3331030 h 6662058"/>
            <a:gd name="connsiteX20" fmla="*/ 5690509 w 6662058"/>
            <a:gd name="connsiteY20" fmla="*/ 3331030 h 6662058"/>
            <a:gd name="connsiteX21" fmla="*/ 5373888 w 6662058"/>
            <a:gd name="connsiteY21" fmla="*/ 2146954 h 6662058"/>
            <a:gd name="connsiteX22" fmla="*/ 4769560 w 6662058"/>
            <a:gd name="connsiteY22" fmla="*/ 871794 h 6662058"/>
            <a:gd name="connsiteX23" fmla="*/ 3331030 w 6662058"/>
            <a:gd name="connsiteY23" fmla="*/ 971551 h 6662058"/>
            <a:gd name="connsiteX24" fmla="*/ 2146954 w 6662058"/>
            <a:gd name="connsiteY24" fmla="*/ 1288173 h 6662058"/>
            <a:gd name="connsiteX25" fmla="*/ 1288173 w 6662058"/>
            <a:gd name="connsiteY25" fmla="*/ 2146954 h 6662058"/>
            <a:gd name="connsiteX26" fmla="*/ 971551 w 6662058"/>
            <a:gd name="connsiteY26" fmla="*/ 3331030 h 6662058"/>
            <a:gd name="connsiteX27" fmla="*/ 1288173 w 6662058"/>
            <a:gd name="connsiteY27" fmla="*/ 4515107 h 6662058"/>
            <a:gd name="connsiteX28" fmla="*/ 2146954 w 6662058"/>
            <a:gd name="connsiteY28" fmla="*/ 5373888 h 6662058"/>
            <a:gd name="connsiteX29" fmla="*/ 3331030 w 6662058"/>
            <a:gd name="connsiteY29" fmla="*/ 5690509 h 6662058"/>
            <a:gd name="connsiteX30" fmla="*/ 4515107 w 6662058"/>
            <a:gd name="connsiteY30" fmla="*/ 5373888 h 6662058"/>
            <a:gd name="connsiteX31" fmla="*/ 5373888 w 6662058"/>
            <a:gd name="connsiteY31" fmla="*/ 4515107 h 6662058"/>
            <a:gd name="connsiteX32" fmla="*/ 5690509 w 6662058"/>
            <a:gd name="connsiteY32" fmla="*/ 3331030 h 6662058"/>
            <a:gd name="connsiteX33" fmla="*/ 6662059 w 6662058"/>
            <a:gd name="connsiteY33" fmla="*/ 3331030 h 6662058"/>
            <a:gd name="connsiteX34" fmla="*/ 6215319 w 6662058"/>
            <a:gd name="connsiteY34" fmla="*/ 5003050 h 6662058"/>
            <a:gd name="connsiteX35" fmla="*/ 5003050 w 6662058"/>
            <a:gd name="connsiteY35" fmla="*/ 6215319 h 6662058"/>
            <a:gd name="connsiteX36" fmla="*/ 3331030 w 6662058"/>
            <a:gd name="connsiteY36" fmla="*/ 6662059 h 6662058"/>
            <a:gd name="connsiteX37" fmla="*/ 1659010 w 6662058"/>
            <a:gd name="connsiteY37" fmla="*/ 6215319 h 6662058"/>
            <a:gd name="connsiteX38" fmla="*/ 446741 w 6662058"/>
            <a:gd name="connsiteY38" fmla="*/ 5003050 h 6662058"/>
            <a:gd name="connsiteX39" fmla="*/ 1 w 6662058"/>
            <a:gd name="connsiteY39" fmla="*/ 3331030 h 6662058"/>
            <a:gd name="connsiteX40" fmla="*/ 446741 w 6662058"/>
            <a:gd name="connsiteY40" fmla="*/ 1659010 h 6662058"/>
            <a:gd name="connsiteX41" fmla="*/ 1659010 w 6662058"/>
            <a:gd name="connsiteY41" fmla="*/ 446741 h 6662058"/>
            <a:gd name="connsiteX42" fmla="*/ 3331030 w 6662058"/>
            <a:gd name="connsiteY42" fmla="*/ 1 h 6662058"/>
            <a:gd name="connsiteX43" fmla="*/ 5003050 w 6662058"/>
            <a:gd name="connsiteY43" fmla="*/ 446741 h 6662058"/>
            <a:gd name="connsiteX44" fmla="*/ 6215319 w 6662058"/>
            <a:gd name="connsiteY44" fmla="*/ 1659010 h 6662058"/>
            <a:gd name="connsiteX45" fmla="*/ 6662059 w 6662058"/>
            <a:gd name="connsiteY45" fmla="*/ 3331030 h 6662058"/>
            <a:gd name="connsiteX0" fmla="*/ 4996544 w 6662058"/>
            <a:gd name="connsiteY0" fmla="*/ 3331029 h 6662058"/>
            <a:gd name="connsiteX1" fmla="*/ 4957508 w 6662058"/>
            <a:gd name="connsiteY1" fmla="*/ 3430786 h 6662058"/>
            <a:gd name="connsiteX2" fmla="*/ 3569579 w 6662058"/>
            <a:gd name="connsiteY2" fmla="*/ 4818715 h 6662058"/>
            <a:gd name="connsiteX3" fmla="*/ 3469822 w 6662058"/>
            <a:gd name="connsiteY3" fmla="*/ 4857751 h 6662058"/>
            <a:gd name="connsiteX4" fmla="*/ 3372233 w 6662058"/>
            <a:gd name="connsiteY4" fmla="*/ 4816547 h 6662058"/>
            <a:gd name="connsiteX5" fmla="*/ 3331029 w 6662058"/>
            <a:gd name="connsiteY5" fmla="*/ 4718958 h 6662058"/>
            <a:gd name="connsiteX6" fmla="*/ 3331029 w 6662058"/>
            <a:gd name="connsiteY6" fmla="*/ 3886201 h 6662058"/>
            <a:gd name="connsiteX7" fmla="*/ 1804308 w 6662058"/>
            <a:gd name="connsiteY7" fmla="*/ 3886201 h 6662058"/>
            <a:gd name="connsiteX8" fmla="*/ 1706719 w 6662058"/>
            <a:gd name="connsiteY8" fmla="*/ 3844996 h 6662058"/>
            <a:gd name="connsiteX9" fmla="*/ 1665515 w 6662058"/>
            <a:gd name="connsiteY9" fmla="*/ 3747408 h 6662058"/>
            <a:gd name="connsiteX10" fmla="*/ 1665515 w 6662058"/>
            <a:gd name="connsiteY10" fmla="*/ 2914651 h 6662058"/>
            <a:gd name="connsiteX11" fmla="*/ 1706719 w 6662058"/>
            <a:gd name="connsiteY11" fmla="*/ 2817062 h 6662058"/>
            <a:gd name="connsiteX12" fmla="*/ 1804308 w 6662058"/>
            <a:gd name="connsiteY12" fmla="*/ 2775858 h 6662058"/>
            <a:gd name="connsiteX13" fmla="*/ 3331029 w 6662058"/>
            <a:gd name="connsiteY13" fmla="*/ 2775858 h 6662058"/>
            <a:gd name="connsiteX14" fmla="*/ 3331029 w 6662058"/>
            <a:gd name="connsiteY14" fmla="*/ 1943100 h 6662058"/>
            <a:gd name="connsiteX15" fmla="*/ 3370065 w 6662058"/>
            <a:gd name="connsiteY15" fmla="*/ 1843343 h 6662058"/>
            <a:gd name="connsiteX16" fmla="*/ 3469822 w 6662058"/>
            <a:gd name="connsiteY16" fmla="*/ 1804308 h 6662058"/>
            <a:gd name="connsiteX17" fmla="*/ 3573917 w 6662058"/>
            <a:gd name="connsiteY17" fmla="*/ 1847680 h 6662058"/>
            <a:gd name="connsiteX18" fmla="*/ 4957508 w 6662058"/>
            <a:gd name="connsiteY18" fmla="*/ 3231272 h 6662058"/>
            <a:gd name="connsiteX19" fmla="*/ 4996544 w 6662058"/>
            <a:gd name="connsiteY19" fmla="*/ 3331029 h 6662058"/>
            <a:gd name="connsiteX20" fmla="*/ 5690508 w 6662058"/>
            <a:gd name="connsiteY20" fmla="*/ 3331029 h 6662058"/>
            <a:gd name="connsiteX21" fmla="*/ 5373887 w 6662058"/>
            <a:gd name="connsiteY21" fmla="*/ 2146953 h 6662058"/>
            <a:gd name="connsiteX22" fmla="*/ 4769559 w 6662058"/>
            <a:gd name="connsiteY22" fmla="*/ 871793 h 6662058"/>
            <a:gd name="connsiteX23" fmla="*/ 3342595 w 6662058"/>
            <a:gd name="connsiteY23" fmla="*/ 983116 h 6662058"/>
            <a:gd name="connsiteX24" fmla="*/ 2146953 w 6662058"/>
            <a:gd name="connsiteY24" fmla="*/ 1288172 h 6662058"/>
            <a:gd name="connsiteX25" fmla="*/ 1288172 w 6662058"/>
            <a:gd name="connsiteY25" fmla="*/ 2146953 h 6662058"/>
            <a:gd name="connsiteX26" fmla="*/ 971550 w 6662058"/>
            <a:gd name="connsiteY26" fmla="*/ 3331029 h 6662058"/>
            <a:gd name="connsiteX27" fmla="*/ 1288172 w 6662058"/>
            <a:gd name="connsiteY27" fmla="*/ 4515106 h 6662058"/>
            <a:gd name="connsiteX28" fmla="*/ 2146953 w 6662058"/>
            <a:gd name="connsiteY28" fmla="*/ 5373887 h 6662058"/>
            <a:gd name="connsiteX29" fmla="*/ 3331029 w 6662058"/>
            <a:gd name="connsiteY29" fmla="*/ 5690508 h 6662058"/>
            <a:gd name="connsiteX30" fmla="*/ 4515106 w 6662058"/>
            <a:gd name="connsiteY30" fmla="*/ 5373887 h 6662058"/>
            <a:gd name="connsiteX31" fmla="*/ 5373887 w 6662058"/>
            <a:gd name="connsiteY31" fmla="*/ 4515106 h 6662058"/>
            <a:gd name="connsiteX32" fmla="*/ 5690508 w 6662058"/>
            <a:gd name="connsiteY32" fmla="*/ 3331029 h 6662058"/>
            <a:gd name="connsiteX33" fmla="*/ 6662058 w 6662058"/>
            <a:gd name="connsiteY33" fmla="*/ 3331029 h 6662058"/>
            <a:gd name="connsiteX34" fmla="*/ 6215318 w 6662058"/>
            <a:gd name="connsiteY34" fmla="*/ 5003049 h 6662058"/>
            <a:gd name="connsiteX35" fmla="*/ 5003049 w 6662058"/>
            <a:gd name="connsiteY35" fmla="*/ 6215318 h 6662058"/>
            <a:gd name="connsiteX36" fmla="*/ 3331029 w 6662058"/>
            <a:gd name="connsiteY36" fmla="*/ 6662058 h 6662058"/>
            <a:gd name="connsiteX37" fmla="*/ 1659009 w 6662058"/>
            <a:gd name="connsiteY37" fmla="*/ 6215318 h 6662058"/>
            <a:gd name="connsiteX38" fmla="*/ 446740 w 6662058"/>
            <a:gd name="connsiteY38" fmla="*/ 5003049 h 6662058"/>
            <a:gd name="connsiteX39" fmla="*/ 0 w 6662058"/>
            <a:gd name="connsiteY39" fmla="*/ 3331029 h 6662058"/>
            <a:gd name="connsiteX40" fmla="*/ 446740 w 6662058"/>
            <a:gd name="connsiteY40" fmla="*/ 1659009 h 6662058"/>
            <a:gd name="connsiteX41" fmla="*/ 1659009 w 6662058"/>
            <a:gd name="connsiteY41" fmla="*/ 446740 h 6662058"/>
            <a:gd name="connsiteX42" fmla="*/ 3331029 w 6662058"/>
            <a:gd name="connsiteY42" fmla="*/ 0 h 6662058"/>
            <a:gd name="connsiteX43" fmla="*/ 5003049 w 6662058"/>
            <a:gd name="connsiteY43" fmla="*/ 446740 h 6662058"/>
            <a:gd name="connsiteX44" fmla="*/ 6215318 w 6662058"/>
            <a:gd name="connsiteY44" fmla="*/ 1659009 h 6662058"/>
            <a:gd name="connsiteX45" fmla="*/ 6662058 w 6662058"/>
            <a:gd name="connsiteY45" fmla="*/ 3331029 h 6662058"/>
            <a:gd name="connsiteX0" fmla="*/ 4996544 w 6662058"/>
            <a:gd name="connsiteY0" fmla="*/ 3331029 h 6662058"/>
            <a:gd name="connsiteX1" fmla="*/ 4957508 w 6662058"/>
            <a:gd name="connsiteY1" fmla="*/ 3430786 h 6662058"/>
            <a:gd name="connsiteX2" fmla="*/ 3569579 w 6662058"/>
            <a:gd name="connsiteY2" fmla="*/ 4818715 h 6662058"/>
            <a:gd name="connsiteX3" fmla="*/ 3469822 w 6662058"/>
            <a:gd name="connsiteY3" fmla="*/ 4857751 h 6662058"/>
            <a:gd name="connsiteX4" fmla="*/ 3372233 w 6662058"/>
            <a:gd name="connsiteY4" fmla="*/ 4816547 h 6662058"/>
            <a:gd name="connsiteX5" fmla="*/ 3331029 w 6662058"/>
            <a:gd name="connsiteY5" fmla="*/ 4718958 h 6662058"/>
            <a:gd name="connsiteX6" fmla="*/ 3331029 w 6662058"/>
            <a:gd name="connsiteY6" fmla="*/ 3886201 h 6662058"/>
            <a:gd name="connsiteX7" fmla="*/ 1804308 w 6662058"/>
            <a:gd name="connsiteY7" fmla="*/ 3886201 h 6662058"/>
            <a:gd name="connsiteX8" fmla="*/ 1706719 w 6662058"/>
            <a:gd name="connsiteY8" fmla="*/ 3844996 h 6662058"/>
            <a:gd name="connsiteX9" fmla="*/ 1665515 w 6662058"/>
            <a:gd name="connsiteY9" fmla="*/ 3747408 h 6662058"/>
            <a:gd name="connsiteX10" fmla="*/ 1665515 w 6662058"/>
            <a:gd name="connsiteY10" fmla="*/ 2914651 h 6662058"/>
            <a:gd name="connsiteX11" fmla="*/ 1706719 w 6662058"/>
            <a:gd name="connsiteY11" fmla="*/ 2817062 h 6662058"/>
            <a:gd name="connsiteX12" fmla="*/ 1804308 w 6662058"/>
            <a:gd name="connsiteY12" fmla="*/ 2775858 h 6662058"/>
            <a:gd name="connsiteX13" fmla="*/ 3331029 w 6662058"/>
            <a:gd name="connsiteY13" fmla="*/ 2775858 h 6662058"/>
            <a:gd name="connsiteX14" fmla="*/ 3331029 w 6662058"/>
            <a:gd name="connsiteY14" fmla="*/ 1943100 h 6662058"/>
            <a:gd name="connsiteX15" fmla="*/ 3370065 w 6662058"/>
            <a:gd name="connsiteY15" fmla="*/ 1843343 h 6662058"/>
            <a:gd name="connsiteX16" fmla="*/ 3469822 w 6662058"/>
            <a:gd name="connsiteY16" fmla="*/ 1804308 h 6662058"/>
            <a:gd name="connsiteX17" fmla="*/ 3573917 w 6662058"/>
            <a:gd name="connsiteY17" fmla="*/ 1847680 h 6662058"/>
            <a:gd name="connsiteX18" fmla="*/ 4957508 w 6662058"/>
            <a:gd name="connsiteY18" fmla="*/ 3231272 h 6662058"/>
            <a:gd name="connsiteX19" fmla="*/ 4996544 w 6662058"/>
            <a:gd name="connsiteY19" fmla="*/ 3331029 h 6662058"/>
            <a:gd name="connsiteX20" fmla="*/ 5690508 w 6662058"/>
            <a:gd name="connsiteY20" fmla="*/ 3331029 h 6662058"/>
            <a:gd name="connsiteX21" fmla="*/ 5373887 w 6662058"/>
            <a:gd name="connsiteY21" fmla="*/ 2146953 h 6662058"/>
            <a:gd name="connsiteX22" fmla="*/ 4769559 w 6662058"/>
            <a:gd name="connsiteY22" fmla="*/ 871793 h 6662058"/>
            <a:gd name="connsiteX23" fmla="*/ 3342595 w 6662058"/>
            <a:gd name="connsiteY23" fmla="*/ 983116 h 6662058"/>
            <a:gd name="connsiteX24" fmla="*/ 1927198 w 6662058"/>
            <a:gd name="connsiteY24" fmla="*/ 894926 h 6662058"/>
            <a:gd name="connsiteX25" fmla="*/ 1288172 w 6662058"/>
            <a:gd name="connsiteY25" fmla="*/ 2146953 h 6662058"/>
            <a:gd name="connsiteX26" fmla="*/ 971550 w 6662058"/>
            <a:gd name="connsiteY26" fmla="*/ 3331029 h 6662058"/>
            <a:gd name="connsiteX27" fmla="*/ 1288172 w 6662058"/>
            <a:gd name="connsiteY27" fmla="*/ 4515106 h 6662058"/>
            <a:gd name="connsiteX28" fmla="*/ 2146953 w 6662058"/>
            <a:gd name="connsiteY28" fmla="*/ 5373887 h 6662058"/>
            <a:gd name="connsiteX29" fmla="*/ 3331029 w 6662058"/>
            <a:gd name="connsiteY29" fmla="*/ 5690508 h 6662058"/>
            <a:gd name="connsiteX30" fmla="*/ 4515106 w 6662058"/>
            <a:gd name="connsiteY30" fmla="*/ 5373887 h 6662058"/>
            <a:gd name="connsiteX31" fmla="*/ 5373887 w 6662058"/>
            <a:gd name="connsiteY31" fmla="*/ 4515106 h 6662058"/>
            <a:gd name="connsiteX32" fmla="*/ 5690508 w 6662058"/>
            <a:gd name="connsiteY32" fmla="*/ 3331029 h 6662058"/>
            <a:gd name="connsiteX33" fmla="*/ 6662058 w 6662058"/>
            <a:gd name="connsiteY33" fmla="*/ 3331029 h 6662058"/>
            <a:gd name="connsiteX34" fmla="*/ 6215318 w 6662058"/>
            <a:gd name="connsiteY34" fmla="*/ 5003049 h 6662058"/>
            <a:gd name="connsiteX35" fmla="*/ 5003049 w 6662058"/>
            <a:gd name="connsiteY35" fmla="*/ 6215318 h 6662058"/>
            <a:gd name="connsiteX36" fmla="*/ 3331029 w 6662058"/>
            <a:gd name="connsiteY36" fmla="*/ 6662058 h 6662058"/>
            <a:gd name="connsiteX37" fmla="*/ 1659009 w 6662058"/>
            <a:gd name="connsiteY37" fmla="*/ 6215318 h 6662058"/>
            <a:gd name="connsiteX38" fmla="*/ 446740 w 6662058"/>
            <a:gd name="connsiteY38" fmla="*/ 5003049 h 6662058"/>
            <a:gd name="connsiteX39" fmla="*/ 0 w 6662058"/>
            <a:gd name="connsiteY39" fmla="*/ 3331029 h 6662058"/>
            <a:gd name="connsiteX40" fmla="*/ 446740 w 6662058"/>
            <a:gd name="connsiteY40" fmla="*/ 1659009 h 6662058"/>
            <a:gd name="connsiteX41" fmla="*/ 1659009 w 6662058"/>
            <a:gd name="connsiteY41" fmla="*/ 446740 h 6662058"/>
            <a:gd name="connsiteX42" fmla="*/ 3331029 w 6662058"/>
            <a:gd name="connsiteY42" fmla="*/ 0 h 6662058"/>
            <a:gd name="connsiteX43" fmla="*/ 5003049 w 6662058"/>
            <a:gd name="connsiteY43" fmla="*/ 446740 h 6662058"/>
            <a:gd name="connsiteX44" fmla="*/ 6215318 w 6662058"/>
            <a:gd name="connsiteY44" fmla="*/ 1659009 h 6662058"/>
            <a:gd name="connsiteX45" fmla="*/ 6662058 w 6662058"/>
            <a:gd name="connsiteY45" fmla="*/ 3331029 h 6662058"/>
            <a:gd name="connsiteX0" fmla="*/ 4996544 w 6662058"/>
            <a:gd name="connsiteY0" fmla="*/ 3331029 h 6662058"/>
            <a:gd name="connsiteX1" fmla="*/ 4957508 w 6662058"/>
            <a:gd name="connsiteY1" fmla="*/ 3430786 h 6662058"/>
            <a:gd name="connsiteX2" fmla="*/ 3569579 w 6662058"/>
            <a:gd name="connsiteY2" fmla="*/ 4818715 h 6662058"/>
            <a:gd name="connsiteX3" fmla="*/ 3469822 w 6662058"/>
            <a:gd name="connsiteY3" fmla="*/ 4857751 h 6662058"/>
            <a:gd name="connsiteX4" fmla="*/ 3372233 w 6662058"/>
            <a:gd name="connsiteY4" fmla="*/ 4816547 h 6662058"/>
            <a:gd name="connsiteX5" fmla="*/ 3331029 w 6662058"/>
            <a:gd name="connsiteY5" fmla="*/ 4718958 h 6662058"/>
            <a:gd name="connsiteX6" fmla="*/ 3331029 w 6662058"/>
            <a:gd name="connsiteY6" fmla="*/ 3886201 h 6662058"/>
            <a:gd name="connsiteX7" fmla="*/ 1804308 w 6662058"/>
            <a:gd name="connsiteY7" fmla="*/ 3886201 h 6662058"/>
            <a:gd name="connsiteX8" fmla="*/ 1706719 w 6662058"/>
            <a:gd name="connsiteY8" fmla="*/ 3844996 h 6662058"/>
            <a:gd name="connsiteX9" fmla="*/ 1665515 w 6662058"/>
            <a:gd name="connsiteY9" fmla="*/ 3747408 h 6662058"/>
            <a:gd name="connsiteX10" fmla="*/ 1665515 w 6662058"/>
            <a:gd name="connsiteY10" fmla="*/ 2914651 h 6662058"/>
            <a:gd name="connsiteX11" fmla="*/ 1706719 w 6662058"/>
            <a:gd name="connsiteY11" fmla="*/ 2817062 h 6662058"/>
            <a:gd name="connsiteX12" fmla="*/ 1804308 w 6662058"/>
            <a:gd name="connsiteY12" fmla="*/ 2775858 h 6662058"/>
            <a:gd name="connsiteX13" fmla="*/ 3331029 w 6662058"/>
            <a:gd name="connsiteY13" fmla="*/ 2775858 h 6662058"/>
            <a:gd name="connsiteX14" fmla="*/ 3331029 w 6662058"/>
            <a:gd name="connsiteY14" fmla="*/ 1943100 h 6662058"/>
            <a:gd name="connsiteX15" fmla="*/ 3370065 w 6662058"/>
            <a:gd name="connsiteY15" fmla="*/ 1843343 h 6662058"/>
            <a:gd name="connsiteX16" fmla="*/ 3469822 w 6662058"/>
            <a:gd name="connsiteY16" fmla="*/ 1804308 h 6662058"/>
            <a:gd name="connsiteX17" fmla="*/ 3573917 w 6662058"/>
            <a:gd name="connsiteY17" fmla="*/ 1847680 h 6662058"/>
            <a:gd name="connsiteX18" fmla="*/ 4957508 w 6662058"/>
            <a:gd name="connsiteY18" fmla="*/ 3231272 h 6662058"/>
            <a:gd name="connsiteX19" fmla="*/ 4996544 w 6662058"/>
            <a:gd name="connsiteY19" fmla="*/ 3331029 h 6662058"/>
            <a:gd name="connsiteX20" fmla="*/ 5690508 w 6662058"/>
            <a:gd name="connsiteY20" fmla="*/ 3331029 h 6662058"/>
            <a:gd name="connsiteX21" fmla="*/ 5373887 w 6662058"/>
            <a:gd name="connsiteY21" fmla="*/ 2146953 h 6662058"/>
            <a:gd name="connsiteX22" fmla="*/ 4769559 w 6662058"/>
            <a:gd name="connsiteY22" fmla="*/ 871793 h 6662058"/>
            <a:gd name="connsiteX23" fmla="*/ 3342595 w 6662058"/>
            <a:gd name="connsiteY23" fmla="*/ 983116 h 6662058"/>
            <a:gd name="connsiteX24" fmla="*/ 1927198 w 6662058"/>
            <a:gd name="connsiteY24" fmla="*/ 894926 h 6662058"/>
            <a:gd name="connsiteX25" fmla="*/ 1288172 w 6662058"/>
            <a:gd name="connsiteY25" fmla="*/ 2146953 h 6662058"/>
            <a:gd name="connsiteX26" fmla="*/ 508907 w 6662058"/>
            <a:gd name="connsiteY26" fmla="*/ 3331030 h 6662058"/>
            <a:gd name="connsiteX27" fmla="*/ 1288172 w 6662058"/>
            <a:gd name="connsiteY27" fmla="*/ 4515106 h 6662058"/>
            <a:gd name="connsiteX28" fmla="*/ 2146953 w 6662058"/>
            <a:gd name="connsiteY28" fmla="*/ 5373887 h 6662058"/>
            <a:gd name="connsiteX29" fmla="*/ 3331029 w 6662058"/>
            <a:gd name="connsiteY29" fmla="*/ 5690508 h 6662058"/>
            <a:gd name="connsiteX30" fmla="*/ 4515106 w 6662058"/>
            <a:gd name="connsiteY30" fmla="*/ 5373887 h 6662058"/>
            <a:gd name="connsiteX31" fmla="*/ 5373887 w 6662058"/>
            <a:gd name="connsiteY31" fmla="*/ 4515106 h 6662058"/>
            <a:gd name="connsiteX32" fmla="*/ 5690508 w 6662058"/>
            <a:gd name="connsiteY32" fmla="*/ 3331029 h 6662058"/>
            <a:gd name="connsiteX33" fmla="*/ 6662058 w 6662058"/>
            <a:gd name="connsiteY33" fmla="*/ 3331029 h 6662058"/>
            <a:gd name="connsiteX34" fmla="*/ 6215318 w 6662058"/>
            <a:gd name="connsiteY34" fmla="*/ 5003049 h 6662058"/>
            <a:gd name="connsiteX35" fmla="*/ 5003049 w 6662058"/>
            <a:gd name="connsiteY35" fmla="*/ 6215318 h 6662058"/>
            <a:gd name="connsiteX36" fmla="*/ 3331029 w 6662058"/>
            <a:gd name="connsiteY36" fmla="*/ 6662058 h 6662058"/>
            <a:gd name="connsiteX37" fmla="*/ 1659009 w 6662058"/>
            <a:gd name="connsiteY37" fmla="*/ 6215318 h 6662058"/>
            <a:gd name="connsiteX38" fmla="*/ 446740 w 6662058"/>
            <a:gd name="connsiteY38" fmla="*/ 5003049 h 6662058"/>
            <a:gd name="connsiteX39" fmla="*/ 0 w 6662058"/>
            <a:gd name="connsiteY39" fmla="*/ 3331029 h 6662058"/>
            <a:gd name="connsiteX40" fmla="*/ 446740 w 6662058"/>
            <a:gd name="connsiteY40" fmla="*/ 1659009 h 6662058"/>
            <a:gd name="connsiteX41" fmla="*/ 1659009 w 6662058"/>
            <a:gd name="connsiteY41" fmla="*/ 446740 h 6662058"/>
            <a:gd name="connsiteX42" fmla="*/ 3331029 w 6662058"/>
            <a:gd name="connsiteY42" fmla="*/ 0 h 6662058"/>
            <a:gd name="connsiteX43" fmla="*/ 5003049 w 6662058"/>
            <a:gd name="connsiteY43" fmla="*/ 446740 h 6662058"/>
            <a:gd name="connsiteX44" fmla="*/ 6215318 w 6662058"/>
            <a:gd name="connsiteY44" fmla="*/ 1659009 h 6662058"/>
            <a:gd name="connsiteX45" fmla="*/ 6662058 w 6662058"/>
            <a:gd name="connsiteY45" fmla="*/ 3331029 h 6662058"/>
            <a:gd name="connsiteX0" fmla="*/ 4996544 w 6662058"/>
            <a:gd name="connsiteY0" fmla="*/ 3331029 h 6662058"/>
            <a:gd name="connsiteX1" fmla="*/ 4957508 w 6662058"/>
            <a:gd name="connsiteY1" fmla="*/ 3430786 h 6662058"/>
            <a:gd name="connsiteX2" fmla="*/ 3569579 w 6662058"/>
            <a:gd name="connsiteY2" fmla="*/ 4818715 h 6662058"/>
            <a:gd name="connsiteX3" fmla="*/ 3469822 w 6662058"/>
            <a:gd name="connsiteY3" fmla="*/ 4857751 h 6662058"/>
            <a:gd name="connsiteX4" fmla="*/ 3372233 w 6662058"/>
            <a:gd name="connsiteY4" fmla="*/ 4816547 h 6662058"/>
            <a:gd name="connsiteX5" fmla="*/ 3331029 w 6662058"/>
            <a:gd name="connsiteY5" fmla="*/ 4718958 h 6662058"/>
            <a:gd name="connsiteX6" fmla="*/ 3331029 w 6662058"/>
            <a:gd name="connsiteY6" fmla="*/ 3886201 h 6662058"/>
            <a:gd name="connsiteX7" fmla="*/ 1804308 w 6662058"/>
            <a:gd name="connsiteY7" fmla="*/ 3886201 h 6662058"/>
            <a:gd name="connsiteX8" fmla="*/ 1706719 w 6662058"/>
            <a:gd name="connsiteY8" fmla="*/ 3844996 h 6662058"/>
            <a:gd name="connsiteX9" fmla="*/ 1665515 w 6662058"/>
            <a:gd name="connsiteY9" fmla="*/ 3747408 h 6662058"/>
            <a:gd name="connsiteX10" fmla="*/ 1665515 w 6662058"/>
            <a:gd name="connsiteY10" fmla="*/ 2914651 h 6662058"/>
            <a:gd name="connsiteX11" fmla="*/ 1706719 w 6662058"/>
            <a:gd name="connsiteY11" fmla="*/ 2817062 h 6662058"/>
            <a:gd name="connsiteX12" fmla="*/ 1804308 w 6662058"/>
            <a:gd name="connsiteY12" fmla="*/ 2775858 h 6662058"/>
            <a:gd name="connsiteX13" fmla="*/ 3331029 w 6662058"/>
            <a:gd name="connsiteY13" fmla="*/ 2775858 h 6662058"/>
            <a:gd name="connsiteX14" fmla="*/ 3331029 w 6662058"/>
            <a:gd name="connsiteY14" fmla="*/ 1943100 h 6662058"/>
            <a:gd name="connsiteX15" fmla="*/ 3370065 w 6662058"/>
            <a:gd name="connsiteY15" fmla="*/ 1843343 h 6662058"/>
            <a:gd name="connsiteX16" fmla="*/ 3469822 w 6662058"/>
            <a:gd name="connsiteY16" fmla="*/ 1804308 h 6662058"/>
            <a:gd name="connsiteX17" fmla="*/ 3573917 w 6662058"/>
            <a:gd name="connsiteY17" fmla="*/ 1847680 h 6662058"/>
            <a:gd name="connsiteX18" fmla="*/ 4957508 w 6662058"/>
            <a:gd name="connsiteY18" fmla="*/ 3231272 h 6662058"/>
            <a:gd name="connsiteX19" fmla="*/ 4996544 w 6662058"/>
            <a:gd name="connsiteY19" fmla="*/ 3331029 h 6662058"/>
            <a:gd name="connsiteX20" fmla="*/ 5690508 w 6662058"/>
            <a:gd name="connsiteY20" fmla="*/ 3331029 h 6662058"/>
            <a:gd name="connsiteX21" fmla="*/ 5373887 w 6662058"/>
            <a:gd name="connsiteY21" fmla="*/ 2146953 h 6662058"/>
            <a:gd name="connsiteX22" fmla="*/ 4769559 w 6662058"/>
            <a:gd name="connsiteY22" fmla="*/ 871793 h 6662058"/>
            <a:gd name="connsiteX23" fmla="*/ 3342595 w 6662058"/>
            <a:gd name="connsiteY23" fmla="*/ 983116 h 6662058"/>
            <a:gd name="connsiteX24" fmla="*/ 1927198 w 6662058"/>
            <a:gd name="connsiteY24" fmla="*/ 894926 h 6662058"/>
            <a:gd name="connsiteX25" fmla="*/ 1288172 w 6662058"/>
            <a:gd name="connsiteY25" fmla="*/ 2146953 h 6662058"/>
            <a:gd name="connsiteX26" fmla="*/ 508907 w 6662058"/>
            <a:gd name="connsiteY26" fmla="*/ 3331030 h 6662058"/>
            <a:gd name="connsiteX27" fmla="*/ 1288172 w 6662058"/>
            <a:gd name="connsiteY27" fmla="*/ 4515106 h 6662058"/>
            <a:gd name="connsiteX28" fmla="*/ 1927198 w 6662058"/>
            <a:gd name="connsiteY28" fmla="*/ 5790265 h 6662058"/>
            <a:gd name="connsiteX29" fmla="*/ 3331029 w 6662058"/>
            <a:gd name="connsiteY29" fmla="*/ 5690508 h 6662058"/>
            <a:gd name="connsiteX30" fmla="*/ 4515106 w 6662058"/>
            <a:gd name="connsiteY30" fmla="*/ 5373887 h 6662058"/>
            <a:gd name="connsiteX31" fmla="*/ 5373887 w 6662058"/>
            <a:gd name="connsiteY31" fmla="*/ 4515106 h 6662058"/>
            <a:gd name="connsiteX32" fmla="*/ 5690508 w 6662058"/>
            <a:gd name="connsiteY32" fmla="*/ 3331029 h 6662058"/>
            <a:gd name="connsiteX33" fmla="*/ 6662058 w 6662058"/>
            <a:gd name="connsiteY33" fmla="*/ 3331029 h 6662058"/>
            <a:gd name="connsiteX34" fmla="*/ 6215318 w 6662058"/>
            <a:gd name="connsiteY34" fmla="*/ 5003049 h 6662058"/>
            <a:gd name="connsiteX35" fmla="*/ 5003049 w 6662058"/>
            <a:gd name="connsiteY35" fmla="*/ 6215318 h 6662058"/>
            <a:gd name="connsiteX36" fmla="*/ 3331029 w 6662058"/>
            <a:gd name="connsiteY36" fmla="*/ 6662058 h 6662058"/>
            <a:gd name="connsiteX37" fmla="*/ 1659009 w 6662058"/>
            <a:gd name="connsiteY37" fmla="*/ 6215318 h 6662058"/>
            <a:gd name="connsiteX38" fmla="*/ 446740 w 6662058"/>
            <a:gd name="connsiteY38" fmla="*/ 5003049 h 6662058"/>
            <a:gd name="connsiteX39" fmla="*/ 0 w 6662058"/>
            <a:gd name="connsiteY39" fmla="*/ 3331029 h 6662058"/>
            <a:gd name="connsiteX40" fmla="*/ 446740 w 6662058"/>
            <a:gd name="connsiteY40" fmla="*/ 1659009 h 6662058"/>
            <a:gd name="connsiteX41" fmla="*/ 1659009 w 6662058"/>
            <a:gd name="connsiteY41" fmla="*/ 446740 h 6662058"/>
            <a:gd name="connsiteX42" fmla="*/ 3331029 w 6662058"/>
            <a:gd name="connsiteY42" fmla="*/ 0 h 6662058"/>
            <a:gd name="connsiteX43" fmla="*/ 5003049 w 6662058"/>
            <a:gd name="connsiteY43" fmla="*/ 446740 h 6662058"/>
            <a:gd name="connsiteX44" fmla="*/ 6215318 w 6662058"/>
            <a:gd name="connsiteY44" fmla="*/ 1659009 h 6662058"/>
            <a:gd name="connsiteX45" fmla="*/ 6662058 w 6662058"/>
            <a:gd name="connsiteY45" fmla="*/ 3331029 h 6662058"/>
            <a:gd name="connsiteX0" fmla="*/ 4996544 w 6662058"/>
            <a:gd name="connsiteY0" fmla="*/ 3331029 h 6662058"/>
            <a:gd name="connsiteX1" fmla="*/ 4957508 w 6662058"/>
            <a:gd name="connsiteY1" fmla="*/ 3430786 h 6662058"/>
            <a:gd name="connsiteX2" fmla="*/ 3569579 w 6662058"/>
            <a:gd name="connsiteY2" fmla="*/ 4818715 h 6662058"/>
            <a:gd name="connsiteX3" fmla="*/ 3469822 w 6662058"/>
            <a:gd name="connsiteY3" fmla="*/ 4857751 h 6662058"/>
            <a:gd name="connsiteX4" fmla="*/ 3372233 w 6662058"/>
            <a:gd name="connsiteY4" fmla="*/ 4816547 h 6662058"/>
            <a:gd name="connsiteX5" fmla="*/ 3331029 w 6662058"/>
            <a:gd name="connsiteY5" fmla="*/ 4718958 h 6662058"/>
            <a:gd name="connsiteX6" fmla="*/ 3331029 w 6662058"/>
            <a:gd name="connsiteY6" fmla="*/ 3886201 h 6662058"/>
            <a:gd name="connsiteX7" fmla="*/ 1804308 w 6662058"/>
            <a:gd name="connsiteY7" fmla="*/ 3886201 h 6662058"/>
            <a:gd name="connsiteX8" fmla="*/ 1706719 w 6662058"/>
            <a:gd name="connsiteY8" fmla="*/ 3844996 h 6662058"/>
            <a:gd name="connsiteX9" fmla="*/ 1665515 w 6662058"/>
            <a:gd name="connsiteY9" fmla="*/ 3747408 h 6662058"/>
            <a:gd name="connsiteX10" fmla="*/ 1665515 w 6662058"/>
            <a:gd name="connsiteY10" fmla="*/ 2914651 h 6662058"/>
            <a:gd name="connsiteX11" fmla="*/ 1706719 w 6662058"/>
            <a:gd name="connsiteY11" fmla="*/ 2817062 h 6662058"/>
            <a:gd name="connsiteX12" fmla="*/ 1804308 w 6662058"/>
            <a:gd name="connsiteY12" fmla="*/ 2775858 h 6662058"/>
            <a:gd name="connsiteX13" fmla="*/ 3331029 w 6662058"/>
            <a:gd name="connsiteY13" fmla="*/ 2775858 h 6662058"/>
            <a:gd name="connsiteX14" fmla="*/ 3331029 w 6662058"/>
            <a:gd name="connsiteY14" fmla="*/ 1943100 h 6662058"/>
            <a:gd name="connsiteX15" fmla="*/ 3370065 w 6662058"/>
            <a:gd name="connsiteY15" fmla="*/ 1843343 h 6662058"/>
            <a:gd name="connsiteX16" fmla="*/ 3469822 w 6662058"/>
            <a:gd name="connsiteY16" fmla="*/ 1804308 h 6662058"/>
            <a:gd name="connsiteX17" fmla="*/ 3573917 w 6662058"/>
            <a:gd name="connsiteY17" fmla="*/ 1847680 h 6662058"/>
            <a:gd name="connsiteX18" fmla="*/ 4957508 w 6662058"/>
            <a:gd name="connsiteY18" fmla="*/ 3231272 h 6662058"/>
            <a:gd name="connsiteX19" fmla="*/ 4996544 w 6662058"/>
            <a:gd name="connsiteY19" fmla="*/ 3331029 h 6662058"/>
            <a:gd name="connsiteX20" fmla="*/ 5690508 w 6662058"/>
            <a:gd name="connsiteY20" fmla="*/ 3331029 h 6662058"/>
            <a:gd name="connsiteX21" fmla="*/ 5373887 w 6662058"/>
            <a:gd name="connsiteY21" fmla="*/ 2146953 h 6662058"/>
            <a:gd name="connsiteX22" fmla="*/ 4769559 w 6662058"/>
            <a:gd name="connsiteY22" fmla="*/ 871793 h 6662058"/>
            <a:gd name="connsiteX23" fmla="*/ 3342595 w 6662058"/>
            <a:gd name="connsiteY23" fmla="*/ 983116 h 6662058"/>
            <a:gd name="connsiteX24" fmla="*/ 1927198 w 6662058"/>
            <a:gd name="connsiteY24" fmla="*/ 894926 h 6662058"/>
            <a:gd name="connsiteX25" fmla="*/ 1288172 w 6662058"/>
            <a:gd name="connsiteY25" fmla="*/ 2146953 h 6662058"/>
            <a:gd name="connsiteX26" fmla="*/ 508907 w 6662058"/>
            <a:gd name="connsiteY26" fmla="*/ 3331030 h 6662058"/>
            <a:gd name="connsiteX27" fmla="*/ 1288172 w 6662058"/>
            <a:gd name="connsiteY27" fmla="*/ 4515106 h 6662058"/>
            <a:gd name="connsiteX28" fmla="*/ 1927198 w 6662058"/>
            <a:gd name="connsiteY28" fmla="*/ 5790265 h 6662058"/>
            <a:gd name="connsiteX29" fmla="*/ 3331029 w 6662058"/>
            <a:gd name="connsiteY29" fmla="*/ 5690508 h 6662058"/>
            <a:gd name="connsiteX30" fmla="*/ 4757994 w 6662058"/>
            <a:gd name="connsiteY30" fmla="*/ 5778699 h 6662058"/>
            <a:gd name="connsiteX31" fmla="*/ 5373887 w 6662058"/>
            <a:gd name="connsiteY31" fmla="*/ 4515106 h 6662058"/>
            <a:gd name="connsiteX32" fmla="*/ 5690508 w 6662058"/>
            <a:gd name="connsiteY32" fmla="*/ 3331029 h 6662058"/>
            <a:gd name="connsiteX33" fmla="*/ 6662058 w 6662058"/>
            <a:gd name="connsiteY33" fmla="*/ 3331029 h 6662058"/>
            <a:gd name="connsiteX34" fmla="*/ 6215318 w 6662058"/>
            <a:gd name="connsiteY34" fmla="*/ 5003049 h 6662058"/>
            <a:gd name="connsiteX35" fmla="*/ 5003049 w 6662058"/>
            <a:gd name="connsiteY35" fmla="*/ 6215318 h 6662058"/>
            <a:gd name="connsiteX36" fmla="*/ 3331029 w 6662058"/>
            <a:gd name="connsiteY36" fmla="*/ 6662058 h 6662058"/>
            <a:gd name="connsiteX37" fmla="*/ 1659009 w 6662058"/>
            <a:gd name="connsiteY37" fmla="*/ 6215318 h 6662058"/>
            <a:gd name="connsiteX38" fmla="*/ 446740 w 6662058"/>
            <a:gd name="connsiteY38" fmla="*/ 5003049 h 6662058"/>
            <a:gd name="connsiteX39" fmla="*/ 0 w 6662058"/>
            <a:gd name="connsiteY39" fmla="*/ 3331029 h 6662058"/>
            <a:gd name="connsiteX40" fmla="*/ 446740 w 6662058"/>
            <a:gd name="connsiteY40" fmla="*/ 1659009 h 6662058"/>
            <a:gd name="connsiteX41" fmla="*/ 1659009 w 6662058"/>
            <a:gd name="connsiteY41" fmla="*/ 446740 h 6662058"/>
            <a:gd name="connsiteX42" fmla="*/ 3331029 w 6662058"/>
            <a:gd name="connsiteY42" fmla="*/ 0 h 6662058"/>
            <a:gd name="connsiteX43" fmla="*/ 5003049 w 6662058"/>
            <a:gd name="connsiteY43" fmla="*/ 446740 h 6662058"/>
            <a:gd name="connsiteX44" fmla="*/ 6215318 w 6662058"/>
            <a:gd name="connsiteY44" fmla="*/ 1659009 h 6662058"/>
            <a:gd name="connsiteX45" fmla="*/ 6662058 w 6662058"/>
            <a:gd name="connsiteY45" fmla="*/ 3331029 h 6662058"/>
            <a:gd name="connsiteX0" fmla="*/ 4996544 w 6662058"/>
            <a:gd name="connsiteY0" fmla="*/ 3331029 h 6662058"/>
            <a:gd name="connsiteX1" fmla="*/ 4957508 w 6662058"/>
            <a:gd name="connsiteY1" fmla="*/ 3430786 h 6662058"/>
            <a:gd name="connsiteX2" fmla="*/ 3569579 w 6662058"/>
            <a:gd name="connsiteY2" fmla="*/ 4818715 h 6662058"/>
            <a:gd name="connsiteX3" fmla="*/ 3469822 w 6662058"/>
            <a:gd name="connsiteY3" fmla="*/ 4857751 h 6662058"/>
            <a:gd name="connsiteX4" fmla="*/ 3372233 w 6662058"/>
            <a:gd name="connsiteY4" fmla="*/ 4816547 h 6662058"/>
            <a:gd name="connsiteX5" fmla="*/ 3331029 w 6662058"/>
            <a:gd name="connsiteY5" fmla="*/ 4718958 h 6662058"/>
            <a:gd name="connsiteX6" fmla="*/ 3331029 w 6662058"/>
            <a:gd name="connsiteY6" fmla="*/ 3886201 h 6662058"/>
            <a:gd name="connsiteX7" fmla="*/ 1804308 w 6662058"/>
            <a:gd name="connsiteY7" fmla="*/ 3886201 h 6662058"/>
            <a:gd name="connsiteX8" fmla="*/ 1706719 w 6662058"/>
            <a:gd name="connsiteY8" fmla="*/ 3844996 h 6662058"/>
            <a:gd name="connsiteX9" fmla="*/ 1665515 w 6662058"/>
            <a:gd name="connsiteY9" fmla="*/ 3747408 h 6662058"/>
            <a:gd name="connsiteX10" fmla="*/ 1665515 w 6662058"/>
            <a:gd name="connsiteY10" fmla="*/ 2914651 h 6662058"/>
            <a:gd name="connsiteX11" fmla="*/ 1706719 w 6662058"/>
            <a:gd name="connsiteY11" fmla="*/ 2817062 h 6662058"/>
            <a:gd name="connsiteX12" fmla="*/ 1804308 w 6662058"/>
            <a:gd name="connsiteY12" fmla="*/ 2775858 h 6662058"/>
            <a:gd name="connsiteX13" fmla="*/ 3331029 w 6662058"/>
            <a:gd name="connsiteY13" fmla="*/ 2775858 h 6662058"/>
            <a:gd name="connsiteX14" fmla="*/ 3331029 w 6662058"/>
            <a:gd name="connsiteY14" fmla="*/ 1943100 h 6662058"/>
            <a:gd name="connsiteX15" fmla="*/ 3370065 w 6662058"/>
            <a:gd name="connsiteY15" fmla="*/ 1843343 h 6662058"/>
            <a:gd name="connsiteX16" fmla="*/ 3469822 w 6662058"/>
            <a:gd name="connsiteY16" fmla="*/ 1804308 h 6662058"/>
            <a:gd name="connsiteX17" fmla="*/ 3573917 w 6662058"/>
            <a:gd name="connsiteY17" fmla="*/ 1847680 h 6662058"/>
            <a:gd name="connsiteX18" fmla="*/ 4957508 w 6662058"/>
            <a:gd name="connsiteY18" fmla="*/ 3231272 h 6662058"/>
            <a:gd name="connsiteX19" fmla="*/ 4996544 w 6662058"/>
            <a:gd name="connsiteY19" fmla="*/ 3331029 h 6662058"/>
            <a:gd name="connsiteX20" fmla="*/ 6199415 w 6662058"/>
            <a:gd name="connsiteY20" fmla="*/ 3331030 h 6662058"/>
            <a:gd name="connsiteX21" fmla="*/ 5373887 w 6662058"/>
            <a:gd name="connsiteY21" fmla="*/ 2146953 h 6662058"/>
            <a:gd name="connsiteX22" fmla="*/ 4769559 w 6662058"/>
            <a:gd name="connsiteY22" fmla="*/ 871793 h 6662058"/>
            <a:gd name="connsiteX23" fmla="*/ 3342595 w 6662058"/>
            <a:gd name="connsiteY23" fmla="*/ 983116 h 6662058"/>
            <a:gd name="connsiteX24" fmla="*/ 1927198 w 6662058"/>
            <a:gd name="connsiteY24" fmla="*/ 894926 h 6662058"/>
            <a:gd name="connsiteX25" fmla="*/ 1288172 w 6662058"/>
            <a:gd name="connsiteY25" fmla="*/ 2146953 h 6662058"/>
            <a:gd name="connsiteX26" fmla="*/ 508907 w 6662058"/>
            <a:gd name="connsiteY26" fmla="*/ 3331030 h 6662058"/>
            <a:gd name="connsiteX27" fmla="*/ 1288172 w 6662058"/>
            <a:gd name="connsiteY27" fmla="*/ 4515106 h 6662058"/>
            <a:gd name="connsiteX28" fmla="*/ 1927198 w 6662058"/>
            <a:gd name="connsiteY28" fmla="*/ 5790265 h 6662058"/>
            <a:gd name="connsiteX29" fmla="*/ 3331029 w 6662058"/>
            <a:gd name="connsiteY29" fmla="*/ 5690508 h 6662058"/>
            <a:gd name="connsiteX30" fmla="*/ 4757994 w 6662058"/>
            <a:gd name="connsiteY30" fmla="*/ 5778699 h 6662058"/>
            <a:gd name="connsiteX31" fmla="*/ 5373887 w 6662058"/>
            <a:gd name="connsiteY31" fmla="*/ 4515106 h 6662058"/>
            <a:gd name="connsiteX32" fmla="*/ 6199415 w 6662058"/>
            <a:gd name="connsiteY32" fmla="*/ 3331030 h 6662058"/>
            <a:gd name="connsiteX33" fmla="*/ 6662058 w 6662058"/>
            <a:gd name="connsiteY33" fmla="*/ 3331029 h 6662058"/>
            <a:gd name="connsiteX34" fmla="*/ 6215318 w 6662058"/>
            <a:gd name="connsiteY34" fmla="*/ 5003049 h 6662058"/>
            <a:gd name="connsiteX35" fmla="*/ 5003049 w 6662058"/>
            <a:gd name="connsiteY35" fmla="*/ 6215318 h 6662058"/>
            <a:gd name="connsiteX36" fmla="*/ 3331029 w 6662058"/>
            <a:gd name="connsiteY36" fmla="*/ 6662058 h 6662058"/>
            <a:gd name="connsiteX37" fmla="*/ 1659009 w 6662058"/>
            <a:gd name="connsiteY37" fmla="*/ 6215318 h 6662058"/>
            <a:gd name="connsiteX38" fmla="*/ 446740 w 6662058"/>
            <a:gd name="connsiteY38" fmla="*/ 5003049 h 6662058"/>
            <a:gd name="connsiteX39" fmla="*/ 0 w 6662058"/>
            <a:gd name="connsiteY39" fmla="*/ 3331029 h 6662058"/>
            <a:gd name="connsiteX40" fmla="*/ 446740 w 6662058"/>
            <a:gd name="connsiteY40" fmla="*/ 1659009 h 6662058"/>
            <a:gd name="connsiteX41" fmla="*/ 1659009 w 6662058"/>
            <a:gd name="connsiteY41" fmla="*/ 446740 h 6662058"/>
            <a:gd name="connsiteX42" fmla="*/ 3331029 w 6662058"/>
            <a:gd name="connsiteY42" fmla="*/ 0 h 6662058"/>
            <a:gd name="connsiteX43" fmla="*/ 5003049 w 6662058"/>
            <a:gd name="connsiteY43" fmla="*/ 446740 h 6662058"/>
            <a:gd name="connsiteX44" fmla="*/ 6215318 w 6662058"/>
            <a:gd name="connsiteY44" fmla="*/ 1659009 h 6662058"/>
            <a:gd name="connsiteX45" fmla="*/ 6662058 w 6662058"/>
            <a:gd name="connsiteY45" fmla="*/ 3331029 h 6662058"/>
            <a:gd name="connsiteX0" fmla="*/ 4996544 w 6662058"/>
            <a:gd name="connsiteY0" fmla="*/ 3331029 h 6662058"/>
            <a:gd name="connsiteX1" fmla="*/ 4957508 w 6662058"/>
            <a:gd name="connsiteY1" fmla="*/ 3430786 h 6662058"/>
            <a:gd name="connsiteX2" fmla="*/ 3569579 w 6662058"/>
            <a:gd name="connsiteY2" fmla="*/ 4818715 h 6662058"/>
            <a:gd name="connsiteX3" fmla="*/ 3469822 w 6662058"/>
            <a:gd name="connsiteY3" fmla="*/ 4857751 h 6662058"/>
            <a:gd name="connsiteX4" fmla="*/ 3372233 w 6662058"/>
            <a:gd name="connsiteY4" fmla="*/ 4816547 h 6662058"/>
            <a:gd name="connsiteX5" fmla="*/ 3331029 w 6662058"/>
            <a:gd name="connsiteY5" fmla="*/ 4718958 h 6662058"/>
            <a:gd name="connsiteX6" fmla="*/ 3331029 w 6662058"/>
            <a:gd name="connsiteY6" fmla="*/ 3886201 h 6662058"/>
            <a:gd name="connsiteX7" fmla="*/ 1804308 w 6662058"/>
            <a:gd name="connsiteY7" fmla="*/ 3886201 h 6662058"/>
            <a:gd name="connsiteX8" fmla="*/ 1706719 w 6662058"/>
            <a:gd name="connsiteY8" fmla="*/ 3844996 h 6662058"/>
            <a:gd name="connsiteX9" fmla="*/ 1665515 w 6662058"/>
            <a:gd name="connsiteY9" fmla="*/ 3747408 h 6662058"/>
            <a:gd name="connsiteX10" fmla="*/ 1665515 w 6662058"/>
            <a:gd name="connsiteY10" fmla="*/ 2914651 h 6662058"/>
            <a:gd name="connsiteX11" fmla="*/ 1706719 w 6662058"/>
            <a:gd name="connsiteY11" fmla="*/ 2817062 h 6662058"/>
            <a:gd name="connsiteX12" fmla="*/ 1804308 w 6662058"/>
            <a:gd name="connsiteY12" fmla="*/ 2775858 h 6662058"/>
            <a:gd name="connsiteX13" fmla="*/ 3331029 w 6662058"/>
            <a:gd name="connsiteY13" fmla="*/ 2775858 h 6662058"/>
            <a:gd name="connsiteX14" fmla="*/ 3331029 w 6662058"/>
            <a:gd name="connsiteY14" fmla="*/ 1943100 h 6662058"/>
            <a:gd name="connsiteX15" fmla="*/ 3370065 w 6662058"/>
            <a:gd name="connsiteY15" fmla="*/ 1843343 h 6662058"/>
            <a:gd name="connsiteX16" fmla="*/ 3469822 w 6662058"/>
            <a:gd name="connsiteY16" fmla="*/ 1804308 h 6662058"/>
            <a:gd name="connsiteX17" fmla="*/ 3573917 w 6662058"/>
            <a:gd name="connsiteY17" fmla="*/ 1847680 h 6662058"/>
            <a:gd name="connsiteX18" fmla="*/ 4957508 w 6662058"/>
            <a:gd name="connsiteY18" fmla="*/ 3231272 h 6662058"/>
            <a:gd name="connsiteX19" fmla="*/ 4996544 w 6662058"/>
            <a:gd name="connsiteY19" fmla="*/ 3331029 h 6662058"/>
            <a:gd name="connsiteX20" fmla="*/ 6199415 w 6662058"/>
            <a:gd name="connsiteY20" fmla="*/ 3331030 h 6662058"/>
            <a:gd name="connsiteX21" fmla="*/ 5373887 w 6662058"/>
            <a:gd name="connsiteY21" fmla="*/ 2146953 h 6662058"/>
            <a:gd name="connsiteX22" fmla="*/ 4769559 w 6662058"/>
            <a:gd name="connsiteY22" fmla="*/ 871793 h 6662058"/>
            <a:gd name="connsiteX23" fmla="*/ 3342596 w 6662058"/>
            <a:gd name="connsiteY23" fmla="*/ 497341 h 6662058"/>
            <a:gd name="connsiteX24" fmla="*/ 1927198 w 6662058"/>
            <a:gd name="connsiteY24" fmla="*/ 894926 h 6662058"/>
            <a:gd name="connsiteX25" fmla="*/ 1288172 w 6662058"/>
            <a:gd name="connsiteY25" fmla="*/ 2146953 h 6662058"/>
            <a:gd name="connsiteX26" fmla="*/ 508907 w 6662058"/>
            <a:gd name="connsiteY26" fmla="*/ 3331030 h 6662058"/>
            <a:gd name="connsiteX27" fmla="*/ 1288172 w 6662058"/>
            <a:gd name="connsiteY27" fmla="*/ 4515106 h 6662058"/>
            <a:gd name="connsiteX28" fmla="*/ 1927198 w 6662058"/>
            <a:gd name="connsiteY28" fmla="*/ 5790265 h 6662058"/>
            <a:gd name="connsiteX29" fmla="*/ 3331029 w 6662058"/>
            <a:gd name="connsiteY29" fmla="*/ 5690508 h 6662058"/>
            <a:gd name="connsiteX30" fmla="*/ 4757994 w 6662058"/>
            <a:gd name="connsiteY30" fmla="*/ 5778699 h 6662058"/>
            <a:gd name="connsiteX31" fmla="*/ 5373887 w 6662058"/>
            <a:gd name="connsiteY31" fmla="*/ 4515106 h 6662058"/>
            <a:gd name="connsiteX32" fmla="*/ 6199415 w 6662058"/>
            <a:gd name="connsiteY32" fmla="*/ 3331030 h 6662058"/>
            <a:gd name="connsiteX33" fmla="*/ 6662058 w 6662058"/>
            <a:gd name="connsiteY33" fmla="*/ 3331029 h 6662058"/>
            <a:gd name="connsiteX34" fmla="*/ 6215318 w 6662058"/>
            <a:gd name="connsiteY34" fmla="*/ 5003049 h 6662058"/>
            <a:gd name="connsiteX35" fmla="*/ 5003049 w 6662058"/>
            <a:gd name="connsiteY35" fmla="*/ 6215318 h 6662058"/>
            <a:gd name="connsiteX36" fmla="*/ 3331029 w 6662058"/>
            <a:gd name="connsiteY36" fmla="*/ 6662058 h 6662058"/>
            <a:gd name="connsiteX37" fmla="*/ 1659009 w 6662058"/>
            <a:gd name="connsiteY37" fmla="*/ 6215318 h 6662058"/>
            <a:gd name="connsiteX38" fmla="*/ 446740 w 6662058"/>
            <a:gd name="connsiteY38" fmla="*/ 5003049 h 6662058"/>
            <a:gd name="connsiteX39" fmla="*/ 0 w 6662058"/>
            <a:gd name="connsiteY39" fmla="*/ 3331029 h 6662058"/>
            <a:gd name="connsiteX40" fmla="*/ 446740 w 6662058"/>
            <a:gd name="connsiteY40" fmla="*/ 1659009 h 6662058"/>
            <a:gd name="connsiteX41" fmla="*/ 1659009 w 6662058"/>
            <a:gd name="connsiteY41" fmla="*/ 446740 h 6662058"/>
            <a:gd name="connsiteX42" fmla="*/ 3331029 w 6662058"/>
            <a:gd name="connsiteY42" fmla="*/ 0 h 6662058"/>
            <a:gd name="connsiteX43" fmla="*/ 5003049 w 6662058"/>
            <a:gd name="connsiteY43" fmla="*/ 446740 h 6662058"/>
            <a:gd name="connsiteX44" fmla="*/ 6215318 w 6662058"/>
            <a:gd name="connsiteY44" fmla="*/ 1659009 h 6662058"/>
            <a:gd name="connsiteX45" fmla="*/ 6662058 w 6662058"/>
            <a:gd name="connsiteY45" fmla="*/ 3331029 h 6662058"/>
            <a:gd name="connsiteX0" fmla="*/ 4996544 w 6662058"/>
            <a:gd name="connsiteY0" fmla="*/ 3331029 h 6662058"/>
            <a:gd name="connsiteX1" fmla="*/ 4957508 w 6662058"/>
            <a:gd name="connsiteY1" fmla="*/ 3430786 h 6662058"/>
            <a:gd name="connsiteX2" fmla="*/ 3569579 w 6662058"/>
            <a:gd name="connsiteY2" fmla="*/ 4818715 h 6662058"/>
            <a:gd name="connsiteX3" fmla="*/ 3469822 w 6662058"/>
            <a:gd name="connsiteY3" fmla="*/ 4857751 h 6662058"/>
            <a:gd name="connsiteX4" fmla="*/ 3372233 w 6662058"/>
            <a:gd name="connsiteY4" fmla="*/ 4816547 h 6662058"/>
            <a:gd name="connsiteX5" fmla="*/ 3331029 w 6662058"/>
            <a:gd name="connsiteY5" fmla="*/ 4718958 h 6662058"/>
            <a:gd name="connsiteX6" fmla="*/ 3331029 w 6662058"/>
            <a:gd name="connsiteY6" fmla="*/ 3886201 h 6662058"/>
            <a:gd name="connsiteX7" fmla="*/ 1804308 w 6662058"/>
            <a:gd name="connsiteY7" fmla="*/ 3886201 h 6662058"/>
            <a:gd name="connsiteX8" fmla="*/ 1706719 w 6662058"/>
            <a:gd name="connsiteY8" fmla="*/ 3844996 h 6662058"/>
            <a:gd name="connsiteX9" fmla="*/ 1665515 w 6662058"/>
            <a:gd name="connsiteY9" fmla="*/ 3747408 h 6662058"/>
            <a:gd name="connsiteX10" fmla="*/ 1665515 w 6662058"/>
            <a:gd name="connsiteY10" fmla="*/ 2914651 h 6662058"/>
            <a:gd name="connsiteX11" fmla="*/ 1706719 w 6662058"/>
            <a:gd name="connsiteY11" fmla="*/ 2817062 h 6662058"/>
            <a:gd name="connsiteX12" fmla="*/ 1804308 w 6662058"/>
            <a:gd name="connsiteY12" fmla="*/ 2775858 h 6662058"/>
            <a:gd name="connsiteX13" fmla="*/ 3331029 w 6662058"/>
            <a:gd name="connsiteY13" fmla="*/ 2775858 h 6662058"/>
            <a:gd name="connsiteX14" fmla="*/ 3331029 w 6662058"/>
            <a:gd name="connsiteY14" fmla="*/ 1943100 h 6662058"/>
            <a:gd name="connsiteX15" fmla="*/ 3370065 w 6662058"/>
            <a:gd name="connsiteY15" fmla="*/ 1843343 h 6662058"/>
            <a:gd name="connsiteX16" fmla="*/ 3469822 w 6662058"/>
            <a:gd name="connsiteY16" fmla="*/ 1804308 h 6662058"/>
            <a:gd name="connsiteX17" fmla="*/ 3573917 w 6662058"/>
            <a:gd name="connsiteY17" fmla="*/ 1847680 h 6662058"/>
            <a:gd name="connsiteX18" fmla="*/ 4957508 w 6662058"/>
            <a:gd name="connsiteY18" fmla="*/ 3231272 h 6662058"/>
            <a:gd name="connsiteX19" fmla="*/ 4996544 w 6662058"/>
            <a:gd name="connsiteY19" fmla="*/ 3331029 h 6662058"/>
            <a:gd name="connsiteX20" fmla="*/ 6199415 w 6662058"/>
            <a:gd name="connsiteY20" fmla="*/ 3331030 h 6662058"/>
            <a:gd name="connsiteX21" fmla="*/ 5790265 w 6662058"/>
            <a:gd name="connsiteY21" fmla="*/ 1892499 h 6662058"/>
            <a:gd name="connsiteX22" fmla="*/ 4769559 w 6662058"/>
            <a:gd name="connsiteY22" fmla="*/ 871793 h 6662058"/>
            <a:gd name="connsiteX23" fmla="*/ 3342596 w 6662058"/>
            <a:gd name="connsiteY23" fmla="*/ 497341 h 6662058"/>
            <a:gd name="connsiteX24" fmla="*/ 1927198 w 6662058"/>
            <a:gd name="connsiteY24" fmla="*/ 894926 h 6662058"/>
            <a:gd name="connsiteX25" fmla="*/ 1288172 w 6662058"/>
            <a:gd name="connsiteY25" fmla="*/ 2146953 h 6662058"/>
            <a:gd name="connsiteX26" fmla="*/ 508907 w 6662058"/>
            <a:gd name="connsiteY26" fmla="*/ 3331030 h 6662058"/>
            <a:gd name="connsiteX27" fmla="*/ 1288172 w 6662058"/>
            <a:gd name="connsiteY27" fmla="*/ 4515106 h 6662058"/>
            <a:gd name="connsiteX28" fmla="*/ 1927198 w 6662058"/>
            <a:gd name="connsiteY28" fmla="*/ 5790265 h 6662058"/>
            <a:gd name="connsiteX29" fmla="*/ 3331029 w 6662058"/>
            <a:gd name="connsiteY29" fmla="*/ 5690508 h 6662058"/>
            <a:gd name="connsiteX30" fmla="*/ 4757994 w 6662058"/>
            <a:gd name="connsiteY30" fmla="*/ 5778699 h 6662058"/>
            <a:gd name="connsiteX31" fmla="*/ 5373887 w 6662058"/>
            <a:gd name="connsiteY31" fmla="*/ 4515106 h 6662058"/>
            <a:gd name="connsiteX32" fmla="*/ 6199415 w 6662058"/>
            <a:gd name="connsiteY32" fmla="*/ 3331030 h 6662058"/>
            <a:gd name="connsiteX33" fmla="*/ 6662058 w 6662058"/>
            <a:gd name="connsiteY33" fmla="*/ 3331029 h 6662058"/>
            <a:gd name="connsiteX34" fmla="*/ 6215318 w 6662058"/>
            <a:gd name="connsiteY34" fmla="*/ 5003049 h 6662058"/>
            <a:gd name="connsiteX35" fmla="*/ 5003049 w 6662058"/>
            <a:gd name="connsiteY35" fmla="*/ 6215318 h 6662058"/>
            <a:gd name="connsiteX36" fmla="*/ 3331029 w 6662058"/>
            <a:gd name="connsiteY36" fmla="*/ 6662058 h 6662058"/>
            <a:gd name="connsiteX37" fmla="*/ 1659009 w 6662058"/>
            <a:gd name="connsiteY37" fmla="*/ 6215318 h 6662058"/>
            <a:gd name="connsiteX38" fmla="*/ 446740 w 6662058"/>
            <a:gd name="connsiteY38" fmla="*/ 5003049 h 6662058"/>
            <a:gd name="connsiteX39" fmla="*/ 0 w 6662058"/>
            <a:gd name="connsiteY39" fmla="*/ 3331029 h 6662058"/>
            <a:gd name="connsiteX40" fmla="*/ 446740 w 6662058"/>
            <a:gd name="connsiteY40" fmla="*/ 1659009 h 6662058"/>
            <a:gd name="connsiteX41" fmla="*/ 1659009 w 6662058"/>
            <a:gd name="connsiteY41" fmla="*/ 446740 h 6662058"/>
            <a:gd name="connsiteX42" fmla="*/ 3331029 w 6662058"/>
            <a:gd name="connsiteY42" fmla="*/ 0 h 6662058"/>
            <a:gd name="connsiteX43" fmla="*/ 5003049 w 6662058"/>
            <a:gd name="connsiteY43" fmla="*/ 446740 h 6662058"/>
            <a:gd name="connsiteX44" fmla="*/ 6215318 w 6662058"/>
            <a:gd name="connsiteY44" fmla="*/ 1659009 h 6662058"/>
            <a:gd name="connsiteX45" fmla="*/ 6662058 w 6662058"/>
            <a:gd name="connsiteY45" fmla="*/ 3331029 h 6662058"/>
            <a:gd name="connsiteX0" fmla="*/ 4996544 w 6662058"/>
            <a:gd name="connsiteY0" fmla="*/ 3331029 h 6662058"/>
            <a:gd name="connsiteX1" fmla="*/ 4957508 w 6662058"/>
            <a:gd name="connsiteY1" fmla="*/ 3430786 h 6662058"/>
            <a:gd name="connsiteX2" fmla="*/ 3569579 w 6662058"/>
            <a:gd name="connsiteY2" fmla="*/ 4818715 h 6662058"/>
            <a:gd name="connsiteX3" fmla="*/ 3469822 w 6662058"/>
            <a:gd name="connsiteY3" fmla="*/ 4857751 h 6662058"/>
            <a:gd name="connsiteX4" fmla="*/ 3372233 w 6662058"/>
            <a:gd name="connsiteY4" fmla="*/ 4816547 h 6662058"/>
            <a:gd name="connsiteX5" fmla="*/ 3331029 w 6662058"/>
            <a:gd name="connsiteY5" fmla="*/ 4718958 h 6662058"/>
            <a:gd name="connsiteX6" fmla="*/ 3331029 w 6662058"/>
            <a:gd name="connsiteY6" fmla="*/ 3886201 h 6662058"/>
            <a:gd name="connsiteX7" fmla="*/ 1804308 w 6662058"/>
            <a:gd name="connsiteY7" fmla="*/ 3886201 h 6662058"/>
            <a:gd name="connsiteX8" fmla="*/ 1706719 w 6662058"/>
            <a:gd name="connsiteY8" fmla="*/ 3844996 h 6662058"/>
            <a:gd name="connsiteX9" fmla="*/ 1665515 w 6662058"/>
            <a:gd name="connsiteY9" fmla="*/ 3747408 h 6662058"/>
            <a:gd name="connsiteX10" fmla="*/ 1665515 w 6662058"/>
            <a:gd name="connsiteY10" fmla="*/ 2914651 h 6662058"/>
            <a:gd name="connsiteX11" fmla="*/ 1706719 w 6662058"/>
            <a:gd name="connsiteY11" fmla="*/ 2817062 h 6662058"/>
            <a:gd name="connsiteX12" fmla="*/ 1804308 w 6662058"/>
            <a:gd name="connsiteY12" fmla="*/ 2775858 h 6662058"/>
            <a:gd name="connsiteX13" fmla="*/ 3331029 w 6662058"/>
            <a:gd name="connsiteY13" fmla="*/ 2775858 h 6662058"/>
            <a:gd name="connsiteX14" fmla="*/ 3331029 w 6662058"/>
            <a:gd name="connsiteY14" fmla="*/ 1943100 h 6662058"/>
            <a:gd name="connsiteX15" fmla="*/ 3370065 w 6662058"/>
            <a:gd name="connsiteY15" fmla="*/ 1843343 h 6662058"/>
            <a:gd name="connsiteX16" fmla="*/ 3469822 w 6662058"/>
            <a:gd name="connsiteY16" fmla="*/ 1804308 h 6662058"/>
            <a:gd name="connsiteX17" fmla="*/ 3573917 w 6662058"/>
            <a:gd name="connsiteY17" fmla="*/ 1847680 h 6662058"/>
            <a:gd name="connsiteX18" fmla="*/ 4957508 w 6662058"/>
            <a:gd name="connsiteY18" fmla="*/ 3231272 h 6662058"/>
            <a:gd name="connsiteX19" fmla="*/ 4996544 w 6662058"/>
            <a:gd name="connsiteY19" fmla="*/ 3331029 h 6662058"/>
            <a:gd name="connsiteX20" fmla="*/ 6199415 w 6662058"/>
            <a:gd name="connsiteY20" fmla="*/ 3331030 h 6662058"/>
            <a:gd name="connsiteX21" fmla="*/ 5790265 w 6662058"/>
            <a:gd name="connsiteY21" fmla="*/ 1892499 h 6662058"/>
            <a:gd name="connsiteX22" fmla="*/ 4769559 w 6662058"/>
            <a:gd name="connsiteY22" fmla="*/ 871793 h 6662058"/>
            <a:gd name="connsiteX23" fmla="*/ 3342596 w 6662058"/>
            <a:gd name="connsiteY23" fmla="*/ 497341 h 6662058"/>
            <a:gd name="connsiteX24" fmla="*/ 1927198 w 6662058"/>
            <a:gd name="connsiteY24" fmla="*/ 894926 h 6662058"/>
            <a:gd name="connsiteX25" fmla="*/ 1288172 w 6662058"/>
            <a:gd name="connsiteY25" fmla="*/ 2146953 h 6662058"/>
            <a:gd name="connsiteX26" fmla="*/ 508907 w 6662058"/>
            <a:gd name="connsiteY26" fmla="*/ 3331030 h 6662058"/>
            <a:gd name="connsiteX27" fmla="*/ 1288172 w 6662058"/>
            <a:gd name="connsiteY27" fmla="*/ 4515106 h 6662058"/>
            <a:gd name="connsiteX28" fmla="*/ 1927198 w 6662058"/>
            <a:gd name="connsiteY28" fmla="*/ 5790265 h 6662058"/>
            <a:gd name="connsiteX29" fmla="*/ 3331029 w 6662058"/>
            <a:gd name="connsiteY29" fmla="*/ 5690508 h 6662058"/>
            <a:gd name="connsiteX30" fmla="*/ 4757994 w 6662058"/>
            <a:gd name="connsiteY30" fmla="*/ 5778699 h 6662058"/>
            <a:gd name="connsiteX31" fmla="*/ 5813397 w 6662058"/>
            <a:gd name="connsiteY31" fmla="*/ 4734862 h 6662058"/>
            <a:gd name="connsiteX32" fmla="*/ 6199415 w 6662058"/>
            <a:gd name="connsiteY32" fmla="*/ 3331030 h 6662058"/>
            <a:gd name="connsiteX33" fmla="*/ 6662058 w 6662058"/>
            <a:gd name="connsiteY33" fmla="*/ 3331029 h 6662058"/>
            <a:gd name="connsiteX34" fmla="*/ 6215318 w 6662058"/>
            <a:gd name="connsiteY34" fmla="*/ 5003049 h 6662058"/>
            <a:gd name="connsiteX35" fmla="*/ 5003049 w 6662058"/>
            <a:gd name="connsiteY35" fmla="*/ 6215318 h 6662058"/>
            <a:gd name="connsiteX36" fmla="*/ 3331029 w 6662058"/>
            <a:gd name="connsiteY36" fmla="*/ 6662058 h 6662058"/>
            <a:gd name="connsiteX37" fmla="*/ 1659009 w 6662058"/>
            <a:gd name="connsiteY37" fmla="*/ 6215318 h 6662058"/>
            <a:gd name="connsiteX38" fmla="*/ 446740 w 6662058"/>
            <a:gd name="connsiteY38" fmla="*/ 5003049 h 6662058"/>
            <a:gd name="connsiteX39" fmla="*/ 0 w 6662058"/>
            <a:gd name="connsiteY39" fmla="*/ 3331029 h 6662058"/>
            <a:gd name="connsiteX40" fmla="*/ 446740 w 6662058"/>
            <a:gd name="connsiteY40" fmla="*/ 1659009 h 6662058"/>
            <a:gd name="connsiteX41" fmla="*/ 1659009 w 6662058"/>
            <a:gd name="connsiteY41" fmla="*/ 446740 h 6662058"/>
            <a:gd name="connsiteX42" fmla="*/ 3331029 w 6662058"/>
            <a:gd name="connsiteY42" fmla="*/ 0 h 6662058"/>
            <a:gd name="connsiteX43" fmla="*/ 5003049 w 6662058"/>
            <a:gd name="connsiteY43" fmla="*/ 446740 h 6662058"/>
            <a:gd name="connsiteX44" fmla="*/ 6215318 w 6662058"/>
            <a:gd name="connsiteY44" fmla="*/ 1659009 h 6662058"/>
            <a:gd name="connsiteX45" fmla="*/ 6662058 w 6662058"/>
            <a:gd name="connsiteY45" fmla="*/ 3331029 h 6662058"/>
            <a:gd name="connsiteX0" fmla="*/ 4996544 w 6662058"/>
            <a:gd name="connsiteY0" fmla="*/ 3331029 h 6662058"/>
            <a:gd name="connsiteX1" fmla="*/ 4957508 w 6662058"/>
            <a:gd name="connsiteY1" fmla="*/ 3430786 h 6662058"/>
            <a:gd name="connsiteX2" fmla="*/ 3569579 w 6662058"/>
            <a:gd name="connsiteY2" fmla="*/ 4818715 h 6662058"/>
            <a:gd name="connsiteX3" fmla="*/ 3469822 w 6662058"/>
            <a:gd name="connsiteY3" fmla="*/ 4857751 h 6662058"/>
            <a:gd name="connsiteX4" fmla="*/ 3372233 w 6662058"/>
            <a:gd name="connsiteY4" fmla="*/ 4816547 h 6662058"/>
            <a:gd name="connsiteX5" fmla="*/ 3331029 w 6662058"/>
            <a:gd name="connsiteY5" fmla="*/ 4718958 h 6662058"/>
            <a:gd name="connsiteX6" fmla="*/ 3331029 w 6662058"/>
            <a:gd name="connsiteY6" fmla="*/ 3886201 h 6662058"/>
            <a:gd name="connsiteX7" fmla="*/ 1804308 w 6662058"/>
            <a:gd name="connsiteY7" fmla="*/ 3886201 h 6662058"/>
            <a:gd name="connsiteX8" fmla="*/ 1706719 w 6662058"/>
            <a:gd name="connsiteY8" fmla="*/ 3844996 h 6662058"/>
            <a:gd name="connsiteX9" fmla="*/ 1665515 w 6662058"/>
            <a:gd name="connsiteY9" fmla="*/ 3747408 h 6662058"/>
            <a:gd name="connsiteX10" fmla="*/ 1665515 w 6662058"/>
            <a:gd name="connsiteY10" fmla="*/ 2914651 h 6662058"/>
            <a:gd name="connsiteX11" fmla="*/ 1706719 w 6662058"/>
            <a:gd name="connsiteY11" fmla="*/ 2817062 h 6662058"/>
            <a:gd name="connsiteX12" fmla="*/ 1804308 w 6662058"/>
            <a:gd name="connsiteY12" fmla="*/ 2775858 h 6662058"/>
            <a:gd name="connsiteX13" fmla="*/ 3331029 w 6662058"/>
            <a:gd name="connsiteY13" fmla="*/ 2775858 h 6662058"/>
            <a:gd name="connsiteX14" fmla="*/ 3331029 w 6662058"/>
            <a:gd name="connsiteY14" fmla="*/ 1943100 h 6662058"/>
            <a:gd name="connsiteX15" fmla="*/ 3370065 w 6662058"/>
            <a:gd name="connsiteY15" fmla="*/ 1843343 h 6662058"/>
            <a:gd name="connsiteX16" fmla="*/ 3469822 w 6662058"/>
            <a:gd name="connsiteY16" fmla="*/ 1804308 h 6662058"/>
            <a:gd name="connsiteX17" fmla="*/ 3573917 w 6662058"/>
            <a:gd name="connsiteY17" fmla="*/ 1847680 h 6662058"/>
            <a:gd name="connsiteX18" fmla="*/ 4957508 w 6662058"/>
            <a:gd name="connsiteY18" fmla="*/ 3231272 h 6662058"/>
            <a:gd name="connsiteX19" fmla="*/ 4996544 w 6662058"/>
            <a:gd name="connsiteY19" fmla="*/ 3331029 h 6662058"/>
            <a:gd name="connsiteX20" fmla="*/ 6199415 w 6662058"/>
            <a:gd name="connsiteY20" fmla="*/ 3331030 h 6662058"/>
            <a:gd name="connsiteX21" fmla="*/ 5790265 w 6662058"/>
            <a:gd name="connsiteY21" fmla="*/ 1892499 h 6662058"/>
            <a:gd name="connsiteX22" fmla="*/ 4769559 w 6662058"/>
            <a:gd name="connsiteY22" fmla="*/ 871793 h 6662058"/>
            <a:gd name="connsiteX23" fmla="*/ 3342596 w 6662058"/>
            <a:gd name="connsiteY23" fmla="*/ 497341 h 6662058"/>
            <a:gd name="connsiteX24" fmla="*/ 1927198 w 6662058"/>
            <a:gd name="connsiteY24" fmla="*/ 894926 h 6662058"/>
            <a:gd name="connsiteX25" fmla="*/ 1288172 w 6662058"/>
            <a:gd name="connsiteY25" fmla="*/ 2146953 h 6662058"/>
            <a:gd name="connsiteX26" fmla="*/ 508907 w 6662058"/>
            <a:gd name="connsiteY26" fmla="*/ 3331030 h 6662058"/>
            <a:gd name="connsiteX27" fmla="*/ 1288172 w 6662058"/>
            <a:gd name="connsiteY27" fmla="*/ 4515106 h 6662058"/>
            <a:gd name="connsiteX28" fmla="*/ 1927198 w 6662058"/>
            <a:gd name="connsiteY28" fmla="*/ 5790265 h 6662058"/>
            <a:gd name="connsiteX29" fmla="*/ 3342596 w 6662058"/>
            <a:gd name="connsiteY29" fmla="*/ 6164717 h 6662058"/>
            <a:gd name="connsiteX30" fmla="*/ 4757994 w 6662058"/>
            <a:gd name="connsiteY30" fmla="*/ 5778699 h 6662058"/>
            <a:gd name="connsiteX31" fmla="*/ 5813397 w 6662058"/>
            <a:gd name="connsiteY31" fmla="*/ 4734862 h 6662058"/>
            <a:gd name="connsiteX32" fmla="*/ 6199415 w 6662058"/>
            <a:gd name="connsiteY32" fmla="*/ 3331030 h 6662058"/>
            <a:gd name="connsiteX33" fmla="*/ 6662058 w 6662058"/>
            <a:gd name="connsiteY33" fmla="*/ 3331029 h 6662058"/>
            <a:gd name="connsiteX34" fmla="*/ 6215318 w 6662058"/>
            <a:gd name="connsiteY34" fmla="*/ 5003049 h 6662058"/>
            <a:gd name="connsiteX35" fmla="*/ 5003049 w 6662058"/>
            <a:gd name="connsiteY35" fmla="*/ 6215318 h 6662058"/>
            <a:gd name="connsiteX36" fmla="*/ 3331029 w 6662058"/>
            <a:gd name="connsiteY36" fmla="*/ 6662058 h 6662058"/>
            <a:gd name="connsiteX37" fmla="*/ 1659009 w 6662058"/>
            <a:gd name="connsiteY37" fmla="*/ 6215318 h 6662058"/>
            <a:gd name="connsiteX38" fmla="*/ 446740 w 6662058"/>
            <a:gd name="connsiteY38" fmla="*/ 5003049 h 6662058"/>
            <a:gd name="connsiteX39" fmla="*/ 0 w 6662058"/>
            <a:gd name="connsiteY39" fmla="*/ 3331029 h 6662058"/>
            <a:gd name="connsiteX40" fmla="*/ 446740 w 6662058"/>
            <a:gd name="connsiteY40" fmla="*/ 1659009 h 6662058"/>
            <a:gd name="connsiteX41" fmla="*/ 1659009 w 6662058"/>
            <a:gd name="connsiteY41" fmla="*/ 446740 h 6662058"/>
            <a:gd name="connsiteX42" fmla="*/ 3331029 w 6662058"/>
            <a:gd name="connsiteY42" fmla="*/ 0 h 6662058"/>
            <a:gd name="connsiteX43" fmla="*/ 5003049 w 6662058"/>
            <a:gd name="connsiteY43" fmla="*/ 446740 h 6662058"/>
            <a:gd name="connsiteX44" fmla="*/ 6215318 w 6662058"/>
            <a:gd name="connsiteY44" fmla="*/ 1659009 h 6662058"/>
            <a:gd name="connsiteX45" fmla="*/ 6662058 w 6662058"/>
            <a:gd name="connsiteY45" fmla="*/ 3331029 h 6662058"/>
            <a:gd name="connsiteX0" fmla="*/ 4996544 w 6662058"/>
            <a:gd name="connsiteY0" fmla="*/ 3331029 h 6662058"/>
            <a:gd name="connsiteX1" fmla="*/ 4957508 w 6662058"/>
            <a:gd name="connsiteY1" fmla="*/ 3430786 h 6662058"/>
            <a:gd name="connsiteX2" fmla="*/ 3569579 w 6662058"/>
            <a:gd name="connsiteY2" fmla="*/ 4818715 h 6662058"/>
            <a:gd name="connsiteX3" fmla="*/ 3469822 w 6662058"/>
            <a:gd name="connsiteY3" fmla="*/ 4857751 h 6662058"/>
            <a:gd name="connsiteX4" fmla="*/ 3372233 w 6662058"/>
            <a:gd name="connsiteY4" fmla="*/ 4816547 h 6662058"/>
            <a:gd name="connsiteX5" fmla="*/ 3331029 w 6662058"/>
            <a:gd name="connsiteY5" fmla="*/ 4718958 h 6662058"/>
            <a:gd name="connsiteX6" fmla="*/ 3331029 w 6662058"/>
            <a:gd name="connsiteY6" fmla="*/ 3886201 h 6662058"/>
            <a:gd name="connsiteX7" fmla="*/ 1804308 w 6662058"/>
            <a:gd name="connsiteY7" fmla="*/ 3886201 h 6662058"/>
            <a:gd name="connsiteX8" fmla="*/ 1706719 w 6662058"/>
            <a:gd name="connsiteY8" fmla="*/ 3844996 h 6662058"/>
            <a:gd name="connsiteX9" fmla="*/ 1665515 w 6662058"/>
            <a:gd name="connsiteY9" fmla="*/ 3747408 h 6662058"/>
            <a:gd name="connsiteX10" fmla="*/ 1665515 w 6662058"/>
            <a:gd name="connsiteY10" fmla="*/ 2914651 h 6662058"/>
            <a:gd name="connsiteX11" fmla="*/ 1706719 w 6662058"/>
            <a:gd name="connsiteY11" fmla="*/ 2817062 h 6662058"/>
            <a:gd name="connsiteX12" fmla="*/ 1804308 w 6662058"/>
            <a:gd name="connsiteY12" fmla="*/ 2775858 h 6662058"/>
            <a:gd name="connsiteX13" fmla="*/ 3331029 w 6662058"/>
            <a:gd name="connsiteY13" fmla="*/ 2775858 h 6662058"/>
            <a:gd name="connsiteX14" fmla="*/ 3331029 w 6662058"/>
            <a:gd name="connsiteY14" fmla="*/ 1943100 h 6662058"/>
            <a:gd name="connsiteX15" fmla="*/ 3370065 w 6662058"/>
            <a:gd name="connsiteY15" fmla="*/ 1843343 h 6662058"/>
            <a:gd name="connsiteX16" fmla="*/ 3469822 w 6662058"/>
            <a:gd name="connsiteY16" fmla="*/ 1804308 h 6662058"/>
            <a:gd name="connsiteX17" fmla="*/ 3573917 w 6662058"/>
            <a:gd name="connsiteY17" fmla="*/ 1847680 h 6662058"/>
            <a:gd name="connsiteX18" fmla="*/ 4957508 w 6662058"/>
            <a:gd name="connsiteY18" fmla="*/ 3231272 h 6662058"/>
            <a:gd name="connsiteX19" fmla="*/ 4996544 w 6662058"/>
            <a:gd name="connsiteY19" fmla="*/ 3331029 h 6662058"/>
            <a:gd name="connsiteX20" fmla="*/ 6199415 w 6662058"/>
            <a:gd name="connsiteY20" fmla="*/ 3331030 h 6662058"/>
            <a:gd name="connsiteX21" fmla="*/ 5790265 w 6662058"/>
            <a:gd name="connsiteY21" fmla="*/ 1892499 h 6662058"/>
            <a:gd name="connsiteX22" fmla="*/ 4769559 w 6662058"/>
            <a:gd name="connsiteY22" fmla="*/ 871793 h 6662058"/>
            <a:gd name="connsiteX23" fmla="*/ 3342596 w 6662058"/>
            <a:gd name="connsiteY23" fmla="*/ 497341 h 6662058"/>
            <a:gd name="connsiteX24" fmla="*/ 1927198 w 6662058"/>
            <a:gd name="connsiteY24" fmla="*/ 894926 h 6662058"/>
            <a:gd name="connsiteX25" fmla="*/ 1288172 w 6662058"/>
            <a:gd name="connsiteY25" fmla="*/ 2146953 h 6662058"/>
            <a:gd name="connsiteX26" fmla="*/ 508907 w 6662058"/>
            <a:gd name="connsiteY26" fmla="*/ 3331030 h 6662058"/>
            <a:gd name="connsiteX27" fmla="*/ 860228 w 6662058"/>
            <a:gd name="connsiteY27" fmla="*/ 4734862 h 6662058"/>
            <a:gd name="connsiteX28" fmla="*/ 1927198 w 6662058"/>
            <a:gd name="connsiteY28" fmla="*/ 5790265 h 6662058"/>
            <a:gd name="connsiteX29" fmla="*/ 3342596 w 6662058"/>
            <a:gd name="connsiteY29" fmla="*/ 6164717 h 6662058"/>
            <a:gd name="connsiteX30" fmla="*/ 4757994 w 6662058"/>
            <a:gd name="connsiteY30" fmla="*/ 5778699 h 6662058"/>
            <a:gd name="connsiteX31" fmla="*/ 5813397 w 6662058"/>
            <a:gd name="connsiteY31" fmla="*/ 4734862 h 6662058"/>
            <a:gd name="connsiteX32" fmla="*/ 6199415 w 6662058"/>
            <a:gd name="connsiteY32" fmla="*/ 3331030 h 6662058"/>
            <a:gd name="connsiteX33" fmla="*/ 6662058 w 6662058"/>
            <a:gd name="connsiteY33" fmla="*/ 3331029 h 6662058"/>
            <a:gd name="connsiteX34" fmla="*/ 6215318 w 6662058"/>
            <a:gd name="connsiteY34" fmla="*/ 5003049 h 6662058"/>
            <a:gd name="connsiteX35" fmla="*/ 5003049 w 6662058"/>
            <a:gd name="connsiteY35" fmla="*/ 6215318 h 6662058"/>
            <a:gd name="connsiteX36" fmla="*/ 3331029 w 6662058"/>
            <a:gd name="connsiteY36" fmla="*/ 6662058 h 6662058"/>
            <a:gd name="connsiteX37" fmla="*/ 1659009 w 6662058"/>
            <a:gd name="connsiteY37" fmla="*/ 6215318 h 6662058"/>
            <a:gd name="connsiteX38" fmla="*/ 446740 w 6662058"/>
            <a:gd name="connsiteY38" fmla="*/ 5003049 h 6662058"/>
            <a:gd name="connsiteX39" fmla="*/ 0 w 6662058"/>
            <a:gd name="connsiteY39" fmla="*/ 3331029 h 6662058"/>
            <a:gd name="connsiteX40" fmla="*/ 446740 w 6662058"/>
            <a:gd name="connsiteY40" fmla="*/ 1659009 h 6662058"/>
            <a:gd name="connsiteX41" fmla="*/ 1659009 w 6662058"/>
            <a:gd name="connsiteY41" fmla="*/ 446740 h 6662058"/>
            <a:gd name="connsiteX42" fmla="*/ 3331029 w 6662058"/>
            <a:gd name="connsiteY42" fmla="*/ 0 h 6662058"/>
            <a:gd name="connsiteX43" fmla="*/ 5003049 w 6662058"/>
            <a:gd name="connsiteY43" fmla="*/ 446740 h 6662058"/>
            <a:gd name="connsiteX44" fmla="*/ 6215318 w 6662058"/>
            <a:gd name="connsiteY44" fmla="*/ 1659009 h 6662058"/>
            <a:gd name="connsiteX45" fmla="*/ 6662058 w 6662058"/>
            <a:gd name="connsiteY45" fmla="*/ 3331029 h 6662058"/>
            <a:gd name="connsiteX0" fmla="*/ 4996544 w 6662058"/>
            <a:gd name="connsiteY0" fmla="*/ 3331029 h 6662058"/>
            <a:gd name="connsiteX1" fmla="*/ 4957508 w 6662058"/>
            <a:gd name="connsiteY1" fmla="*/ 3430786 h 6662058"/>
            <a:gd name="connsiteX2" fmla="*/ 3569579 w 6662058"/>
            <a:gd name="connsiteY2" fmla="*/ 4818715 h 6662058"/>
            <a:gd name="connsiteX3" fmla="*/ 3469822 w 6662058"/>
            <a:gd name="connsiteY3" fmla="*/ 4857751 h 6662058"/>
            <a:gd name="connsiteX4" fmla="*/ 3372233 w 6662058"/>
            <a:gd name="connsiteY4" fmla="*/ 4816547 h 6662058"/>
            <a:gd name="connsiteX5" fmla="*/ 3331029 w 6662058"/>
            <a:gd name="connsiteY5" fmla="*/ 4718958 h 6662058"/>
            <a:gd name="connsiteX6" fmla="*/ 3331029 w 6662058"/>
            <a:gd name="connsiteY6" fmla="*/ 3886201 h 6662058"/>
            <a:gd name="connsiteX7" fmla="*/ 1804308 w 6662058"/>
            <a:gd name="connsiteY7" fmla="*/ 3886201 h 6662058"/>
            <a:gd name="connsiteX8" fmla="*/ 1706719 w 6662058"/>
            <a:gd name="connsiteY8" fmla="*/ 3844996 h 6662058"/>
            <a:gd name="connsiteX9" fmla="*/ 1665515 w 6662058"/>
            <a:gd name="connsiteY9" fmla="*/ 3747408 h 6662058"/>
            <a:gd name="connsiteX10" fmla="*/ 1665515 w 6662058"/>
            <a:gd name="connsiteY10" fmla="*/ 2914651 h 6662058"/>
            <a:gd name="connsiteX11" fmla="*/ 1706719 w 6662058"/>
            <a:gd name="connsiteY11" fmla="*/ 2817062 h 6662058"/>
            <a:gd name="connsiteX12" fmla="*/ 1804308 w 6662058"/>
            <a:gd name="connsiteY12" fmla="*/ 2775858 h 6662058"/>
            <a:gd name="connsiteX13" fmla="*/ 3331029 w 6662058"/>
            <a:gd name="connsiteY13" fmla="*/ 2775858 h 6662058"/>
            <a:gd name="connsiteX14" fmla="*/ 3331029 w 6662058"/>
            <a:gd name="connsiteY14" fmla="*/ 1943100 h 6662058"/>
            <a:gd name="connsiteX15" fmla="*/ 3370065 w 6662058"/>
            <a:gd name="connsiteY15" fmla="*/ 1843343 h 6662058"/>
            <a:gd name="connsiteX16" fmla="*/ 3469822 w 6662058"/>
            <a:gd name="connsiteY16" fmla="*/ 1804308 h 6662058"/>
            <a:gd name="connsiteX17" fmla="*/ 3573917 w 6662058"/>
            <a:gd name="connsiteY17" fmla="*/ 1847680 h 6662058"/>
            <a:gd name="connsiteX18" fmla="*/ 4957508 w 6662058"/>
            <a:gd name="connsiteY18" fmla="*/ 3231272 h 6662058"/>
            <a:gd name="connsiteX19" fmla="*/ 4996544 w 6662058"/>
            <a:gd name="connsiteY19" fmla="*/ 3331029 h 6662058"/>
            <a:gd name="connsiteX20" fmla="*/ 6199415 w 6662058"/>
            <a:gd name="connsiteY20" fmla="*/ 3331030 h 6662058"/>
            <a:gd name="connsiteX21" fmla="*/ 5790265 w 6662058"/>
            <a:gd name="connsiteY21" fmla="*/ 1892499 h 6662058"/>
            <a:gd name="connsiteX22" fmla="*/ 4769559 w 6662058"/>
            <a:gd name="connsiteY22" fmla="*/ 871793 h 6662058"/>
            <a:gd name="connsiteX23" fmla="*/ 3342596 w 6662058"/>
            <a:gd name="connsiteY23" fmla="*/ 497341 h 6662058"/>
            <a:gd name="connsiteX24" fmla="*/ 1927198 w 6662058"/>
            <a:gd name="connsiteY24" fmla="*/ 894926 h 6662058"/>
            <a:gd name="connsiteX25" fmla="*/ 883360 w 6662058"/>
            <a:gd name="connsiteY25" fmla="*/ 1892499 h 6662058"/>
            <a:gd name="connsiteX26" fmla="*/ 508907 w 6662058"/>
            <a:gd name="connsiteY26" fmla="*/ 3331030 h 6662058"/>
            <a:gd name="connsiteX27" fmla="*/ 860228 w 6662058"/>
            <a:gd name="connsiteY27" fmla="*/ 4734862 h 6662058"/>
            <a:gd name="connsiteX28" fmla="*/ 1927198 w 6662058"/>
            <a:gd name="connsiteY28" fmla="*/ 5790265 h 6662058"/>
            <a:gd name="connsiteX29" fmla="*/ 3342596 w 6662058"/>
            <a:gd name="connsiteY29" fmla="*/ 6164717 h 6662058"/>
            <a:gd name="connsiteX30" fmla="*/ 4757994 w 6662058"/>
            <a:gd name="connsiteY30" fmla="*/ 5778699 h 6662058"/>
            <a:gd name="connsiteX31" fmla="*/ 5813397 w 6662058"/>
            <a:gd name="connsiteY31" fmla="*/ 4734862 h 6662058"/>
            <a:gd name="connsiteX32" fmla="*/ 6199415 w 6662058"/>
            <a:gd name="connsiteY32" fmla="*/ 3331030 h 6662058"/>
            <a:gd name="connsiteX33" fmla="*/ 6662058 w 6662058"/>
            <a:gd name="connsiteY33" fmla="*/ 3331029 h 6662058"/>
            <a:gd name="connsiteX34" fmla="*/ 6215318 w 6662058"/>
            <a:gd name="connsiteY34" fmla="*/ 5003049 h 6662058"/>
            <a:gd name="connsiteX35" fmla="*/ 5003049 w 6662058"/>
            <a:gd name="connsiteY35" fmla="*/ 6215318 h 6662058"/>
            <a:gd name="connsiteX36" fmla="*/ 3331029 w 6662058"/>
            <a:gd name="connsiteY36" fmla="*/ 6662058 h 6662058"/>
            <a:gd name="connsiteX37" fmla="*/ 1659009 w 6662058"/>
            <a:gd name="connsiteY37" fmla="*/ 6215318 h 6662058"/>
            <a:gd name="connsiteX38" fmla="*/ 446740 w 6662058"/>
            <a:gd name="connsiteY38" fmla="*/ 5003049 h 6662058"/>
            <a:gd name="connsiteX39" fmla="*/ 0 w 6662058"/>
            <a:gd name="connsiteY39" fmla="*/ 3331029 h 6662058"/>
            <a:gd name="connsiteX40" fmla="*/ 446740 w 6662058"/>
            <a:gd name="connsiteY40" fmla="*/ 1659009 h 6662058"/>
            <a:gd name="connsiteX41" fmla="*/ 1659009 w 6662058"/>
            <a:gd name="connsiteY41" fmla="*/ 446740 h 6662058"/>
            <a:gd name="connsiteX42" fmla="*/ 3331029 w 6662058"/>
            <a:gd name="connsiteY42" fmla="*/ 0 h 6662058"/>
            <a:gd name="connsiteX43" fmla="*/ 5003049 w 6662058"/>
            <a:gd name="connsiteY43" fmla="*/ 446740 h 6662058"/>
            <a:gd name="connsiteX44" fmla="*/ 6215318 w 6662058"/>
            <a:gd name="connsiteY44" fmla="*/ 1659009 h 6662058"/>
            <a:gd name="connsiteX45" fmla="*/ 6662058 w 6662058"/>
            <a:gd name="connsiteY45" fmla="*/ 3331029 h 66620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Lst>
          <a:rect l="l" t="t" r="r" b="b"/>
          <a:pathLst>
            <a:path w="6662058" h="6662058">
              <a:moveTo>
                <a:pt x="4996544" y="3331029"/>
              </a:moveTo>
              <a:cubicBezTo>
                <a:pt x="4996544" y="3371510"/>
                <a:pt x="4983532" y="3404763"/>
                <a:pt x="4957508" y="3430786"/>
              </a:cubicBezTo>
              <a:lnTo>
                <a:pt x="3569579" y="4818715"/>
              </a:lnTo>
              <a:cubicBezTo>
                <a:pt x="3543556" y="4844739"/>
                <a:pt x="3510303" y="4857751"/>
                <a:pt x="3469822" y="4857751"/>
              </a:cubicBezTo>
              <a:cubicBezTo>
                <a:pt x="3432232" y="4857751"/>
                <a:pt x="3399703" y="4844016"/>
                <a:pt x="3372233" y="4816547"/>
              </a:cubicBezTo>
              <a:cubicBezTo>
                <a:pt x="3344764" y="4789077"/>
                <a:pt x="3331029" y="4756547"/>
                <a:pt x="3331029" y="4718958"/>
              </a:cubicBezTo>
              <a:lnTo>
                <a:pt x="3331029" y="3886201"/>
              </a:lnTo>
              <a:lnTo>
                <a:pt x="1804308" y="3886201"/>
              </a:lnTo>
              <a:cubicBezTo>
                <a:pt x="1766718" y="3886201"/>
                <a:pt x="1734188" y="3872466"/>
                <a:pt x="1706719" y="3844996"/>
              </a:cubicBezTo>
              <a:cubicBezTo>
                <a:pt x="1679250" y="3817527"/>
                <a:pt x="1665515" y="3784997"/>
                <a:pt x="1665515" y="3747408"/>
              </a:cubicBezTo>
              <a:lnTo>
                <a:pt x="1665515" y="2914651"/>
              </a:lnTo>
              <a:cubicBezTo>
                <a:pt x="1665515" y="2877061"/>
                <a:pt x="1679250" y="2844531"/>
                <a:pt x="1706719" y="2817062"/>
              </a:cubicBezTo>
              <a:cubicBezTo>
                <a:pt x="1734188" y="2789592"/>
                <a:pt x="1766718" y="2775858"/>
                <a:pt x="1804308" y="2775858"/>
              </a:cubicBezTo>
              <a:lnTo>
                <a:pt x="3331029" y="2775858"/>
              </a:lnTo>
              <a:lnTo>
                <a:pt x="3331029" y="1943100"/>
              </a:lnTo>
              <a:cubicBezTo>
                <a:pt x="3331029" y="1902619"/>
                <a:pt x="3344041" y="1869367"/>
                <a:pt x="3370065" y="1843343"/>
              </a:cubicBezTo>
              <a:cubicBezTo>
                <a:pt x="3396088" y="1817319"/>
                <a:pt x="3429341" y="1804308"/>
                <a:pt x="3469822" y="1804308"/>
              </a:cubicBezTo>
              <a:cubicBezTo>
                <a:pt x="3504520" y="1804308"/>
                <a:pt x="3539218" y="1818765"/>
                <a:pt x="3573917" y="1847680"/>
              </a:cubicBezTo>
              <a:lnTo>
                <a:pt x="4957508" y="3231272"/>
              </a:lnTo>
              <a:cubicBezTo>
                <a:pt x="4983532" y="3257295"/>
                <a:pt x="4996544" y="3290548"/>
                <a:pt x="4996544" y="3331029"/>
              </a:cubicBezTo>
              <a:close/>
              <a:moveTo>
                <a:pt x="6199415" y="3331030"/>
              </a:moveTo>
              <a:cubicBezTo>
                <a:pt x="6195560" y="2857303"/>
                <a:pt x="6028574" y="2302372"/>
                <a:pt x="5790265" y="1892499"/>
              </a:cubicBezTo>
              <a:cubicBezTo>
                <a:pt x="5551956" y="1482626"/>
                <a:pt x="5177504" y="1104319"/>
                <a:pt x="4769559" y="871793"/>
              </a:cubicBezTo>
              <a:cubicBezTo>
                <a:pt x="4361614" y="639267"/>
                <a:pt x="3816323" y="493486"/>
                <a:pt x="3342596" y="497341"/>
              </a:cubicBezTo>
              <a:cubicBezTo>
                <a:pt x="2868869" y="501196"/>
                <a:pt x="2337071" y="662400"/>
                <a:pt x="1927198" y="894926"/>
              </a:cubicBezTo>
              <a:cubicBezTo>
                <a:pt x="1517325" y="1127452"/>
                <a:pt x="1119742" y="1486482"/>
                <a:pt x="883360" y="1892499"/>
              </a:cubicBezTo>
              <a:cubicBezTo>
                <a:pt x="646978" y="2298516"/>
                <a:pt x="512762" y="2857303"/>
                <a:pt x="508907" y="3331030"/>
              </a:cubicBezTo>
              <a:cubicBezTo>
                <a:pt x="505052" y="3804757"/>
                <a:pt x="623846" y="4324990"/>
                <a:pt x="860228" y="4734862"/>
              </a:cubicBezTo>
              <a:cubicBezTo>
                <a:pt x="1096610" y="5144735"/>
                <a:pt x="1513470" y="5551956"/>
                <a:pt x="1927198" y="5790265"/>
              </a:cubicBezTo>
              <a:cubicBezTo>
                <a:pt x="2340926" y="6028574"/>
                <a:pt x="2870797" y="6166645"/>
                <a:pt x="3342596" y="6164717"/>
              </a:cubicBezTo>
              <a:cubicBezTo>
                <a:pt x="3814395" y="6162789"/>
                <a:pt x="4346194" y="6017008"/>
                <a:pt x="4757994" y="5778699"/>
              </a:cubicBezTo>
              <a:cubicBezTo>
                <a:pt x="5169794" y="5540390"/>
                <a:pt x="5573160" y="5142807"/>
                <a:pt x="5813397" y="4734862"/>
              </a:cubicBezTo>
              <a:cubicBezTo>
                <a:pt x="6053634" y="4326917"/>
                <a:pt x="6203270" y="3804757"/>
                <a:pt x="6199415" y="3331030"/>
              </a:cubicBezTo>
              <a:close/>
              <a:moveTo>
                <a:pt x="6662058" y="3331029"/>
              </a:moveTo>
              <a:cubicBezTo>
                <a:pt x="6662058" y="3935357"/>
                <a:pt x="6513144" y="4492697"/>
                <a:pt x="6215318" y="5003049"/>
              </a:cubicBezTo>
              <a:cubicBezTo>
                <a:pt x="5917492" y="5513402"/>
                <a:pt x="5513402" y="5917492"/>
                <a:pt x="5003049" y="6215318"/>
              </a:cubicBezTo>
              <a:cubicBezTo>
                <a:pt x="4492697" y="6513144"/>
                <a:pt x="3935357" y="6662058"/>
                <a:pt x="3331029" y="6662058"/>
              </a:cubicBezTo>
              <a:cubicBezTo>
                <a:pt x="2726702" y="6662058"/>
                <a:pt x="2169362" y="6513144"/>
                <a:pt x="1659009" y="6215318"/>
              </a:cubicBezTo>
              <a:cubicBezTo>
                <a:pt x="1148656" y="5917492"/>
                <a:pt x="744566" y="5513402"/>
                <a:pt x="446740" y="5003049"/>
              </a:cubicBezTo>
              <a:cubicBezTo>
                <a:pt x="148914" y="4492697"/>
                <a:pt x="0" y="3935357"/>
                <a:pt x="0" y="3331029"/>
              </a:cubicBezTo>
              <a:cubicBezTo>
                <a:pt x="0" y="2726702"/>
                <a:pt x="148914" y="2169362"/>
                <a:pt x="446740" y="1659009"/>
              </a:cubicBezTo>
              <a:cubicBezTo>
                <a:pt x="744566" y="1148656"/>
                <a:pt x="1148656" y="744566"/>
                <a:pt x="1659009" y="446740"/>
              </a:cubicBezTo>
              <a:cubicBezTo>
                <a:pt x="2169362" y="148914"/>
                <a:pt x="2726702" y="0"/>
                <a:pt x="3331029" y="0"/>
              </a:cubicBezTo>
              <a:cubicBezTo>
                <a:pt x="3935357" y="0"/>
                <a:pt x="4492697" y="148914"/>
                <a:pt x="5003049" y="446740"/>
              </a:cubicBezTo>
              <a:cubicBezTo>
                <a:pt x="5513402" y="744566"/>
                <a:pt x="5917492" y="1148656"/>
                <a:pt x="6215318" y="1659009"/>
              </a:cubicBezTo>
              <a:cubicBezTo>
                <a:pt x="6513144" y="2169362"/>
                <a:pt x="6662058" y="2726702"/>
                <a:pt x="6662058" y="3331029"/>
              </a:cubicBezTo>
              <a:close/>
            </a:path>
          </a:pathLst>
        </a:custGeom>
        <a:solidFill>
          <a:sysClr val="window" lastClr="FFFFFF"/>
        </a:solidFill>
        <a:ln w="4390" cap="flat">
          <a:noFill/>
          <a:prstDash val="solid"/>
          <a:miter/>
        </a:ln>
      </xdr:spPr>
      <xdr:txBody>
        <a:bodyPr rtlCol="0" anchor="ctr"/>
        <a:lstStyle/>
        <a:p>
          <a:endParaRPr lang="en-US"/>
        </a:p>
      </xdr:txBody>
    </xdr:sp>
    <xdr:clientData/>
  </xdr:twoCellAnchor>
  <xdr:twoCellAnchor>
    <xdr:from>
      <xdr:col>14</xdr:col>
      <xdr:colOff>0</xdr:colOff>
      <xdr:row>1</xdr:row>
      <xdr:rowOff>693420</xdr:rowOff>
    </xdr:from>
    <xdr:to>
      <xdr:col>14</xdr:col>
      <xdr:colOff>0</xdr:colOff>
      <xdr:row>1</xdr:row>
      <xdr:rowOff>1112524</xdr:rowOff>
    </xdr:to>
    <xdr:sp macro="" textlink="">
      <xdr:nvSpPr>
        <xdr:cNvPr id="37" name="svg_cancel">
          <a:extLst>
            <a:ext uri="{FF2B5EF4-FFF2-40B4-BE49-F238E27FC236}">
              <a16:creationId xmlns:a16="http://schemas.microsoft.com/office/drawing/2014/main" id="{00000000-0008-0000-2100-000025000000}"/>
            </a:ext>
          </a:extLst>
        </xdr:cNvPr>
        <xdr:cNvSpPr/>
      </xdr:nvSpPr>
      <xdr:spPr>
        <a:xfrm>
          <a:off x="9048750" y="0"/>
          <a:ext cx="419100" cy="0"/>
        </a:xfrm>
        <a:custGeom>
          <a:avLst/>
          <a:gdLst>
            <a:gd name="connsiteX0" fmla="*/ 2357866 w 4724400"/>
            <a:gd name="connsiteY0" fmla="*/ 4 h 4724403"/>
            <a:gd name="connsiteX1" fmla="*/ 730425 w 4724400"/>
            <a:gd name="connsiteY1" fmla="*/ 654228 h 4724403"/>
            <a:gd name="connsiteX2" fmla="*/ 390249 w 4724400"/>
            <a:gd name="connsiteY2" fmla="*/ 314053 h 4724403"/>
            <a:gd name="connsiteX3" fmla="*/ 0 w 4724400"/>
            <a:gd name="connsiteY3" fmla="*/ 475692 h 4724403"/>
            <a:gd name="connsiteX4" fmla="*/ 0 w 4724400"/>
            <a:gd name="connsiteY4" fmla="*/ 1752604 h 4724403"/>
            <a:gd name="connsiteX5" fmla="*/ 228600 w 4724400"/>
            <a:gd name="connsiteY5" fmla="*/ 1981204 h 4724403"/>
            <a:gd name="connsiteX6" fmla="*/ 1505512 w 4724400"/>
            <a:gd name="connsiteY6" fmla="*/ 1981204 h 4724403"/>
            <a:gd name="connsiteX7" fmla="*/ 1667161 w 4724400"/>
            <a:gd name="connsiteY7" fmla="*/ 1590955 h 4724403"/>
            <a:gd name="connsiteX8" fmla="*/ 1269492 w 4724400"/>
            <a:gd name="connsiteY8" fmla="*/ 1193286 h 4724403"/>
            <a:gd name="connsiteX9" fmla="*/ 2348008 w 4724400"/>
            <a:gd name="connsiteY9" fmla="*/ 762061 h 4724403"/>
            <a:gd name="connsiteX10" fmla="*/ 3962343 w 4724400"/>
            <a:gd name="connsiteY10" fmla="*/ 2375996 h 4724403"/>
            <a:gd name="connsiteX11" fmla="*/ 2362200 w 4724400"/>
            <a:gd name="connsiteY11" fmla="*/ 3962404 h 4724403"/>
            <a:gd name="connsiteX12" fmla="*/ 1308449 w 4724400"/>
            <a:gd name="connsiteY12" fmla="*/ 3566583 h 4724403"/>
            <a:gd name="connsiteX13" fmla="*/ 1152544 w 4724400"/>
            <a:gd name="connsiteY13" fmla="*/ 3571850 h 4724403"/>
            <a:gd name="connsiteX14" fmla="*/ 774763 w 4724400"/>
            <a:gd name="connsiteY14" fmla="*/ 3949631 h 4724403"/>
            <a:gd name="connsiteX15" fmla="*/ 779355 w 4724400"/>
            <a:gd name="connsiteY15" fmla="*/ 4115680 h 4724403"/>
            <a:gd name="connsiteX16" fmla="*/ 2362200 w 4724400"/>
            <a:gd name="connsiteY16" fmla="*/ 4724404 h 4724403"/>
            <a:gd name="connsiteX17" fmla="*/ 4724400 w 4724400"/>
            <a:gd name="connsiteY17" fmla="*/ 2362223 h 4724403"/>
            <a:gd name="connsiteX18" fmla="*/ 2357866 w 4724400"/>
            <a:gd name="connsiteY18" fmla="*/ 4 h 472440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724400" h="4724403">
              <a:moveTo>
                <a:pt x="2357866" y="4"/>
              </a:moveTo>
              <a:cubicBezTo>
                <a:pt x="1726654" y="1137"/>
                <a:pt x="1153544" y="249873"/>
                <a:pt x="730425" y="654228"/>
              </a:cubicBezTo>
              <a:lnTo>
                <a:pt x="390249" y="314053"/>
              </a:lnTo>
              <a:cubicBezTo>
                <a:pt x="246231" y="170035"/>
                <a:pt x="0" y="272028"/>
                <a:pt x="0" y="475692"/>
              </a:cubicBezTo>
              <a:lnTo>
                <a:pt x="0" y="1752604"/>
              </a:lnTo>
              <a:cubicBezTo>
                <a:pt x="0" y="1878858"/>
                <a:pt x="102346" y="1981204"/>
                <a:pt x="228600" y="1981204"/>
              </a:cubicBezTo>
              <a:lnTo>
                <a:pt x="1505512" y="1981204"/>
              </a:lnTo>
              <a:cubicBezTo>
                <a:pt x="1709176" y="1981204"/>
                <a:pt x="1811169" y="1734973"/>
                <a:pt x="1667161" y="1590955"/>
              </a:cubicBezTo>
              <a:lnTo>
                <a:pt x="1269492" y="1193286"/>
              </a:lnTo>
              <a:cubicBezTo>
                <a:pt x="1563472" y="918023"/>
                <a:pt x="1943872" y="765547"/>
                <a:pt x="2348008" y="762061"/>
              </a:cubicBezTo>
              <a:cubicBezTo>
                <a:pt x="3228099" y="754460"/>
                <a:pt x="3969953" y="1466692"/>
                <a:pt x="3962343" y="2375996"/>
              </a:cubicBezTo>
              <a:cubicBezTo>
                <a:pt x="3955123" y="3238590"/>
                <a:pt x="3255798" y="3962404"/>
                <a:pt x="2362200" y="3962404"/>
              </a:cubicBezTo>
              <a:cubicBezTo>
                <a:pt x="1970465" y="3962404"/>
                <a:pt x="1600229" y="3822596"/>
                <a:pt x="1308449" y="3566583"/>
              </a:cubicBezTo>
              <a:cubicBezTo>
                <a:pt x="1263272" y="3526949"/>
                <a:pt x="1195045" y="3529359"/>
                <a:pt x="1152544" y="3571850"/>
              </a:cubicBezTo>
              <a:lnTo>
                <a:pt x="774763" y="3949631"/>
              </a:lnTo>
              <a:cubicBezTo>
                <a:pt x="728358" y="3996037"/>
                <a:pt x="730653" y="4071694"/>
                <a:pt x="779355" y="4115680"/>
              </a:cubicBezTo>
              <a:cubicBezTo>
                <a:pt x="1198226" y="4494023"/>
                <a:pt x="1753305" y="4724404"/>
                <a:pt x="2362200" y="4724404"/>
              </a:cubicBezTo>
              <a:cubicBezTo>
                <a:pt x="3666801" y="4724404"/>
                <a:pt x="4724391" y="3666815"/>
                <a:pt x="4724400" y="2362223"/>
              </a:cubicBezTo>
              <a:cubicBezTo>
                <a:pt x="4724410" y="1059117"/>
                <a:pt x="3660972" y="-2330"/>
                <a:pt x="2357866" y="4"/>
              </a:cubicBezTo>
              <a:close/>
            </a:path>
          </a:pathLst>
        </a:custGeom>
        <a:solidFill>
          <a:schemeClr val="bg1"/>
        </a:solidFill>
        <a:ln w="9525" cap="flat">
          <a:noFill/>
          <a:prstDash val="solid"/>
          <a:miter/>
        </a:ln>
      </xdr:spPr>
      <xdr:txBody>
        <a:bodyPr rtlCol="0" anchor="ctr"/>
        <a:lstStyle/>
        <a:p>
          <a:endParaRPr lang="en-US"/>
        </a:p>
      </xdr:txBody>
    </xdr:sp>
    <xdr:clientData/>
  </xdr:twoCellAnchor>
  <xdr:twoCellAnchor editAs="oneCell">
    <xdr:from>
      <xdr:col>16</xdr:col>
      <xdr:colOff>44824</xdr:colOff>
      <xdr:row>6</xdr:row>
      <xdr:rowOff>201706</xdr:rowOff>
    </xdr:from>
    <xdr:to>
      <xdr:col>17</xdr:col>
      <xdr:colOff>1355912</xdr:colOff>
      <xdr:row>6</xdr:row>
      <xdr:rowOff>601756</xdr:rowOff>
    </xdr:to>
    <xdr:pic>
      <xdr:nvPicPr>
        <xdr:cNvPr id="45" name="VIIM804d1bxeTO0SUmb33A==" descr="s_0_##md_0_model_frontpage_header|md_1_header_0_0#______#md_0_model_frontpage_header#s_0_fp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74599" y="201706"/>
          <a:ext cx="1692088"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41</xdr:col>
      <xdr:colOff>228601</xdr:colOff>
      <xdr:row>12</xdr:row>
      <xdr:rowOff>34637</xdr:rowOff>
    </xdr:from>
    <xdr:to>
      <xdr:col>44</xdr:col>
      <xdr:colOff>723900</xdr:colOff>
      <xdr:row>12</xdr:row>
      <xdr:rowOff>311727</xdr:rowOff>
    </xdr:to>
    <xdr:pic>
      <xdr:nvPicPr>
        <xdr:cNvPr id="4" name="g0+J/Xhz78jw0/qGEagnxg==" descr="s_0_##md_0_model_scenario-assumptions|md_2_scenarios_start|md_2_start_0_1#_______#md_0_model_scenario-assumptions__logo#s_2_rLogo"/>
        <xdr:cNvPicPr>
          <a:picLocks/>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a:xfrm>
          <a:off x="228601" y="34637"/>
          <a:ext cx="1257299" cy="2770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123825</xdr:colOff>
      <xdr:row>1</xdr:row>
      <xdr:rowOff>171451</xdr:rowOff>
    </xdr:from>
    <xdr:to>
      <xdr:col>9</xdr:col>
      <xdr:colOff>22860</xdr:colOff>
      <xdr:row>1</xdr:row>
      <xdr:rowOff>411481</xdr:rowOff>
    </xdr:to>
    <xdr:pic>
      <xdr:nvPicPr>
        <xdr:cNvPr id="2" name="img_logo">
          <a:extLst>
            <a:ext uri="{FF2B5EF4-FFF2-40B4-BE49-F238E27FC236}">
              <a16:creationId xmlns:a16="http://schemas.microsoft.com/office/drawing/2014/main" id="{00000000-0008-0000-2700-000002000000}"/>
            </a:ext>
          </a:extLst>
        </xdr:cNvPr>
        <xdr:cNvPicPr>
          <a:picLocks/>
        </xdr:cNvPicPr>
      </xdr:nvPicPr>
      <xdr:blipFill>
        <a:blip xmlns:r="http://schemas.openxmlformats.org/officeDocument/2006/relationships" r:embed="rId1" cstate="print">
          <a:biLevel thresh="25000"/>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tretch>
          <a:fillRect/>
        </a:stretch>
      </xdr:blipFill>
      <xdr:spPr>
        <a:xfrm>
          <a:off x="0" y="0"/>
          <a:ext cx="22860" cy="0"/>
        </a:xfrm>
        <a:prstGeom prst="rect">
          <a:avLst/>
        </a:prstGeom>
      </xdr:spPr>
    </xdr:pic>
    <xdr:clientData/>
  </xdr:twoCellAnchor>
  <xdr:twoCellAnchor>
    <xdr:from>
      <xdr:col>8</xdr:col>
      <xdr:colOff>126423</xdr:colOff>
      <xdr:row>1</xdr:row>
      <xdr:rowOff>787978</xdr:rowOff>
    </xdr:from>
    <xdr:to>
      <xdr:col>10</xdr:col>
      <xdr:colOff>100541</xdr:colOff>
      <xdr:row>1</xdr:row>
      <xdr:rowOff>1126644</xdr:rowOff>
    </xdr:to>
    <xdr:pic>
      <xdr:nvPicPr>
        <xdr:cNvPr id="3" name="img_clipboard">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205316" cy="0"/>
        </a:xfrm>
        <a:prstGeom prst="rect">
          <a:avLst/>
        </a:prstGeom>
      </xdr:spPr>
    </xdr:pic>
    <xdr:clientData/>
  </xdr:twoCellAnchor>
  <xdr:twoCellAnchor>
    <xdr:from>
      <xdr:col>24</xdr:col>
      <xdr:colOff>119742</xdr:colOff>
      <xdr:row>0</xdr:row>
      <xdr:rowOff>0</xdr:rowOff>
    </xdr:from>
    <xdr:to>
      <xdr:col>39</xdr:col>
      <xdr:colOff>101558</xdr:colOff>
      <xdr:row>0</xdr:row>
      <xdr:rowOff>0</xdr:rowOff>
    </xdr:to>
    <xdr:grpSp>
      <xdr:nvGrpSpPr>
        <xdr:cNvPr id="4" name="svg_risks" descr="s_0_##md_0_model_reporting_header|md_3_header_title|md_3_start_line1b_0|md_3_risks-matrix_0#__________#md_0_model_reporting_dashboard_l1b#s_0_risks">
          <a:extLst>
            <a:ext uri="{FF2B5EF4-FFF2-40B4-BE49-F238E27FC236}">
              <a16:creationId xmlns:a16="http://schemas.microsoft.com/office/drawing/2014/main" id="{00000000-0008-0000-2700-000004000000}"/>
            </a:ext>
          </a:extLst>
        </xdr:cNvPr>
        <xdr:cNvGrpSpPr/>
      </xdr:nvGrpSpPr>
      <xdr:grpSpPr>
        <a:xfrm>
          <a:off x="8073117" y="0"/>
          <a:ext cx="6696941" cy="0"/>
          <a:chOff x="16803092" y="1691915"/>
          <a:chExt cx="7907480" cy="4227192"/>
        </a:xfrm>
      </xdr:grpSpPr>
      <xdr:cxnSp macro="">
        <xdr:nvCxnSpPr>
          <xdr:cNvPr id="5" name="risks_0_0">
            <a:extLst>
              <a:ext uri="{FF2B5EF4-FFF2-40B4-BE49-F238E27FC236}">
                <a16:creationId xmlns:a16="http://schemas.microsoft.com/office/drawing/2014/main" id="{00000000-0008-0000-2700-000005000000}"/>
              </a:ext>
            </a:extLst>
          </xdr:cNvPr>
          <xdr:cNvCxnSpPr>
            <a:stCxn id="33" idx="0"/>
            <a:endCxn id="38" idx="0"/>
          </xdr:cNvCxnSpPr>
        </xdr:nvCxnSpPr>
        <xdr:spPr>
          <a:xfrm rot="10800000" flipH="1" flipV="1">
            <a:off x="17436190" y="2185262"/>
            <a:ext cx="7172919" cy="3198143"/>
          </a:xfrm>
          <a:prstGeom prst="bentConnector3">
            <a:avLst>
              <a:gd name="adj1" fmla="val -70"/>
            </a:avLst>
          </a:prstGeom>
          <a:ln w="12700">
            <a:solidFill>
              <a:srgbClr val="CDCDCD"/>
            </a:solidFill>
          </a:ln>
        </xdr:spPr>
        <xdr:style>
          <a:lnRef idx="1">
            <a:schemeClr val="dk1"/>
          </a:lnRef>
          <a:fillRef idx="0">
            <a:schemeClr val="dk1"/>
          </a:fillRef>
          <a:effectRef idx="0">
            <a:schemeClr val="dk1"/>
          </a:effectRef>
          <a:fontRef idx="minor">
            <a:schemeClr val="tx1"/>
          </a:fontRef>
        </xdr:style>
      </xdr:cxnSp>
      <xdr:sp macro="" textlink="">
        <xdr:nvSpPr>
          <xdr:cNvPr id="6" name="risks_5_5">
            <a:extLst>
              <a:ext uri="{FF2B5EF4-FFF2-40B4-BE49-F238E27FC236}">
                <a16:creationId xmlns:a16="http://schemas.microsoft.com/office/drawing/2014/main" id="{00000000-0008-0000-2700-000006000000}"/>
              </a:ext>
            </a:extLst>
          </xdr:cNvPr>
          <xdr:cNvSpPr/>
        </xdr:nvSpPr>
        <xdr:spPr>
          <a:xfrm flipH="1">
            <a:off x="23300214" y="2185681"/>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solidFill>
            <a:srgbClr val="FF8080"/>
          </a:solidFill>
          <a:ln>
            <a:noFill/>
          </a:ln>
          <a:effectLst/>
          <a:extLst>
            <a:ext uri="{91240B29-F687-4F45-9708-019B960494DF}">
              <a14:hiddenLine xmlns:a14="http://schemas.microsoft.com/office/drawing/2010/main">
                <a:noFill/>
              </a14:hiddenLine>
            </a:ext>
            <a:ext uri="{AF507438-7753-43E0-B8FC-AC1667EBCBE1}">
              <a14:hiddenEffects xmlns:a14="http://schemas.microsoft.com/office/drawing/2010/main">
                <a:effectLst>
                  <a:innerShdw blurRad="25400" dist="25145" dir="18900000">
                    <a:scrgbClr r="0" g="0" b="0">
                      <a:alpha val="30000"/>
                    </a:scrgbClr>
                  </a:innerShdw>
                </a:effectLst>
              </a14:hiddenEffects>
            </a:ext>
          </a:extLst>
        </xdr:spPr>
        <xdr:style>
          <a:lnRef idx="0">
            <a:schemeClr val="lt1">
              <a:hueOff val="0"/>
              <a:satOff val="0"/>
              <a:lumOff val="0"/>
              <a:alphaOff val="0"/>
            </a:schemeClr>
          </a:lnRef>
          <a:fillRef idx="3">
            <a:schemeClr val="accent2">
              <a:hueOff val="0"/>
              <a:satOff val="0"/>
              <a:lumOff val="0"/>
              <a:alphaOff val="0"/>
            </a:schemeClr>
          </a:fillRef>
          <a:effectRef idx="3">
            <a:schemeClr val="accent2">
              <a:hueOff val="0"/>
              <a:satOff val="0"/>
              <a:lumOff val="0"/>
              <a:alphaOff val="0"/>
            </a:schemeClr>
          </a:effectRef>
          <a:fontRef idx="minor">
            <a:schemeClr val="lt1"/>
          </a:fontRef>
        </xdr:style>
        <xdr:txBody>
          <a:bodyPr spcFirstLastPara="0" vert="horz" wrap="square" lIns="38100" tIns="38100" rIns="38100" bIns="38100" numCol="1" spcCol="1270" anchor="ctr" anchorCtr="0">
            <a:noAutofit/>
          </a:bodyPr>
          <a:lstStyle/>
          <a:p>
            <a:pPr lvl="0" indent="0" algn="ctr" defTabSz="444500">
              <a:lnSpc>
                <a:spcPct val="90000"/>
              </a:lnSpc>
              <a:spcBef>
                <a:spcPct val="0"/>
              </a:spcBef>
              <a:spcAft>
                <a:spcPct val="35000"/>
              </a:spcAft>
            </a:pPr>
            <a:r>
              <a:rPr lang="en-US" sz="800" b="1" kern="1200">
                <a:solidFill>
                  <a:srgbClr val="000000"/>
                </a:solidFill>
                <a:latin typeface="Arial" panose="020B0604020202020204" pitchFamily="34" charset="0"/>
                <a:cs typeface="Arial" panose="020B0604020202020204" pitchFamily="34" charset="0"/>
              </a:rPr>
              <a:t> </a:t>
            </a:r>
          </a:p>
        </xdr:txBody>
      </xdr:sp>
      <xdr:sp macro="" textlink="">
        <xdr:nvSpPr>
          <xdr:cNvPr id="7" name="risks_4_5">
            <a:extLst>
              <a:ext uri="{FF2B5EF4-FFF2-40B4-BE49-F238E27FC236}">
                <a16:creationId xmlns:a16="http://schemas.microsoft.com/office/drawing/2014/main" id="{00000000-0008-0000-2700-000007000000}"/>
              </a:ext>
            </a:extLst>
          </xdr:cNvPr>
          <xdr:cNvSpPr/>
        </xdr:nvSpPr>
        <xdr:spPr>
          <a:xfrm flipH="1">
            <a:off x="21855567" y="2185681"/>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solidFill>
            <a:srgbClr val="FF8080"/>
          </a:solidFill>
          <a:ln>
            <a:noFill/>
          </a:ln>
          <a:effectLst/>
          <a:extLst>
            <a:ext uri="{91240B29-F687-4F45-9708-019B960494DF}">
              <a14:hiddenLine xmlns:a14="http://schemas.microsoft.com/office/drawing/2010/main">
                <a:noFill/>
              </a14:hiddenLine>
            </a:ext>
            <a:ext uri="{AF507438-7753-43E0-B8FC-AC1667EBCBE1}">
              <a14:hiddenEffects xmlns:a14="http://schemas.microsoft.com/office/drawing/2010/main">
                <a:effectLst>
                  <a:innerShdw blurRad="25400" dist="25145" dir="18900000">
                    <a:scrgbClr r="0" g="0" b="0">
                      <a:alpha val="30000"/>
                    </a:scrgbClr>
                  </a:innerShdw>
                </a:effectLst>
              </a14:hiddenEffects>
            </a:ext>
          </a:extLst>
        </xdr:spPr>
        <xdr:style>
          <a:lnRef idx="0">
            <a:schemeClr val="lt1">
              <a:hueOff val="0"/>
              <a:satOff val="0"/>
              <a:lumOff val="0"/>
              <a:alphaOff val="0"/>
            </a:schemeClr>
          </a:lnRef>
          <a:fillRef idx="3">
            <a:schemeClr val="accent2">
              <a:hueOff val="195063"/>
              <a:satOff val="-243"/>
              <a:lumOff val="57"/>
              <a:alphaOff val="0"/>
            </a:schemeClr>
          </a:fillRef>
          <a:effectRef idx="3">
            <a:schemeClr val="accent2">
              <a:hueOff val="195063"/>
              <a:satOff val="-243"/>
              <a:lumOff val="57"/>
              <a:alphaOff val="0"/>
            </a:schemeClr>
          </a:effectRef>
          <a:fontRef idx="minor">
            <a:schemeClr val="lt1"/>
          </a:fontRef>
        </xdr:style>
        <xdr:txBody>
          <a:bodyPr spcFirstLastPara="0" vert="horz" wrap="square" lIns="38100" tIns="38100" rIns="38100" bIns="38100" numCol="1" spcCol="1270" anchor="ctr" anchorCtr="0">
            <a:noAutofit/>
          </a:bodyPr>
          <a:lstStyle/>
          <a:p>
            <a:pPr lvl="0" indent="0" algn="ctr" defTabSz="444500">
              <a:lnSpc>
                <a:spcPct val="90000"/>
              </a:lnSpc>
              <a:spcBef>
                <a:spcPct val="0"/>
              </a:spcBef>
              <a:spcAft>
                <a:spcPct val="35000"/>
              </a:spcAft>
            </a:pPr>
            <a:r>
              <a:rPr lang="en-US" sz="800" b="1" kern="1200">
                <a:solidFill>
                  <a:srgbClr val="000000"/>
                </a:solidFill>
                <a:latin typeface="Arial" panose="020B0604020202020204" pitchFamily="34" charset="0"/>
                <a:cs typeface="Arial" panose="020B0604020202020204" pitchFamily="34" charset="0"/>
              </a:rPr>
              <a:t> </a:t>
            </a:r>
          </a:p>
        </xdr:txBody>
      </xdr:sp>
      <xdr:sp macro="" textlink="">
        <xdr:nvSpPr>
          <xdr:cNvPr id="8" name="risks_3_5">
            <a:extLst>
              <a:ext uri="{FF2B5EF4-FFF2-40B4-BE49-F238E27FC236}">
                <a16:creationId xmlns:a16="http://schemas.microsoft.com/office/drawing/2014/main" id="{00000000-0008-0000-2700-000008000000}"/>
              </a:ext>
            </a:extLst>
          </xdr:cNvPr>
          <xdr:cNvSpPr/>
        </xdr:nvSpPr>
        <xdr:spPr>
          <a:xfrm flipH="1">
            <a:off x="20410918" y="2185681"/>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solidFill>
            <a:srgbClr val="FF8080"/>
          </a:solidFill>
          <a:ln>
            <a:noFill/>
          </a:ln>
          <a:effectLst>
            <a:innerShdw blurRad="25400" dist="25145" dir="18900000">
              <a:scrgbClr r="0" g="0" b="0">
                <a:alpha val="30000"/>
              </a:scrgbClr>
            </a:innerShdw>
          </a:effectLst>
          <a:extLst>
            <a:ext uri="{91240B29-F687-4F45-9708-019B960494DF}">
              <a14:hiddenLine xmlns:a14="http://schemas.microsoft.com/office/drawing/2010/main">
                <a:noFill/>
              </a14:hiddenLine>
            </a:ext>
          </a:extLst>
        </xdr:spPr>
        <xdr:style>
          <a:lnRef idx="0">
            <a:schemeClr val="lt1">
              <a:hueOff val="0"/>
              <a:satOff val="0"/>
              <a:lumOff val="0"/>
              <a:alphaOff val="0"/>
            </a:schemeClr>
          </a:lnRef>
          <a:fillRef idx="3">
            <a:schemeClr val="accent2">
              <a:hueOff val="195063"/>
              <a:satOff val="-243"/>
              <a:lumOff val="57"/>
              <a:alphaOff val="0"/>
            </a:schemeClr>
          </a:fillRef>
          <a:effectRef idx="3">
            <a:schemeClr val="accent2">
              <a:hueOff val="195063"/>
              <a:satOff val="-243"/>
              <a:lumOff val="57"/>
              <a:alphaOff val="0"/>
            </a:schemeClr>
          </a:effectRef>
          <a:fontRef idx="minor">
            <a:schemeClr val="lt1"/>
          </a:fontRef>
        </xdr:style>
        <xdr: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pPr>
            <a:r>
              <a:rPr lang="en-US" sz="800" b="1" kern="1200">
                <a:solidFill>
                  <a:srgbClr val="000000"/>
                </a:solidFill>
                <a:latin typeface="Arial" panose="020B0604020202020204" pitchFamily="34" charset="0"/>
                <a:ea typeface="+mn-ea"/>
                <a:cs typeface="Arial" panose="020B0604020202020204" pitchFamily="34" charset="0"/>
              </a:rPr>
              <a:t>R5</a:t>
            </a:r>
          </a:p>
        </xdr:txBody>
      </xdr:sp>
      <xdr:sp macro="" textlink="">
        <xdr:nvSpPr>
          <xdr:cNvPr id="9" name="risks_2_5">
            <a:extLst>
              <a:ext uri="{FF2B5EF4-FFF2-40B4-BE49-F238E27FC236}">
                <a16:creationId xmlns:a16="http://schemas.microsoft.com/office/drawing/2014/main" id="{00000000-0008-0000-2700-000009000000}"/>
              </a:ext>
            </a:extLst>
          </xdr:cNvPr>
          <xdr:cNvSpPr/>
        </xdr:nvSpPr>
        <xdr:spPr>
          <a:xfrm flipH="1">
            <a:off x="18966271" y="2185681"/>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solidFill>
            <a:srgbClr val="FF8080"/>
          </a:solidFill>
          <a:ln>
            <a:noFill/>
          </a:ln>
          <a:effectLst/>
          <a:extLst>
            <a:ext uri="{91240B29-F687-4F45-9708-019B960494DF}">
              <a14:hiddenLine xmlns:a14="http://schemas.microsoft.com/office/drawing/2010/main">
                <a:noFill/>
              </a14:hiddenLine>
            </a:ext>
            <a:ext uri="{AF507438-7753-43E0-B8FC-AC1667EBCBE1}">
              <a14:hiddenEffects xmlns:a14="http://schemas.microsoft.com/office/drawing/2010/main">
                <a:effectLst>
                  <a:innerShdw blurRad="25400" dist="25145" dir="18900000">
                    <a:scrgbClr r="0" g="0" b="0">
                      <a:alpha val="30000"/>
                    </a:scrgbClr>
                  </a:innerShdw>
                </a:effectLst>
              </a14:hiddenEffects>
            </a:ext>
          </a:extLst>
        </xdr:spPr>
        <xdr:style>
          <a:lnRef idx="0">
            <a:schemeClr val="lt1">
              <a:hueOff val="0"/>
              <a:satOff val="0"/>
              <a:lumOff val="0"/>
              <a:alphaOff val="0"/>
            </a:schemeClr>
          </a:lnRef>
          <a:fillRef idx="3">
            <a:schemeClr val="accent2">
              <a:hueOff val="585190"/>
              <a:satOff val="-730"/>
              <a:lumOff val="172"/>
              <a:alphaOff val="0"/>
            </a:schemeClr>
          </a:fillRef>
          <a:effectRef idx="3">
            <a:schemeClr val="accent2">
              <a:hueOff val="585190"/>
              <a:satOff val="-730"/>
              <a:lumOff val="172"/>
              <a:alphaOff val="0"/>
            </a:schemeClr>
          </a:effectRef>
          <a:fontRef idx="minor">
            <a:schemeClr val="lt1"/>
          </a:fontRef>
        </xdr:style>
        <xdr:txBody>
          <a:bodyPr spcFirstLastPara="0" vert="horz" wrap="square" lIns="38100" tIns="38100" rIns="38100" bIns="38100" numCol="1" spcCol="1270" anchor="ctr" anchorCtr="0">
            <a:noAutofit/>
          </a:bodyPr>
          <a:lstStyle/>
          <a:p>
            <a:pPr lvl="0" indent="0" algn="ctr" defTabSz="444500">
              <a:lnSpc>
                <a:spcPct val="90000"/>
              </a:lnSpc>
              <a:spcBef>
                <a:spcPct val="0"/>
              </a:spcBef>
              <a:spcAft>
                <a:spcPct val="35000"/>
              </a:spcAft>
            </a:pPr>
            <a:r>
              <a:rPr lang="en-US" sz="800" b="1" kern="1200">
                <a:solidFill>
                  <a:srgbClr val="000000"/>
                </a:solidFill>
                <a:latin typeface="Arial" panose="020B0604020202020204" pitchFamily="34" charset="0"/>
                <a:cs typeface="Arial" panose="020B0604020202020204" pitchFamily="34" charset="0"/>
              </a:rPr>
              <a:t> </a:t>
            </a:r>
          </a:p>
        </xdr:txBody>
      </xdr:sp>
      <xdr:sp macro="" textlink="">
        <xdr:nvSpPr>
          <xdr:cNvPr id="10" name="risks_1_5">
            <a:extLst>
              <a:ext uri="{FF2B5EF4-FFF2-40B4-BE49-F238E27FC236}">
                <a16:creationId xmlns:a16="http://schemas.microsoft.com/office/drawing/2014/main" id="{00000000-0008-0000-2700-00000A000000}"/>
              </a:ext>
            </a:extLst>
          </xdr:cNvPr>
          <xdr:cNvSpPr/>
        </xdr:nvSpPr>
        <xdr:spPr>
          <a:xfrm flipH="1">
            <a:off x="17521622" y="2185681"/>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solidFill>
            <a:srgbClr val="FFFF80"/>
          </a:solidFill>
          <a:ln>
            <a:noFill/>
          </a:ln>
          <a:effectLst>
            <a:innerShdw blurRad="25400" dist="25145" dir="18900000">
              <a:scrgbClr r="0" g="0" b="0">
                <a:alpha val="30000"/>
              </a:scrgbClr>
            </a:innerShdw>
          </a:effectLst>
          <a:extLst>
            <a:ext uri="{91240B29-F687-4F45-9708-019B960494DF}">
              <a14:hiddenLine xmlns:a14="http://schemas.microsoft.com/office/drawing/2010/main">
                <a:noFill/>
              </a14:hiddenLine>
            </a:ext>
          </a:extLst>
        </xdr:spPr>
        <xdr:style>
          <a:lnRef idx="0">
            <a:schemeClr val="lt1">
              <a:hueOff val="0"/>
              <a:satOff val="0"/>
              <a:lumOff val="0"/>
              <a:alphaOff val="0"/>
            </a:schemeClr>
          </a:lnRef>
          <a:fillRef idx="3">
            <a:schemeClr val="accent2">
              <a:hueOff val="780253"/>
              <a:satOff val="-973"/>
              <a:lumOff val="229"/>
              <a:alphaOff val="0"/>
            </a:schemeClr>
          </a:fillRef>
          <a:effectRef idx="3">
            <a:schemeClr val="accent2">
              <a:hueOff val="780253"/>
              <a:satOff val="-973"/>
              <a:lumOff val="229"/>
              <a:alphaOff val="0"/>
            </a:schemeClr>
          </a:effectRef>
          <a:fontRef idx="minor">
            <a:schemeClr val="lt1"/>
          </a:fontRef>
        </xdr:style>
        <xdr:txBody>
          <a:bodyPr spcFirstLastPara="0" vert="horz" wrap="square" lIns="38100" tIns="38100" rIns="38100" bIns="38100" numCol="1" spcCol="1270" anchor="ctr" anchorCtr="0">
            <a:noAutofit/>
          </a:bodyPr>
          <a:lstStyle/>
          <a:p>
            <a:pPr lvl="0" indent="0" algn="ctr" defTabSz="444500">
              <a:lnSpc>
                <a:spcPct val="90000"/>
              </a:lnSpc>
              <a:spcBef>
                <a:spcPct val="0"/>
              </a:spcBef>
              <a:spcAft>
                <a:spcPct val="35000"/>
              </a:spcAft>
            </a:pPr>
            <a:r>
              <a:rPr lang="en-US" sz="800" b="1" kern="1200">
                <a:solidFill>
                  <a:srgbClr val="000000"/>
                </a:solidFill>
                <a:latin typeface="Arial" panose="020B0604020202020204" pitchFamily="34" charset="0"/>
                <a:cs typeface="Arial" panose="020B0604020202020204" pitchFamily="34" charset="0"/>
              </a:rPr>
              <a:t>R3</a:t>
            </a:r>
          </a:p>
        </xdr:txBody>
      </xdr:sp>
      <xdr:sp macro="" textlink="">
        <xdr:nvSpPr>
          <xdr:cNvPr id="11" name="risks_5_4">
            <a:extLst>
              <a:ext uri="{FF2B5EF4-FFF2-40B4-BE49-F238E27FC236}">
                <a16:creationId xmlns:a16="http://schemas.microsoft.com/office/drawing/2014/main" id="{00000000-0008-0000-2700-00000B000000}"/>
              </a:ext>
            </a:extLst>
          </xdr:cNvPr>
          <xdr:cNvSpPr/>
        </xdr:nvSpPr>
        <xdr:spPr>
          <a:xfrm flipH="1">
            <a:off x="23300214" y="2810674"/>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solidFill>
            <a:srgbClr val="FF8080"/>
          </a:solidFill>
          <a:ln>
            <a:noFill/>
          </a:ln>
          <a:effectLst/>
          <a:extLst>
            <a:ext uri="{91240B29-F687-4F45-9708-019B960494DF}">
              <a14:hiddenLine xmlns:a14="http://schemas.microsoft.com/office/drawing/2010/main">
                <a:noFill/>
              </a14:hiddenLine>
            </a:ext>
            <a:ext uri="{AF507438-7753-43E0-B8FC-AC1667EBCBE1}">
              <a14:hiddenEffects xmlns:a14="http://schemas.microsoft.com/office/drawing/2010/main">
                <a:effectLst>
                  <a:innerShdw blurRad="25400" dist="25145" dir="18900000">
                    <a:scrgbClr r="0" g="0" b="0">
                      <a:alpha val="30000"/>
                    </a:scrgbClr>
                  </a:innerShdw>
                </a:effectLst>
              </a14:hiddenEffects>
            </a:ext>
          </a:extLst>
        </xdr:spPr>
        <xdr:style>
          <a:lnRef idx="0">
            <a:schemeClr val="lt1">
              <a:hueOff val="0"/>
              <a:satOff val="0"/>
              <a:lumOff val="0"/>
              <a:alphaOff val="0"/>
            </a:schemeClr>
          </a:lnRef>
          <a:fillRef idx="3">
            <a:schemeClr val="accent2">
              <a:hueOff val="975316"/>
              <a:satOff val="-1216"/>
              <a:lumOff val="286"/>
              <a:alphaOff val="0"/>
            </a:schemeClr>
          </a:fillRef>
          <a:effectRef idx="3">
            <a:schemeClr val="accent2">
              <a:hueOff val="975316"/>
              <a:satOff val="-1216"/>
              <a:lumOff val="286"/>
              <a:alphaOff val="0"/>
            </a:schemeClr>
          </a:effectRef>
          <a:fontRef idx="minor">
            <a:schemeClr val="lt1"/>
          </a:fontRef>
        </xdr:style>
        <xdr:txBody>
          <a:bodyPr spcFirstLastPara="0" vert="horz" wrap="square" lIns="38100" tIns="38100" rIns="38100" bIns="38100" numCol="1" spcCol="1270" anchor="ctr" anchorCtr="0">
            <a:noAutofit/>
          </a:bodyPr>
          <a:lstStyle/>
          <a:p>
            <a:pPr lvl="0" indent="0" algn="ctr" defTabSz="444500">
              <a:lnSpc>
                <a:spcPct val="90000"/>
              </a:lnSpc>
              <a:spcBef>
                <a:spcPct val="0"/>
              </a:spcBef>
              <a:spcAft>
                <a:spcPct val="35000"/>
              </a:spcAft>
            </a:pPr>
            <a:r>
              <a:rPr lang="en-US" sz="800" b="1" kern="1200">
                <a:solidFill>
                  <a:srgbClr val="000000"/>
                </a:solidFill>
                <a:latin typeface="Arial" panose="020B0604020202020204" pitchFamily="34" charset="0"/>
                <a:cs typeface="Arial" panose="020B0604020202020204" pitchFamily="34" charset="0"/>
              </a:rPr>
              <a:t> </a:t>
            </a:r>
          </a:p>
        </xdr:txBody>
      </xdr:sp>
      <xdr:sp macro="" textlink="">
        <xdr:nvSpPr>
          <xdr:cNvPr id="12" name="risks_4_4">
            <a:extLst>
              <a:ext uri="{FF2B5EF4-FFF2-40B4-BE49-F238E27FC236}">
                <a16:creationId xmlns:a16="http://schemas.microsoft.com/office/drawing/2014/main" id="{00000000-0008-0000-2700-00000C000000}"/>
              </a:ext>
            </a:extLst>
          </xdr:cNvPr>
          <xdr:cNvSpPr/>
        </xdr:nvSpPr>
        <xdr:spPr>
          <a:xfrm flipH="1">
            <a:off x="21855567" y="2810674"/>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solidFill>
            <a:srgbClr val="FF8080"/>
          </a:solidFill>
          <a:ln>
            <a:noFill/>
          </a:ln>
          <a:effectLst/>
          <a:extLst>
            <a:ext uri="{91240B29-F687-4F45-9708-019B960494DF}">
              <a14:hiddenLine xmlns:a14="http://schemas.microsoft.com/office/drawing/2010/main">
                <a:noFill/>
              </a14:hiddenLine>
            </a:ext>
            <a:ext uri="{AF507438-7753-43E0-B8FC-AC1667EBCBE1}">
              <a14:hiddenEffects xmlns:a14="http://schemas.microsoft.com/office/drawing/2010/main">
                <a:effectLst>
                  <a:innerShdw blurRad="25400" dist="25145" dir="18900000">
                    <a:scrgbClr r="0" g="0" b="0">
                      <a:alpha val="30000"/>
                    </a:scrgbClr>
                  </a:innerShdw>
                </a:effectLst>
              </a14:hiddenEffects>
            </a:ext>
          </a:extLst>
        </xdr:spPr>
        <xdr:style>
          <a:lnRef idx="0">
            <a:schemeClr val="lt1">
              <a:hueOff val="0"/>
              <a:satOff val="0"/>
              <a:lumOff val="0"/>
              <a:alphaOff val="0"/>
            </a:schemeClr>
          </a:lnRef>
          <a:fillRef idx="3">
            <a:schemeClr val="accent2">
              <a:hueOff val="1170380"/>
              <a:satOff val="-1460"/>
              <a:lumOff val="343"/>
              <a:alphaOff val="0"/>
            </a:schemeClr>
          </a:fillRef>
          <a:effectRef idx="3">
            <a:schemeClr val="accent2">
              <a:hueOff val="1170380"/>
              <a:satOff val="-1460"/>
              <a:lumOff val="343"/>
              <a:alphaOff val="0"/>
            </a:schemeClr>
          </a:effectRef>
          <a:fontRef idx="minor">
            <a:schemeClr val="lt1"/>
          </a:fontRef>
        </xdr:style>
        <xdr:txBody>
          <a:bodyPr spcFirstLastPara="0" vert="horz" wrap="square" lIns="38100" tIns="38100" rIns="38100" bIns="38100" numCol="1" spcCol="1270" anchor="ctr" anchorCtr="0">
            <a:noAutofit/>
          </a:bodyPr>
          <a:lstStyle/>
          <a:p>
            <a:pPr lvl="0" indent="0" algn="ctr" defTabSz="444500">
              <a:lnSpc>
                <a:spcPct val="90000"/>
              </a:lnSpc>
              <a:spcBef>
                <a:spcPct val="0"/>
              </a:spcBef>
              <a:spcAft>
                <a:spcPct val="35000"/>
              </a:spcAft>
            </a:pPr>
            <a:r>
              <a:rPr lang="en-US" sz="800" b="1" kern="1200">
                <a:solidFill>
                  <a:srgbClr val="000000"/>
                </a:solidFill>
                <a:latin typeface="Arial" panose="020B0604020202020204" pitchFamily="34" charset="0"/>
                <a:cs typeface="Arial" panose="020B0604020202020204" pitchFamily="34" charset="0"/>
              </a:rPr>
              <a:t> </a:t>
            </a:r>
          </a:p>
        </xdr:txBody>
      </xdr:sp>
      <xdr:sp macro="" textlink="">
        <xdr:nvSpPr>
          <xdr:cNvPr id="13" name="risks_3_4">
            <a:extLst>
              <a:ext uri="{FF2B5EF4-FFF2-40B4-BE49-F238E27FC236}">
                <a16:creationId xmlns:a16="http://schemas.microsoft.com/office/drawing/2014/main" id="{00000000-0008-0000-2700-00000D000000}"/>
              </a:ext>
            </a:extLst>
          </xdr:cNvPr>
          <xdr:cNvSpPr/>
        </xdr:nvSpPr>
        <xdr:spPr>
          <a:xfrm flipH="1">
            <a:off x="20410918" y="2810674"/>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solidFill>
            <a:srgbClr val="FF8080"/>
          </a:solidFill>
          <a:ln>
            <a:noFill/>
          </a:ln>
          <a:effectLst/>
          <a:extLst>
            <a:ext uri="{91240B29-F687-4F45-9708-019B960494DF}">
              <a14:hiddenLine xmlns:a14="http://schemas.microsoft.com/office/drawing/2010/main">
                <a:noFill/>
              </a14:hiddenLine>
            </a:ext>
            <a:ext uri="{AF507438-7753-43E0-B8FC-AC1667EBCBE1}">
              <a14:hiddenEffects xmlns:a14="http://schemas.microsoft.com/office/drawing/2010/main">
                <a:effectLst>
                  <a:innerShdw blurRad="25400" dist="25145" dir="18900000">
                    <a:scrgbClr r="0" g="0" b="0">
                      <a:alpha val="30000"/>
                    </a:scrgbClr>
                  </a:innerShdw>
                </a:effectLst>
              </a14:hiddenEffects>
            </a:ext>
          </a:extLst>
        </xdr:spPr>
        <xdr:style>
          <a:lnRef idx="0">
            <a:schemeClr val="lt1">
              <a:hueOff val="0"/>
              <a:satOff val="0"/>
              <a:lumOff val="0"/>
              <a:alphaOff val="0"/>
            </a:schemeClr>
          </a:lnRef>
          <a:fillRef idx="3">
            <a:schemeClr val="accent2">
              <a:hueOff val="1365443"/>
              <a:satOff val="-1703"/>
              <a:lumOff val="400"/>
              <a:alphaOff val="0"/>
            </a:schemeClr>
          </a:fillRef>
          <a:effectRef idx="3">
            <a:schemeClr val="accent2">
              <a:hueOff val="1365443"/>
              <a:satOff val="-1703"/>
              <a:lumOff val="400"/>
              <a:alphaOff val="0"/>
            </a:schemeClr>
          </a:effectRef>
          <a:fontRef idx="minor">
            <a:schemeClr val="lt1"/>
          </a:fontRef>
        </xdr:style>
        <xdr:txBody>
          <a:bodyPr spcFirstLastPara="0" vert="horz" wrap="square" lIns="38100" tIns="38100" rIns="38100" bIns="38100" numCol="1" spcCol="1270" anchor="ctr" anchorCtr="0">
            <a:noAutofit/>
          </a:bodyPr>
          <a:lstStyle/>
          <a:p>
            <a:pPr lvl="0" indent="0" algn="ctr" defTabSz="444500">
              <a:lnSpc>
                <a:spcPct val="90000"/>
              </a:lnSpc>
              <a:spcBef>
                <a:spcPct val="0"/>
              </a:spcBef>
              <a:spcAft>
                <a:spcPct val="35000"/>
              </a:spcAft>
            </a:pPr>
            <a:r>
              <a:rPr lang="en-US" sz="800" b="1" kern="1200">
                <a:solidFill>
                  <a:srgbClr val="000000"/>
                </a:solidFill>
                <a:latin typeface="Arial" panose="020B0604020202020204" pitchFamily="34" charset="0"/>
                <a:cs typeface="Arial" panose="020B0604020202020204" pitchFamily="34" charset="0"/>
              </a:rPr>
              <a:t> </a:t>
            </a:r>
          </a:p>
        </xdr:txBody>
      </xdr:sp>
      <xdr:sp macro="" textlink="">
        <xdr:nvSpPr>
          <xdr:cNvPr id="14" name="risks_2_4">
            <a:extLst>
              <a:ext uri="{FF2B5EF4-FFF2-40B4-BE49-F238E27FC236}">
                <a16:creationId xmlns:a16="http://schemas.microsoft.com/office/drawing/2014/main" id="{00000000-0008-0000-2700-00000E000000}"/>
              </a:ext>
            </a:extLst>
          </xdr:cNvPr>
          <xdr:cNvSpPr/>
        </xdr:nvSpPr>
        <xdr:spPr>
          <a:xfrm flipH="1">
            <a:off x="18966271" y="2810674"/>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solidFill>
            <a:srgbClr val="FFFF80"/>
          </a:solidFill>
          <a:ln>
            <a:noFill/>
          </a:ln>
          <a:effectLst/>
          <a:extLst>
            <a:ext uri="{91240B29-F687-4F45-9708-019B960494DF}">
              <a14:hiddenLine xmlns:a14="http://schemas.microsoft.com/office/drawing/2010/main">
                <a:noFill/>
              </a14:hiddenLine>
            </a:ext>
            <a:ext uri="{AF507438-7753-43E0-B8FC-AC1667EBCBE1}">
              <a14:hiddenEffects xmlns:a14="http://schemas.microsoft.com/office/drawing/2010/main">
                <a:effectLst>
                  <a:innerShdw blurRad="25400" dist="25145" dir="18900000">
                    <a:scrgbClr r="0" g="0" b="0">
                      <a:alpha val="30000"/>
                    </a:scrgbClr>
                  </a:innerShdw>
                </a:effectLst>
              </a14:hiddenEffects>
            </a:ext>
          </a:extLst>
        </xdr:spPr>
        <xdr:style>
          <a:lnRef idx="0">
            <a:schemeClr val="lt1">
              <a:hueOff val="0"/>
              <a:satOff val="0"/>
              <a:lumOff val="0"/>
              <a:alphaOff val="0"/>
            </a:schemeClr>
          </a:lnRef>
          <a:fillRef idx="3">
            <a:schemeClr val="accent2">
              <a:hueOff val="1560506"/>
              <a:satOff val="-1946"/>
              <a:lumOff val="458"/>
              <a:alphaOff val="0"/>
            </a:schemeClr>
          </a:fillRef>
          <a:effectRef idx="3">
            <a:schemeClr val="accent2">
              <a:hueOff val="1560506"/>
              <a:satOff val="-1946"/>
              <a:lumOff val="458"/>
              <a:alphaOff val="0"/>
            </a:schemeClr>
          </a:effectRef>
          <a:fontRef idx="minor">
            <a:schemeClr val="lt1"/>
          </a:fontRef>
        </xdr:style>
        <xdr:txBody>
          <a:bodyPr spcFirstLastPara="0" vert="horz" wrap="square" lIns="38100" tIns="38100" rIns="38100" bIns="38100" numCol="1" spcCol="1270" anchor="ctr" anchorCtr="0">
            <a:noAutofit/>
          </a:bodyPr>
          <a:lstStyle/>
          <a:p>
            <a:pPr lvl="0" indent="0" algn="ctr" defTabSz="444500">
              <a:lnSpc>
                <a:spcPct val="90000"/>
              </a:lnSpc>
              <a:spcBef>
                <a:spcPct val="0"/>
              </a:spcBef>
              <a:spcAft>
                <a:spcPct val="35000"/>
              </a:spcAft>
            </a:pPr>
            <a:r>
              <a:rPr lang="en-US" sz="800" b="1" kern="1200">
                <a:solidFill>
                  <a:srgbClr val="000000"/>
                </a:solidFill>
                <a:latin typeface="Arial" panose="020B0604020202020204" pitchFamily="34" charset="0"/>
                <a:cs typeface="Arial" panose="020B0604020202020204" pitchFamily="34" charset="0"/>
              </a:rPr>
              <a:t> </a:t>
            </a:r>
          </a:p>
        </xdr:txBody>
      </xdr:sp>
      <xdr:sp macro="" textlink="">
        <xdr:nvSpPr>
          <xdr:cNvPr id="15" name="risks_1_4">
            <a:extLst>
              <a:ext uri="{FF2B5EF4-FFF2-40B4-BE49-F238E27FC236}">
                <a16:creationId xmlns:a16="http://schemas.microsoft.com/office/drawing/2014/main" id="{00000000-0008-0000-2700-00000F000000}"/>
              </a:ext>
            </a:extLst>
          </xdr:cNvPr>
          <xdr:cNvSpPr/>
        </xdr:nvSpPr>
        <xdr:spPr>
          <a:xfrm flipH="1">
            <a:off x="17521622" y="2810674"/>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solidFill>
            <a:srgbClr val="50D092"/>
          </a:solidFill>
          <a:ln>
            <a:noFill/>
          </a:ln>
          <a:effectLst/>
          <a:extLst>
            <a:ext uri="{91240B29-F687-4F45-9708-019B960494DF}">
              <a14:hiddenLine xmlns:a14="http://schemas.microsoft.com/office/drawing/2010/main">
                <a:noFill/>
              </a14:hiddenLine>
            </a:ext>
            <a:ext uri="{AF507438-7753-43E0-B8FC-AC1667EBCBE1}">
              <a14:hiddenEffects xmlns:a14="http://schemas.microsoft.com/office/drawing/2010/main">
                <a:effectLst>
                  <a:innerShdw blurRad="25400" dist="25145" dir="18900000">
                    <a:scrgbClr r="0" g="0" b="0">
                      <a:alpha val="30000"/>
                    </a:scrgbClr>
                  </a:innerShdw>
                </a:effectLst>
              </a14:hiddenEffects>
            </a:ext>
          </a:extLst>
        </xdr:spPr>
        <xdr:style>
          <a:lnRef idx="0">
            <a:schemeClr val="lt1">
              <a:hueOff val="0"/>
              <a:satOff val="0"/>
              <a:lumOff val="0"/>
              <a:alphaOff val="0"/>
            </a:schemeClr>
          </a:lnRef>
          <a:fillRef idx="3">
            <a:schemeClr val="accent2">
              <a:hueOff val="1755570"/>
              <a:satOff val="-2190"/>
              <a:lumOff val="515"/>
              <a:alphaOff val="0"/>
            </a:schemeClr>
          </a:fillRef>
          <a:effectRef idx="3">
            <a:schemeClr val="accent2">
              <a:hueOff val="1755570"/>
              <a:satOff val="-2190"/>
              <a:lumOff val="515"/>
              <a:alphaOff val="0"/>
            </a:schemeClr>
          </a:effectRef>
          <a:fontRef idx="minor">
            <a:schemeClr val="lt1"/>
          </a:fontRef>
        </xdr:style>
        <xdr:txBody>
          <a:bodyPr spcFirstLastPara="0" vert="horz" wrap="square" lIns="38100" tIns="38100" rIns="38100" bIns="38100" numCol="1" spcCol="1270" anchor="ctr" anchorCtr="0">
            <a:noAutofit/>
          </a:bodyPr>
          <a:lstStyle/>
          <a:p>
            <a:pPr lvl="0" indent="0" algn="ctr" defTabSz="444500">
              <a:lnSpc>
                <a:spcPct val="90000"/>
              </a:lnSpc>
              <a:spcBef>
                <a:spcPct val="0"/>
              </a:spcBef>
              <a:spcAft>
                <a:spcPct val="35000"/>
              </a:spcAft>
            </a:pPr>
            <a:r>
              <a:rPr lang="en-US" sz="800" b="1" kern="1200">
                <a:solidFill>
                  <a:srgbClr val="000000"/>
                </a:solidFill>
                <a:latin typeface="Arial" panose="020B0604020202020204" pitchFamily="34" charset="0"/>
                <a:cs typeface="Arial" panose="020B0604020202020204" pitchFamily="34" charset="0"/>
              </a:rPr>
              <a:t> </a:t>
            </a:r>
          </a:p>
        </xdr:txBody>
      </xdr:sp>
      <xdr:sp macro="" textlink="">
        <xdr:nvSpPr>
          <xdr:cNvPr id="16" name="risks_5_3">
            <a:extLst>
              <a:ext uri="{FF2B5EF4-FFF2-40B4-BE49-F238E27FC236}">
                <a16:creationId xmlns:a16="http://schemas.microsoft.com/office/drawing/2014/main" id="{00000000-0008-0000-2700-000010000000}"/>
              </a:ext>
            </a:extLst>
          </xdr:cNvPr>
          <xdr:cNvSpPr/>
        </xdr:nvSpPr>
        <xdr:spPr>
          <a:xfrm flipH="1">
            <a:off x="23300214" y="3435670"/>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solidFill>
            <a:srgbClr val="FF8080"/>
          </a:solidFill>
          <a:ln>
            <a:noFill/>
          </a:ln>
          <a:effectLst/>
          <a:extLst>
            <a:ext uri="{91240B29-F687-4F45-9708-019B960494DF}">
              <a14:hiddenLine xmlns:a14="http://schemas.microsoft.com/office/drawing/2010/main">
                <a:noFill/>
              </a14:hiddenLine>
            </a:ext>
            <a:ext uri="{AF507438-7753-43E0-B8FC-AC1667EBCBE1}">
              <a14:hiddenEffects xmlns:a14="http://schemas.microsoft.com/office/drawing/2010/main">
                <a:effectLst>
                  <a:innerShdw blurRad="25400" dist="25145" dir="18900000">
                    <a:scrgbClr r="0" g="0" b="0">
                      <a:alpha val="30000"/>
                    </a:scrgbClr>
                  </a:innerShdw>
                </a:effectLst>
              </a14:hiddenEffects>
            </a:ext>
          </a:extLst>
        </xdr:spPr>
        <xdr:style>
          <a:lnRef idx="0">
            <a:schemeClr val="lt1">
              <a:hueOff val="0"/>
              <a:satOff val="0"/>
              <a:lumOff val="0"/>
              <a:alphaOff val="0"/>
            </a:schemeClr>
          </a:lnRef>
          <a:fillRef idx="3">
            <a:schemeClr val="accent2">
              <a:hueOff val="1950633"/>
              <a:satOff val="-2433"/>
              <a:lumOff val="572"/>
              <a:alphaOff val="0"/>
            </a:schemeClr>
          </a:fillRef>
          <a:effectRef idx="3">
            <a:schemeClr val="accent2">
              <a:hueOff val="1950633"/>
              <a:satOff val="-2433"/>
              <a:lumOff val="572"/>
              <a:alphaOff val="0"/>
            </a:schemeClr>
          </a:effectRef>
          <a:fontRef idx="minor">
            <a:schemeClr val="lt1"/>
          </a:fontRef>
        </xdr:style>
        <xdr:txBody>
          <a:bodyPr spcFirstLastPara="0" vert="horz" wrap="square" lIns="38100" tIns="38100" rIns="38100" bIns="38100" numCol="1" spcCol="1270" anchor="ctr" anchorCtr="0">
            <a:noAutofit/>
          </a:bodyPr>
          <a:lstStyle/>
          <a:p>
            <a:pPr lvl="0" indent="0" algn="ctr" defTabSz="444500">
              <a:lnSpc>
                <a:spcPct val="90000"/>
              </a:lnSpc>
              <a:spcBef>
                <a:spcPct val="0"/>
              </a:spcBef>
              <a:spcAft>
                <a:spcPct val="35000"/>
              </a:spcAft>
            </a:pPr>
            <a:r>
              <a:rPr lang="en-US" sz="800" b="1" kern="1200">
                <a:solidFill>
                  <a:srgbClr val="000000"/>
                </a:solidFill>
                <a:latin typeface="Arial" panose="020B0604020202020204" pitchFamily="34" charset="0"/>
                <a:cs typeface="Arial" panose="020B0604020202020204" pitchFamily="34" charset="0"/>
              </a:rPr>
              <a:t> </a:t>
            </a:r>
          </a:p>
        </xdr:txBody>
      </xdr:sp>
      <xdr:sp macro="" textlink="">
        <xdr:nvSpPr>
          <xdr:cNvPr id="17" name="risks_4_3">
            <a:extLst>
              <a:ext uri="{FF2B5EF4-FFF2-40B4-BE49-F238E27FC236}">
                <a16:creationId xmlns:a16="http://schemas.microsoft.com/office/drawing/2014/main" id="{00000000-0008-0000-2700-000011000000}"/>
              </a:ext>
            </a:extLst>
          </xdr:cNvPr>
          <xdr:cNvSpPr/>
        </xdr:nvSpPr>
        <xdr:spPr>
          <a:xfrm flipH="1">
            <a:off x="21855567" y="3435670"/>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solidFill>
            <a:srgbClr val="FF8080"/>
          </a:solidFill>
          <a:ln>
            <a:noFill/>
          </a:ln>
          <a:effectLst/>
          <a:extLst>
            <a:ext uri="{91240B29-F687-4F45-9708-019B960494DF}">
              <a14:hiddenLine xmlns:a14="http://schemas.microsoft.com/office/drawing/2010/main">
                <a:noFill/>
              </a14:hiddenLine>
            </a:ext>
            <a:ext uri="{AF507438-7753-43E0-B8FC-AC1667EBCBE1}">
              <a14:hiddenEffects xmlns:a14="http://schemas.microsoft.com/office/drawing/2010/main">
                <a:effectLst>
                  <a:innerShdw blurRad="25400" dist="25145" dir="18900000">
                    <a:scrgbClr r="0" g="0" b="0">
                      <a:alpha val="30000"/>
                    </a:scrgbClr>
                  </a:innerShdw>
                </a:effectLst>
              </a14:hiddenEffects>
            </a:ext>
          </a:extLst>
        </xdr:spPr>
        <xdr:style>
          <a:lnRef idx="0">
            <a:schemeClr val="lt1">
              <a:hueOff val="0"/>
              <a:satOff val="0"/>
              <a:lumOff val="0"/>
              <a:alphaOff val="0"/>
            </a:schemeClr>
          </a:lnRef>
          <a:fillRef idx="3">
            <a:schemeClr val="accent2">
              <a:hueOff val="2145696"/>
              <a:satOff val="-2676"/>
              <a:lumOff val="629"/>
              <a:alphaOff val="0"/>
            </a:schemeClr>
          </a:fillRef>
          <a:effectRef idx="3">
            <a:schemeClr val="accent2">
              <a:hueOff val="2145696"/>
              <a:satOff val="-2676"/>
              <a:lumOff val="629"/>
              <a:alphaOff val="0"/>
            </a:schemeClr>
          </a:effectRef>
          <a:fontRef idx="minor">
            <a:schemeClr val="lt1"/>
          </a:fontRef>
        </xdr:style>
        <xdr:txBody>
          <a:bodyPr spcFirstLastPara="0" vert="horz" wrap="square" lIns="38100" tIns="38100" rIns="38100" bIns="38100" numCol="1" spcCol="1270" anchor="ctr" anchorCtr="0">
            <a:noAutofit/>
          </a:bodyPr>
          <a:lstStyle/>
          <a:p>
            <a:pPr lvl="0" indent="0" algn="ctr" defTabSz="444500">
              <a:lnSpc>
                <a:spcPct val="90000"/>
              </a:lnSpc>
              <a:spcBef>
                <a:spcPct val="0"/>
              </a:spcBef>
              <a:spcAft>
                <a:spcPct val="35000"/>
              </a:spcAft>
            </a:pPr>
            <a:r>
              <a:rPr lang="en-US" sz="800" b="1" kern="1200">
                <a:solidFill>
                  <a:srgbClr val="000000"/>
                </a:solidFill>
                <a:latin typeface="Arial" panose="020B0604020202020204" pitchFamily="34" charset="0"/>
                <a:cs typeface="Arial" panose="020B0604020202020204" pitchFamily="34" charset="0"/>
              </a:rPr>
              <a:t> </a:t>
            </a:r>
          </a:p>
        </xdr:txBody>
      </xdr:sp>
      <xdr:sp macro="" textlink="">
        <xdr:nvSpPr>
          <xdr:cNvPr id="18" name="risks_3_3">
            <a:extLst>
              <a:ext uri="{FF2B5EF4-FFF2-40B4-BE49-F238E27FC236}">
                <a16:creationId xmlns:a16="http://schemas.microsoft.com/office/drawing/2014/main" id="{00000000-0008-0000-2700-000012000000}"/>
              </a:ext>
            </a:extLst>
          </xdr:cNvPr>
          <xdr:cNvSpPr/>
        </xdr:nvSpPr>
        <xdr:spPr>
          <a:xfrm flipH="1">
            <a:off x="20410918" y="3435670"/>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solidFill>
            <a:srgbClr val="FFFF80"/>
          </a:solidFill>
          <a:ln>
            <a:noFill/>
          </a:ln>
          <a:effectLst/>
          <a:extLst>
            <a:ext uri="{91240B29-F687-4F45-9708-019B960494DF}">
              <a14:hiddenLine xmlns:a14="http://schemas.microsoft.com/office/drawing/2010/main">
                <a:noFill/>
              </a14:hiddenLine>
            </a:ext>
            <a:ext uri="{AF507438-7753-43E0-B8FC-AC1667EBCBE1}">
              <a14:hiddenEffects xmlns:a14="http://schemas.microsoft.com/office/drawing/2010/main">
                <a:effectLst>
                  <a:innerShdw blurRad="25400" dist="25145" dir="18900000">
                    <a:scrgbClr r="0" g="0" b="0">
                      <a:alpha val="30000"/>
                    </a:scrgbClr>
                  </a:innerShdw>
                </a:effectLst>
              </a14:hiddenEffects>
            </a:ext>
          </a:extLst>
        </xdr:spPr>
        <xdr:style>
          <a:lnRef idx="0">
            <a:schemeClr val="lt1">
              <a:hueOff val="0"/>
              <a:satOff val="0"/>
              <a:lumOff val="0"/>
              <a:alphaOff val="0"/>
            </a:schemeClr>
          </a:lnRef>
          <a:fillRef idx="3">
            <a:schemeClr val="accent2">
              <a:hueOff val="2340759"/>
              <a:satOff val="-2919"/>
              <a:lumOff val="686"/>
              <a:alphaOff val="0"/>
            </a:schemeClr>
          </a:fillRef>
          <a:effectRef idx="3">
            <a:schemeClr val="accent2">
              <a:hueOff val="2340759"/>
              <a:satOff val="-2919"/>
              <a:lumOff val="686"/>
              <a:alphaOff val="0"/>
            </a:schemeClr>
          </a:effectRef>
          <a:fontRef idx="minor">
            <a:schemeClr val="lt1"/>
          </a:fontRef>
        </xdr:style>
        <xdr:txBody>
          <a:bodyPr spcFirstLastPara="0" vert="horz" wrap="square" lIns="38100" tIns="38100" rIns="38100" bIns="38100" numCol="1" spcCol="1270" anchor="ctr" anchorCtr="0">
            <a:noAutofit/>
          </a:bodyPr>
          <a:lstStyle/>
          <a:p>
            <a:pPr lvl="0" indent="0" algn="ctr" defTabSz="444500">
              <a:lnSpc>
                <a:spcPct val="90000"/>
              </a:lnSpc>
              <a:spcBef>
                <a:spcPct val="0"/>
              </a:spcBef>
              <a:spcAft>
                <a:spcPct val="35000"/>
              </a:spcAft>
            </a:pPr>
            <a:r>
              <a:rPr lang="en-US" sz="800" b="1" kern="1200">
                <a:solidFill>
                  <a:srgbClr val="000000"/>
                </a:solidFill>
                <a:latin typeface="Arial" panose="020B0604020202020204" pitchFamily="34" charset="0"/>
                <a:cs typeface="Arial" panose="020B0604020202020204" pitchFamily="34" charset="0"/>
              </a:rPr>
              <a:t> </a:t>
            </a:r>
          </a:p>
        </xdr:txBody>
      </xdr:sp>
      <xdr:sp macro="" textlink="">
        <xdr:nvSpPr>
          <xdr:cNvPr id="19" name="risks_2_3">
            <a:extLst>
              <a:ext uri="{FF2B5EF4-FFF2-40B4-BE49-F238E27FC236}">
                <a16:creationId xmlns:a16="http://schemas.microsoft.com/office/drawing/2014/main" id="{00000000-0008-0000-2700-000013000000}"/>
              </a:ext>
            </a:extLst>
          </xdr:cNvPr>
          <xdr:cNvSpPr/>
        </xdr:nvSpPr>
        <xdr:spPr>
          <a:xfrm flipH="1">
            <a:off x="18966271" y="3435670"/>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solidFill>
            <a:srgbClr val="FFFF80"/>
          </a:solidFill>
          <a:ln>
            <a:noFill/>
          </a:ln>
          <a:effectLst/>
          <a:extLst>
            <a:ext uri="{91240B29-F687-4F45-9708-019B960494DF}">
              <a14:hiddenLine xmlns:a14="http://schemas.microsoft.com/office/drawing/2010/main">
                <a:noFill/>
              </a14:hiddenLine>
            </a:ext>
            <a:ext uri="{AF507438-7753-43E0-B8FC-AC1667EBCBE1}">
              <a14:hiddenEffects xmlns:a14="http://schemas.microsoft.com/office/drawing/2010/main">
                <a:effectLst>
                  <a:innerShdw blurRad="25400" dist="25145" dir="18900000">
                    <a:scrgbClr r="0" g="0" b="0">
                      <a:alpha val="30000"/>
                    </a:scrgbClr>
                  </a:innerShdw>
                </a:effectLst>
              </a14:hiddenEffects>
            </a:ext>
          </a:extLst>
        </xdr:spPr>
        <xdr:style>
          <a:lnRef idx="0">
            <a:schemeClr val="lt1">
              <a:hueOff val="0"/>
              <a:satOff val="0"/>
              <a:lumOff val="0"/>
              <a:alphaOff val="0"/>
            </a:schemeClr>
          </a:lnRef>
          <a:fillRef idx="3">
            <a:schemeClr val="accent2">
              <a:hueOff val="2535823"/>
              <a:satOff val="-3163"/>
              <a:lumOff val="744"/>
              <a:alphaOff val="0"/>
            </a:schemeClr>
          </a:fillRef>
          <a:effectRef idx="3">
            <a:schemeClr val="accent2">
              <a:hueOff val="2535823"/>
              <a:satOff val="-3163"/>
              <a:lumOff val="744"/>
              <a:alphaOff val="0"/>
            </a:schemeClr>
          </a:effectRef>
          <a:fontRef idx="minor">
            <a:schemeClr val="lt1"/>
          </a:fontRef>
        </xdr:style>
        <xdr:txBody>
          <a:bodyPr spcFirstLastPara="0" vert="horz" wrap="square" lIns="38100" tIns="38100" rIns="38100" bIns="38100" numCol="1" spcCol="1270" anchor="ctr" anchorCtr="0">
            <a:noAutofit/>
          </a:bodyPr>
          <a:lstStyle/>
          <a:p>
            <a:pPr lvl="0" indent="0" algn="ctr" defTabSz="444500">
              <a:lnSpc>
                <a:spcPct val="90000"/>
              </a:lnSpc>
              <a:spcBef>
                <a:spcPct val="0"/>
              </a:spcBef>
              <a:spcAft>
                <a:spcPct val="35000"/>
              </a:spcAft>
            </a:pPr>
            <a:r>
              <a:rPr lang="en-US" sz="800" b="1" kern="1200">
                <a:solidFill>
                  <a:srgbClr val="000000"/>
                </a:solidFill>
                <a:latin typeface="Arial" panose="020B0604020202020204" pitchFamily="34" charset="0"/>
                <a:cs typeface="Arial" panose="020B0604020202020204" pitchFamily="34" charset="0"/>
              </a:rPr>
              <a:t> </a:t>
            </a:r>
          </a:p>
        </xdr:txBody>
      </xdr:sp>
      <xdr:sp macro="" textlink="">
        <xdr:nvSpPr>
          <xdr:cNvPr id="20" name="risks_1_3">
            <a:extLst>
              <a:ext uri="{FF2B5EF4-FFF2-40B4-BE49-F238E27FC236}">
                <a16:creationId xmlns:a16="http://schemas.microsoft.com/office/drawing/2014/main" id="{00000000-0008-0000-2700-000014000000}"/>
              </a:ext>
            </a:extLst>
          </xdr:cNvPr>
          <xdr:cNvSpPr/>
        </xdr:nvSpPr>
        <xdr:spPr>
          <a:xfrm flipH="1">
            <a:off x="17521622" y="3435670"/>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solidFill>
            <a:srgbClr val="50D092"/>
          </a:solidFill>
          <a:ln>
            <a:noFill/>
          </a:ln>
          <a:effectLst/>
          <a:extLst>
            <a:ext uri="{91240B29-F687-4F45-9708-019B960494DF}">
              <a14:hiddenLine xmlns:a14="http://schemas.microsoft.com/office/drawing/2010/main">
                <a:noFill/>
              </a14:hiddenLine>
            </a:ext>
            <a:ext uri="{AF507438-7753-43E0-B8FC-AC1667EBCBE1}">
              <a14:hiddenEffects xmlns:a14="http://schemas.microsoft.com/office/drawing/2010/main">
                <a:effectLst>
                  <a:innerShdw blurRad="25400" dist="25145" dir="18900000">
                    <a:scrgbClr r="0" g="0" b="0">
                      <a:alpha val="30000"/>
                    </a:scrgbClr>
                  </a:innerShdw>
                </a:effectLst>
              </a14:hiddenEffects>
            </a:ext>
          </a:extLst>
        </xdr:spPr>
        <xdr:style>
          <a:lnRef idx="0">
            <a:schemeClr val="lt1">
              <a:hueOff val="0"/>
              <a:satOff val="0"/>
              <a:lumOff val="0"/>
              <a:alphaOff val="0"/>
            </a:schemeClr>
          </a:lnRef>
          <a:fillRef idx="3">
            <a:schemeClr val="accent2">
              <a:hueOff val="2730886"/>
              <a:satOff val="-3406"/>
              <a:lumOff val="801"/>
              <a:alphaOff val="0"/>
            </a:schemeClr>
          </a:fillRef>
          <a:effectRef idx="3">
            <a:schemeClr val="accent2">
              <a:hueOff val="2730886"/>
              <a:satOff val="-3406"/>
              <a:lumOff val="801"/>
              <a:alphaOff val="0"/>
            </a:schemeClr>
          </a:effectRef>
          <a:fontRef idx="minor">
            <a:schemeClr val="lt1"/>
          </a:fontRef>
        </xdr:style>
        <xdr:txBody>
          <a:bodyPr spcFirstLastPara="0" vert="horz" wrap="square" lIns="38100" tIns="38100" rIns="38100" bIns="38100" numCol="1" spcCol="1270" anchor="ctr" anchorCtr="0">
            <a:noAutofit/>
          </a:bodyPr>
          <a:lstStyle/>
          <a:p>
            <a:pPr lvl="0" indent="0" algn="ctr" defTabSz="444500">
              <a:lnSpc>
                <a:spcPct val="90000"/>
              </a:lnSpc>
              <a:spcBef>
                <a:spcPct val="0"/>
              </a:spcBef>
              <a:spcAft>
                <a:spcPct val="35000"/>
              </a:spcAft>
            </a:pPr>
            <a:r>
              <a:rPr lang="en-US" sz="800" b="1" kern="1200">
                <a:solidFill>
                  <a:srgbClr val="000000"/>
                </a:solidFill>
                <a:latin typeface="Arial" panose="020B0604020202020204" pitchFamily="34" charset="0"/>
                <a:cs typeface="Arial" panose="020B0604020202020204" pitchFamily="34" charset="0"/>
              </a:rPr>
              <a:t> </a:t>
            </a:r>
          </a:p>
        </xdr:txBody>
      </xdr:sp>
      <xdr:sp macro="" textlink="">
        <xdr:nvSpPr>
          <xdr:cNvPr id="21" name="risks_5_2">
            <a:extLst>
              <a:ext uri="{FF2B5EF4-FFF2-40B4-BE49-F238E27FC236}">
                <a16:creationId xmlns:a16="http://schemas.microsoft.com/office/drawing/2014/main" id="{00000000-0008-0000-2700-000015000000}"/>
              </a:ext>
            </a:extLst>
          </xdr:cNvPr>
          <xdr:cNvSpPr/>
        </xdr:nvSpPr>
        <xdr:spPr>
          <a:xfrm flipH="1">
            <a:off x="23300214" y="4060667"/>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solidFill>
            <a:srgbClr val="FF8080"/>
          </a:solidFill>
          <a:ln>
            <a:noFill/>
          </a:ln>
          <a:effectLst/>
          <a:extLst>
            <a:ext uri="{91240B29-F687-4F45-9708-019B960494DF}">
              <a14:hiddenLine xmlns:a14="http://schemas.microsoft.com/office/drawing/2010/main">
                <a:noFill/>
              </a14:hiddenLine>
            </a:ext>
            <a:ext uri="{AF507438-7753-43E0-B8FC-AC1667EBCBE1}">
              <a14:hiddenEffects xmlns:a14="http://schemas.microsoft.com/office/drawing/2010/main">
                <a:effectLst>
                  <a:innerShdw blurRad="25400" dist="25145" dir="18900000">
                    <a:scrgbClr r="0" g="0" b="0">
                      <a:alpha val="30000"/>
                    </a:scrgbClr>
                  </a:innerShdw>
                </a:effectLst>
              </a14:hiddenEffects>
            </a:ext>
          </a:extLst>
        </xdr:spPr>
        <xdr:style>
          <a:lnRef idx="0">
            <a:schemeClr val="lt1">
              <a:hueOff val="0"/>
              <a:satOff val="0"/>
              <a:lumOff val="0"/>
              <a:alphaOff val="0"/>
            </a:schemeClr>
          </a:lnRef>
          <a:fillRef idx="3">
            <a:schemeClr val="accent2">
              <a:hueOff val="2925949"/>
              <a:satOff val="-3649"/>
              <a:lumOff val="858"/>
              <a:alphaOff val="0"/>
            </a:schemeClr>
          </a:fillRef>
          <a:effectRef idx="3">
            <a:schemeClr val="accent2">
              <a:hueOff val="2925949"/>
              <a:satOff val="-3649"/>
              <a:lumOff val="858"/>
              <a:alphaOff val="0"/>
            </a:schemeClr>
          </a:effectRef>
          <a:fontRef idx="minor">
            <a:schemeClr val="lt1"/>
          </a:fontRef>
        </xdr:style>
        <xdr:txBody>
          <a:bodyPr spcFirstLastPara="0" vert="horz" wrap="square" lIns="38100" tIns="38100" rIns="38100" bIns="38100" numCol="1" spcCol="1270" anchor="ctr" anchorCtr="0">
            <a:noAutofit/>
          </a:bodyPr>
          <a:lstStyle/>
          <a:p>
            <a:pPr lvl="0" indent="0" algn="ctr" defTabSz="444500">
              <a:lnSpc>
                <a:spcPct val="90000"/>
              </a:lnSpc>
              <a:spcBef>
                <a:spcPct val="0"/>
              </a:spcBef>
              <a:spcAft>
                <a:spcPct val="35000"/>
              </a:spcAft>
            </a:pPr>
            <a:r>
              <a:rPr lang="en-US" sz="800" b="1" kern="1200">
                <a:solidFill>
                  <a:srgbClr val="000000"/>
                </a:solidFill>
                <a:latin typeface="Arial" panose="020B0604020202020204" pitchFamily="34" charset="0"/>
                <a:cs typeface="Arial" panose="020B0604020202020204" pitchFamily="34" charset="0"/>
              </a:rPr>
              <a:t> </a:t>
            </a:r>
          </a:p>
        </xdr:txBody>
      </xdr:sp>
      <xdr:sp macro="" textlink="">
        <xdr:nvSpPr>
          <xdr:cNvPr id="22" name="risks_4_2">
            <a:extLst>
              <a:ext uri="{FF2B5EF4-FFF2-40B4-BE49-F238E27FC236}">
                <a16:creationId xmlns:a16="http://schemas.microsoft.com/office/drawing/2014/main" id="{00000000-0008-0000-2700-000016000000}"/>
              </a:ext>
            </a:extLst>
          </xdr:cNvPr>
          <xdr:cNvSpPr/>
        </xdr:nvSpPr>
        <xdr:spPr>
          <a:xfrm flipH="1">
            <a:off x="21855567" y="4060667"/>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solidFill>
            <a:srgbClr val="FFFF80"/>
          </a:solidFill>
          <a:ln>
            <a:noFill/>
          </a:ln>
          <a:effectLst/>
          <a:extLst>
            <a:ext uri="{91240B29-F687-4F45-9708-019B960494DF}">
              <a14:hiddenLine xmlns:a14="http://schemas.microsoft.com/office/drawing/2010/main">
                <a:noFill/>
              </a14:hiddenLine>
            </a:ext>
            <a:ext uri="{AF507438-7753-43E0-B8FC-AC1667EBCBE1}">
              <a14:hiddenEffects xmlns:a14="http://schemas.microsoft.com/office/drawing/2010/main">
                <a:effectLst>
                  <a:innerShdw blurRad="25400" dist="25145" dir="18900000">
                    <a:scrgbClr r="0" g="0" b="0">
                      <a:alpha val="30000"/>
                    </a:scrgbClr>
                  </a:innerShdw>
                </a:effectLst>
              </a14:hiddenEffects>
            </a:ext>
          </a:extLst>
        </xdr:spPr>
        <xdr:style>
          <a:lnRef idx="0">
            <a:schemeClr val="lt1">
              <a:hueOff val="0"/>
              <a:satOff val="0"/>
              <a:lumOff val="0"/>
              <a:alphaOff val="0"/>
            </a:schemeClr>
          </a:lnRef>
          <a:fillRef idx="3">
            <a:schemeClr val="accent2">
              <a:hueOff val="3121013"/>
              <a:satOff val="-3893"/>
              <a:lumOff val="915"/>
              <a:alphaOff val="0"/>
            </a:schemeClr>
          </a:fillRef>
          <a:effectRef idx="3">
            <a:schemeClr val="accent2">
              <a:hueOff val="3121013"/>
              <a:satOff val="-3893"/>
              <a:lumOff val="915"/>
              <a:alphaOff val="0"/>
            </a:schemeClr>
          </a:effectRef>
          <a:fontRef idx="minor">
            <a:schemeClr val="lt1"/>
          </a:fontRef>
        </xdr:style>
        <xdr:txBody>
          <a:bodyPr spcFirstLastPara="0" vert="horz" wrap="square" lIns="38100" tIns="38100" rIns="38100" bIns="38100" numCol="1" spcCol="1270" anchor="ctr" anchorCtr="0">
            <a:noAutofit/>
          </a:bodyPr>
          <a:lstStyle/>
          <a:p>
            <a:pPr lvl="0" indent="0" algn="ctr" defTabSz="444500">
              <a:lnSpc>
                <a:spcPct val="90000"/>
              </a:lnSpc>
              <a:spcBef>
                <a:spcPct val="0"/>
              </a:spcBef>
              <a:spcAft>
                <a:spcPct val="35000"/>
              </a:spcAft>
            </a:pPr>
            <a:r>
              <a:rPr lang="en-US" sz="800" b="1" kern="1200">
                <a:solidFill>
                  <a:srgbClr val="000000"/>
                </a:solidFill>
                <a:latin typeface="Arial" panose="020B0604020202020204" pitchFamily="34" charset="0"/>
                <a:cs typeface="Arial" panose="020B0604020202020204" pitchFamily="34" charset="0"/>
              </a:rPr>
              <a:t> </a:t>
            </a:r>
          </a:p>
        </xdr:txBody>
      </xdr:sp>
      <xdr:sp macro="" textlink="">
        <xdr:nvSpPr>
          <xdr:cNvPr id="23" name="risks_3_2">
            <a:extLst>
              <a:ext uri="{FF2B5EF4-FFF2-40B4-BE49-F238E27FC236}">
                <a16:creationId xmlns:a16="http://schemas.microsoft.com/office/drawing/2014/main" id="{00000000-0008-0000-2700-000017000000}"/>
              </a:ext>
            </a:extLst>
          </xdr:cNvPr>
          <xdr:cNvSpPr/>
        </xdr:nvSpPr>
        <xdr:spPr>
          <a:xfrm flipH="1">
            <a:off x="20410918" y="4060667"/>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solidFill>
            <a:srgbClr val="FFFF80"/>
          </a:solidFill>
          <a:ln>
            <a:noFill/>
          </a:ln>
          <a:effectLst/>
          <a:extLst>
            <a:ext uri="{91240B29-F687-4F45-9708-019B960494DF}">
              <a14:hiddenLine xmlns:a14="http://schemas.microsoft.com/office/drawing/2010/main">
                <a:noFill/>
              </a14:hiddenLine>
            </a:ext>
            <a:ext uri="{AF507438-7753-43E0-B8FC-AC1667EBCBE1}">
              <a14:hiddenEffects xmlns:a14="http://schemas.microsoft.com/office/drawing/2010/main">
                <a:effectLst>
                  <a:innerShdw blurRad="25400" dist="25145" dir="18900000">
                    <a:scrgbClr r="0" g="0" b="0">
                      <a:alpha val="30000"/>
                    </a:scrgbClr>
                  </a:innerShdw>
                </a:effectLst>
              </a14:hiddenEffects>
            </a:ext>
          </a:extLst>
        </xdr:spPr>
        <xdr:style>
          <a:lnRef idx="0">
            <a:schemeClr val="lt1">
              <a:hueOff val="0"/>
              <a:satOff val="0"/>
              <a:lumOff val="0"/>
              <a:alphaOff val="0"/>
            </a:schemeClr>
          </a:lnRef>
          <a:fillRef idx="3">
            <a:schemeClr val="accent2">
              <a:hueOff val="3316076"/>
              <a:satOff val="-4136"/>
              <a:lumOff val="973"/>
              <a:alphaOff val="0"/>
            </a:schemeClr>
          </a:fillRef>
          <a:effectRef idx="3">
            <a:schemeClr val="accent2">
              <a:hueOff val="3316076"/>
              <a:satOff val="-4136"/>
              <a:lumOff val="973"/>
              <a:alphaOff val="0"/>
            </a:schemeClr>
          </a:effectRef>
          <a:fontRef idx="minor">
            <a:schemeClr val="lt1"/>
          </a:fontRef>
        </xdr:style>
        <xdr:txBody>
          <a:bodyPr spcFirstLastPara="0" vert="horz" wrap="square" lIns="38100" tIns="38100" rIns="38100" bIns="38100" numCol="1" spcCol="1270" anchor="ctr" anchorCtr="0">
            <a:noAutofit/>
          </a:bodyPr>
          <a:lstStyle/>
          <a:p>
            <a:pPr lvl="0" indent="0" algn="ctr" defTabSz="444500">
              <a:lnSpc>
                <a:spcPct val="90000"/>
              </a:lnSpc>
              <a:spcBef>
                <a:spcPct val="0"/>
              </a:spcBef>
              <a:spcAft>
                <a:spcPct val="35000"/>
              </a:spcAft>
            </a:pPr>
            <a:r>
              <a:rPr lang="en-US" sz="800" b="1" kern="1200">
                <a:solidFill>
                  <a:srgbClr val="000000"/>
                </a:solidFill>
                <a:latin typeface="Arial" panose="020B0604020202020204" pitchFamily="34" charset="0"/>
                <a:cs typeface="Arial" panose="020B0604020202020204" pitchFamily="34" charset="0"/>
              </a:rPr>
              <a:t> </a:t>
            </a:r>
          </a:p>
        </xdr:txBody>
      </xdr:sp>
      <xdr:sp macro="" textlink="">
        <xdr:nvSpPr>
          <xdr:cNvPr id="24" name="risks_2_2">
            <a:extLst>
              <a:ext uri="{FF2B5EF4-FFF2-40B4-BE49-F238E27FC236}">
                <a16:creationId xmlns:a16="http://schemas.microsoft.com/office/drawing/2014/main" id="{00000000-0008-0000-2700-000018000000}"/>
              </a:ext>
            </a:extLst>
          </xdr:cNvPr>
          <xdr:cNvSpPr/>
        </xdr:nvSpPr>
        <xdr:spPr>
          <a:xfrm flipH="1">
            <a:off x="18966271" y="4060667"/>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solidFill>
            <a:srgbClr val="50D092"/>
          </a:solidFill>
          <a:ln>
            <a:noFill/>
          </a:ln>
          <a:effectLst>
            <a:innerShdw blurRad="25400" dist="25145" dir="18900000">
              <a:scrgbClr r="0" g="0" b="0">
                <a:alpha val="30000"/>
              </a:scrgbClr>
            </a:innerShdw>
          </a:effectLst>
          <a:extLst>
            <a:ext uri="{91240B29-F687-4F45-9708-019B960494DF}">
              <a14:hiddenLine xmlns:a14="http://schemas.microsoft.com/office/drawing/2010/main">
                <a:noFill/>
              </a14:hiddenLine>
            </a:ext>
          </a:extLst>
        </xdr:spPr>
        <xdr:style>
          <a:lnRef idx="0">
            <a:schemeClr val="lt1">
              <a:hueOff val="0"/>
              <a:satOff val="0"/>
              <a:lumOff val="0"/>
              <a:alphaOff val="0"/>
            </a:schemeClr>
          </a:lnRef>
          <a:fillRef idx="3">
            <a:schemeClr val="accent2">
              <a:hueOff val="3511139"/>
              <a:satOff val="-4379"/>
              <a:lumOff val="1030"/>
              <a:alphaOff val="0"/>
            </a:schemeClr>
          </a:fillRef>
          <a:effectRef idx="3">
            <a:schemeClr val="accent2">
              <a:hueOff val="3511139"/>
              <a:satOff val="-4379"/>
              <a:lumOff val="1030"/>
              <a:alphaOff val="0"/>
            </a:schemeClr>
          </a:effectRef>
          <a:fontRef idx="minor">
            <a:schemeClr val="lt1"/>
          </a:fontRef>
        </xdr:style>
        <xdr:txBody>
          <a:bodyPr spcFirstLastPara="0" vert="horz" wrap="square" lIns="38100" tIns="38100" rIns="38100" bIns="38100" numCol="1" spcCol="1270" anchor="ctr" anchorCtr="0">
            <a:noAutofit/>
          </a:bodyPr>
          <a:lstStyle/>
          <a:p>
            <a:pPr lvl="0" indent="0" algn="ctr" defTabSz="444500">
              <a:lnSpc>
                <a:spcPct val="90000"/>
              </a:lnSpc>
              <a:spcBef>
                <a:spcPct val="0"/>
              </a:spcBef>
              <a:spcAft>
                <a:spcPct val="35000"/>
              </a:spcAft>
            </a:pPr>
            <a:r>
              <a:rPr lang="en-US" sz="800" b="1" kern="1200">
                <a:solidFill>
                  <a:srgbClr val="000000"/>
                </a:solidFill>
                <a:latin typeface="Arial" panose="020B0604020202020204" pitchFamily="34" charset="0"/>
                <a:cs typeface="Arial" panose="020B0604020202020204" pitchFamily="34" charset="0"/>
              </a:rPr>
              <a:t>R2, R4</a:t>
            </a:r>
          </a:p>
        </xdr:txBody>
      </xdr:sp>
      <xdr:sp macro="" textlink="">
        <xdr:nvSpPr>
          <xdr:cNvPr id="25" name="risks_1_2">
            <a:extLst>
              <a:ext uri="{FF2B5EF4-FFF2-40B4-BE49-F238E27FC236}">
                <a16:creationId xmlns:a16="http://schemas.microsoft.com/office/drawing/2014/main" id="{00000000-0008-0000-2700-000019000000}"/>
              </a:ext>
            </a:extLst>
          </xdr:cNvPr>
          <xdr:cNvSpPr/>
        </xdr:nvSpPr>
        <xdr:spPr>
          <a:xfrm flipH="1">
            <a:off x="17521622" y="4060667"/>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solidFill>
            <a:srgbClr val="50D092"/>
          </a:solidFill>
          <a:ln>
            <a:noFill/>
          </a:ln>
          <a:effectLst>
            <a:innerShdw blurRad="25400" dist="25145" dir="18900000">
              <a:scrgbClr r="0" g="0" b="0">
                <a:alpha val="30000"/>
              </a:scrgbClr>
            </a:innerShdw>
          </a:effectLst>
          <a:extLst>
            <a:ext uri="{91240B29-F687-4F45-9708-019B960494DF}">
              <a14:hiddenLine xmlns:a14="http://schemas.microsoft.com/office/drawing/2010/main">
                <a:noFill/>
              </a14:hiddenLine>
            </a:ext>
          </a:extLst>
        </xdr:spPr>
        <xdr:style>
          <a:lnRef idx="0">
            <a:schemeClr val="lt1">
              <a:hueOff val="0"/>
              <a:satOff val="0"/>
              <a:lumOff val="0"/>
              <a:alphaOff val="0"/>
            </a:schemeClr>
          </a:lnRef>
          <a:fillRef idx="3">
            <a:schemeClr val="accent2">
              <a:hueOff val="3706203"/>
              <a:satOff val="-4623"/>
              <a:lumOff val="1087"/>
              <a:alphaOff val="0"/>
            </a:schemeClr>
          </a:fillRef>
          <a:effectRef idx="3">
            <a:schemeClr val="accent2">
              <a:hueOff val="3706203"/>
              <a:satOff val="-4623"/>
              <a:lumOff val="1087"/>
              <a:alphaOff val="0"/>
            </a:schemeClr>
          </a:effectRef>
          <a:fontRef idx="minor">
            <a:schemeClr val="lt1"/>
          </a:fontRef>
        </xdr:style>
        <xdr:txBody>
          <a:bodyPr spcFirstLastPara="0" vert="horz" wrap="square" lIns="38100" tIns="38100" rIns="38100" bIns="38100" numCol="1" spcCol="1270" anchor="ctr" anchorCtr="0">
            <a:noAutofit/>
          </a:bodyPr>
          <a:lstStyle/>
          <a:p>
            <a:pPr lvl="0" indent="0" algn="ctr" defTabSz="444500">
              <a:lnSpc>
                <a:spcPct val="90000"/>
              </a:lnSpc>
              <a:spcBef>
                <a:spcPct val="0"/>
              </a:spcBef>
              <a:spcAft>
                <a:spcPct val="35000"/>
              </a:spcAft>
            </a:pPr>
            <a:r>
              <a:rPr lang="en-US" sz="800" b="1" kern="1200">
                <a:solidFill>
                  <a:srgbClr val="000000"/>
                </a:solidFill>
                <a:latin typeface="Arial" panose="020B0604020202020204" pitchFamily="34" charset="0"/>
                <a:cs typeface="Arial" panose="020B0604020202020204" pitchFamily="34" charset="0"/>
              </a:rPr>
              <a:t>R1</a:t>
            </a:r>
          </a:p>
        </xdr:txBody>
      </xdr:sp>
      <xdr:sp macro="" textlink="">
        <xdr:nvSpPr>
          <xdr:cNvPr id="26" name="risks_5_1">
            <a:extLst>
              <a:ext uri="{FF2B5EF4-FFF2-40B4-BE49-F238E27FC236}">
                <a16:creationId xmlns:a16="http://schemas.microsoft.com/office/drawing/2014/main" id="{00000000-0008-0000-2700-00001A000000}"/>
              </a:ext>
            </a:extLst>
          </xdr:cNvPr>
          <xdr:cNvSpPr/>
        </xdr:nvSpPr>
        <xdr:spPr>
          <a:xfrm flipH="1">
            <a:off x="23300214" y="4685660"/>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solidFill>
            <a:srgbClr val="FFFF80"/>
          </a:solidFill>
          <a:ln>
            <a:noFill/>
          </a:ln>
          <a:effectLst/>
          <a:extLst>
            <a:ext uri="{91240B29-F687-4F45-9708-019B960494DF}">
              <a14:hiddenLine xmlns:a14="http://schemas.microsoft.com/office/drawing/2010/main">
                <a:noFill/>
              </a14:hiddenLine>
            </a:ext>
            <a:ext uri="{AF507438-7753-43E0-B8FC-AC1667EBCBE1}">
              <a14:hiddenEffects xmlns:a14="http://schemas.microsoft.com/office/drawing/2010/main">
                <a:effectLst>
                  <a:innerShdw blurRad="25400" dist="25145" dir="18900000">
                    <a:scrgbClr r="0" g="0" b="0">
                      <a:alpha val="30000"/>
                    </a:scrgbClr>
                  </a:innerShdw>
                </a:effectLst>
              </a14:hiddenEffects>
            </a:ext>
          </a:extLst>
        </xdr:spPr>
        <xdr:style>
          <a:lnRef idx="0">
            <a:schemeClr val="lt1">
              <a:hueOff val="0"/>
              <a:satOff val="0"/>
              <a:lumOff val="0"/>
              <a:alphaOff val="0"/>
            </a:schemeClr>
          </a:lnRef>
          <a:fillRef idx="3">
            <a:schemeClr val="accent2">
              <a:hueOff val="3901266"/>
              <a:satOff val="-4866"/>
              <a:lumOff val="1144"/>
              <a:alphaOff val="0"/>
            </a:schemeClr>
          </a:fillRef>
          <a:effectRef idx="3">
            <a:schemeClr val="accent2">
              <a:hueOff val="3901266"/>
              <a:satOff val="-4866"/>
              <a:lumOff val="1144"/>
              <a:alphaOff val="0"/>
            </a:schemeClr>
          </a:effectRef>
          <a:fontRef idx="minor">
            <a:schemeClr val="lt1"/>
          </a:fontRef>
        </xdr:style>
        <xdr:txBody>
          <a:bodyPr spcFirstLastPara="0" vert="horz" wrap="square" lIns="38100" tIns="38100" rIns="38100" bIns="38100" numCol="1" spcCol="1270" anchor="ctr" anchorCtr="0">
            <a:noAutofit/>
          </a:bodyPr>
          <a:lstStyle/>
          <a:p>
            <a:pPr lvl="0" indent="0" algn="ctr" defTabSz="444500">
              <a:lnSpc>
                <a:spcPct val="90000"/>
              </a:lnSpc>
              <a:spcBef>
                <a:spcPct val="0"/>
              </a:spcBef>
              <a:spcAft>
                <a:spcPct val="35000"/>
              </a:spcAft>
            </a:pPr>
            <a:r>
              <a:rPr lang="en-US" sz="800" b="1" kern="1200">
                <a:solidFill>
                  <a:srgbClr val="000000"/>
                </a:solidFill>
                <a:latin typeface="Arial" panose="020B0604020202020204" pitchFamily="34" charset="0"/>
                <a:cs typeface="Arial" panose="020B0604020202020204" pitchFamily="34" charset="0"/>
              </a:rPr>
              <a:t> </a:t>
            </a:r>
          </a:p>
        </xdr:txBody>
      </xdr:sp>
      <xdr:sp macro="" textlink="">
        <xdr:nvSpPr>
          <xdr:cNvPr id="27" name="risks_4_1">
            <a:extLst>
              <a:ext uri="{FF2B5EF4-FFF2-40B4-BE49-F238E27FC236}">
                <a16:creationId xmlns:a16="http://schemas.microsoft.com/office/drawing/2014/main" id="{00000000-0008-0000-2700-00001B000000}"/>
              </a:ext>
            </a:extLst>
          </xdr:cNvPr>
          <xdr:cNvSpPr/>
        </xdr:nvSpPr>
        <xdr:spPr>
          <a:xfrm flipH="1">
            <a:off x="21855567" y="4685660"/>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solidFill>
            <a:srgbClr val="50D092"/>
          </a:solidFill>
          <a:ln>
            <a:noFill/>
          </a:ln>
          <a:effectLst/>
          <a:extLst>
            <a:ext uri="{91240B29-F687-4F45-9708-019B960494DF}">
              <a14:hiddenLine xmlns:a14="http://schemas.microsoft.com/office/drawing/2010/main">
                <a:noFill/>
              </a14:hiddenLine>
            </a:ext>
            <a:ext uri="{AF507438-7753-43E0-B8FC-AC1667EBCBE1}">
              <a14:hiddenEffects xmlns:a14="http://schemas.microsoft.com/office/drawing/2010/main">
                <a:effectLst>
                  <a:innerShdw blurRad="25400" dist="25145" dir="18900000">
                    <a:scrgbClr r="0" g="0" b="0">
                      <a:alpha val="30000"/>
                    </a:scrgbClr>
                  </a:innerShdw>
                </a:effectLst>
              </a14:hiddenEffects>
            </a:ext>
          </a:extLst>
        </xdr:spPr>
        <xdr:style>
          <a:lnRef idx="0">
            <a:schemeClr val="lt1">
              <a:hueOff val="0"/>
              <a:satOff val="0"/>
              <a:lumOff val="0"/>
              <a:alphaOff val="0"/>
            </a:schemeClr>
          </a:lnRef>
          <a:fillRef idx="3">
            <a:schemeClr val="accent2">
              <a:hueOff val="4096329"/>
              <a:satOff val="-5109"/>
              <a:lumOff val="1201"/>
              <a:alphaOff val="0"/>
            </a:schemeClr>
          </a:fillRef>
          <a:effectRef idx="3">
            <a:schemeClr val="accent2">
              <a:hueOff val="4096329"/>
              <a:satOff val="-5109"/>
              <a:lumOff val="1201"/>
              <a:alphaOff val="0"/>
            </a:schemeClr>
          </a:effectRef>
          <a:fontRef idx="minor">
            <a:schemeClr val="lt1"/>
          </a:fontRef>
        </xdr:style>
        <xdr:txBody>
          <a:bodyPr spcFirstLastPara="0" vert="horz" wrap="square" lIns="38100" tIns="38100" rIns="38100" bIns="38100" numCol="1" spcCol="1270" anchor="ctr" anchorCtr="0">
            <a:noAutofit/>
          </a:bodyPr>
          <a:lstStyle/>
          <a:p>
            <a:pPr lvl="0" indent="0" algn="ctr" defTabSz="444500">
              <a:lnSpc>
                <a:spcPct val="90000"/>
              </a:lnSpc>
              <a:spcBef>
                <a:spcPct val="0"/>
              </a:spcBef>
              <a:spcAft>
                <a:spcPct val="35000"/>
              </a:spcAft>
            </a:pPr>
            <a:r>
              <a:rPr lang="en-US" sz="800" b="1" kern="1200">
                <a:solidFill>
                  <a:srgbClr val="000000"/>
                </a:solidFill>
                <a:latin typeface="Arial" panose="020B0604020202020204" pitchFamily="34" charset="0"/>
                <a:cs typeface="Arial" panose="020B0604020202020204" pitchFamily="34" charset="0"/>
              </a:rPr>
              <a:t> </a:t>
            </a:r>
          </a:p>
        </xdr:txBody>
      </xdr:sp>
      <xdr:sp macro="" textlink="">
        <xdr:nvSpPr>
          <xdr:cNvPr id="28" name="risks_3_1">
            <a:extLst>
              <a:ext uri="{FF2B5EF4-FFF2-40B4-BE49-F238E27FC236}">
                <a16:creationId xmlns:a16="http://schemas.microsoft.com/office/drawing/2014/main" id="{00000000-0008-0000-2700-00001C000000}"/>
              </a:ext>
            </a:extLst>
          </xdr:cNvPr>
          <xdr:cNvSpPr/>
        </xdr:nvSpPr>
        <xdr:spPr>
          <a:xfrm flipH="1">
            <a:off x="20410918" y="4685660"/>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solidFill>
            <a:srgbClr val="50D092"/>
          </a:solidFill>
          <a:ln>
            <a:noFill/>
          </a:ln>
          <a:effectLst/>
          <a:extLst>
            <a:ext uri="{91240B29-F687-4F45-9708-019B960494DF}">
              <a14:hiddenLine xmlns:a14="http://schemas.microsoft.com/office/drawing/2010/main">
                <a:noFill/>
              </a14:hiddenLine>
            </a:ext>
            <a:ext uri="{AF507438-7753-43E0-B8FC-AC1667EBCBE1}">
              <a14:hiddenEffects xmlns:a14="http://schemas.microsoft.com/office/drawing/2010/main">
                <a:effectLst>
                  <a:innerShdw blurRad="25400" dist="25145" dir="18900000">
                    <a:scrgbClr r="0" g="0" b="0">
                      <a:alpha val="30000"/>
                    </a:scrgbClr>
                  </a:innerShdw>
                </a:effectLst>
              </a14:hiddenEffects>
            </a:ext>
          </a:extLst>
        </xdr:spPr>
        <xdr:style>
          <a:lnRef idx="0">
            <a:schemeClr val="lt1">
              <a:hueOff val="0"/>
              <a:satOff val="0"/>
              <a:lumOff val="0"/>
              <a:alphaOff val="0"/>
            </a:schemeClr>
          </a:lnRef>
          <a:fillRef idx="3">
            <a:schemeClr val="accent2">
              <a:hueOff val="4291393"/>
              <a:satOff val="-5352"/>
              <a:lumOff val="1259"/>
              <a:alphaOff val="0"/>
            </a:schemeClr>
          </a:fillRef>
          <a:effectRef idx="3">
            <a:schemeClr val="accent2">
              <a:hueOff val="4291393"/>
              <a:satOff val="-5352"/>
              <a:lumOff val="1259"/>
              <a:alphaOff val="0"/>
            </a:schemeClr>
          </a:effectRef>
          <a:fontRef idx="minor">
            <a:schemeClr val="lt1"/>
          </a:fontRef>
        </xdr:style>
        <xdr:txBody>
          <a:bodyPr spcFirstLastPara="0" vert="horz" wrap="square" lIns="38100" tIns="38100" rIns="38100" bIns="38100" numCol="1" spcCol="1270" anchor="ctr" anchorCtr="0">
            <a:noAutofit/>
          </a:bodyPr>
          <a:lstStyle/>
          <a:p>
            <a:pPr lvl="0" indent="0" algn="ctr" defTabSz="444500">
              <a:lnSpc>
                <a:spcPct val="90000"/>
              </a:lnSpc>
              <a:spcBef>
                <a:spcPct val="0"/>
              </a:spcBef>
              <a:spcAft>
                <a:spcPct val="35000"/>
              </a:spcAft>
            </a:pPr>
            <a:r>
              <a:rPr lang="en-US" sz="800" b="1" kern="1200">
                <a:solidFill>
                  <a:srgbClr val="000000"/>
                </a:solidFill>
                <a:latin typeface="Arial" panose="020B0604020202020204" pitchFamily="34" charset="0"/>
                <a:cs typeface="Arial" panose="020B0604020202020204" pitchFamily="34" charset="0"/>
              </a:rPr>
              <a:t> </a:t>
            </a:r>
          </a:p>
        </xdr:txBody>
      </xdr:sp>
      <xdr:sp macro="" textlink="">
        <xdr:nvSpPr>
          <xdr:cNvPr id="29" name="risks_2_1">
            <a:extLst>
              <a:ext uri="{FF2B5EF4-FFF2-40B4-BE49-F238E27FC236}">
                <a16:creationId xmlns:a16="http://schemas.microsoft.com/office/drawing/2014/main" id="{00000000-0008-0000-2700-00001D000000}"/>
              </a:ext>
            </a:extLst>
          </xdr:cNvPr>
          <xdr:cNvSpPr/>
        </xdr:nvSpPr>
        <xdr:spPr>
          <a:xfrm flipH="1">
            <a:off x="18966271" y="4685660"/>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solidFill>
            <a:srgbClr val="50D092"/>
          </a:solidFill>
          <a:ln>
            <a:noFill/>
          </a:ln>
          <a:effectLst/>
          <a:extLst>
            <a:ext uri="{91240B29-F687-4F45-9708-019B960494DF}">
              <a14:hiddenLine xmlns:a14="http://schemas.microsoft.com/office/drawing/2010/main">
                <a:noFill/>
              </a14:hiddenLine>
            </a:ext>
            <a:ext uri="{AF507438-7753-43E0-B8FC-AC1667EBCBE1}">
              <a14:hiddenEffects xmlns:a14="http://schemas.microsoft.com/office/drawing/2010/main">
                <a:effectLst>
                  <a:innerShdw blurRad="25400" dist="25145" dir="18900000">
                    <a:scrgbClr r="0" g="0" b="0">
                      <a:alpha val="30000"/>
                    </a:scrgbClr>
                  </a:innerShdw>
                </a:effectLst>
              </a14:hiddenEffects>
            </a:ext>
          </a:extLst>
        </xdr:spPr>
        <xdr:style>
          <a:lnRef idx="0">
            <a:schemeClr val="lt1">
              <a:hueOff val="0"/>
              <a:satOff val="0"/>
              <a:lumOff val="0"/>
              <a:alphaOff val="0"/>
            </a:schemeClr>
          </a:lnRef>
          <a:fillRef idx="3">
            <a:schemeClr val="accent2">
              <a:hueOff val="4486456"/>
              <a:satOff val="-5596"/>
              <a:lumOff val="1316"/>
              <a:alphaOff val="0"/>
            </a:schemeClr>
          </a:fillRef>
          <a:effectRef idx="3">
            <a:schemeClr val="accent2">
              <a:hueOff val="4486456"/>
              <a:satOff val="-5596"/>
              <a:lumOff val="1316"/>
              <a:alphaOff val="0"/>
            </a:schemeClr>
          </a:effectRef>
          <a:fontRef idx="minor">
            <a:schemeClr val="lt1"/>
          </a:fontRef>
        </xdr:style>
        <xdr:txBody>
          <a:bodyPr spcFirstLastPara="0" vert="horz" wrap="square" lIns="38100" tIns="38100" rIns="38100" bIns="38100" numCol="1" spcCol="1270" anchor="ctr" anchorCtr="0">
            <a:noAutofit/>
          </a:bodyPr>
          <a:lstStyle/>
          <a:p>
            <a:pPr lvl="0" indent="0" algn="ctr" defTabSz="444500">
              <a:lnSpc>
                <a:spcPct val="90000"/>
              </a:lnSpc>
              <a:spcBef>
                <a:spcPct val="0"/>
              </a:spcBef>
              <a:spcAft>
                <a:spcPct val="35000"/>
              </a:spcAft>
            </a:pPr>
            <a:r>
              <a:rPr lang="en-US" sz="800" b="1" kern="1200">
                <a:solidFill>
                  <a:srgbClr val="000000"/>
                </a:solidFill>
                <a:latin typeface="Arial" panose="020B0604020202020204" pitchFamily="34" charset="0"/>
                <a:cs typeface="Arial" panose="020B0604020202020204" pitchFamily="34" charset="0"/>
              </a:rPr>
              <a:t> </a:t>
            </a:r>
          </a:p>
        </xdr:txBody>
      </xdr:sp>
      <xdr:sp macro="" textlink="">
        <xdr:nvSpPr>
          <xdr:cNvPr id="30" name="risks_1_1">
            <a:extLst>
              <a:ext uri="{FF2B5EF4-FFF2-40B4-BE49-F238E27FC236}">
                <a16:creationId xmlns:a16="http://schemas.microsoft.com/office/drawing/2014/main" id="{00000000-0008-0000-2700-00001E000000}"/>
              </a:ext>
            </a:extLst>
          </xdr:cNvPr>
          <xdr:cNvSpPr/>
        </xdr:nvSpPr>
        <xdr:spPr>
          <a:xfrm flipH="1">
            <a:off x="17521622" y="4685660"/>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solidFill>
            <a:srgbClr val="50D092"/>
          </a:solidFill>
          <a:ln>
            <a:noFill/>
          </a:ln>
          <a:effectLst/>
          <a:extLst>
            <a:ext uri="{91240B29-F687-4F45-9708-019B960494DF}">
              <a14:hiddenLine xmlns:a14="http://schemas.microsoft.com/office/drawing/2010/main">
                <a:noFill/>
              </a14:hiddenLine>
            </a:ext>
            <a:ext uri="{AF507438-7753-43E0-B8FC-AC1667EBCBE1}">
              <a14:hiddenEffects xmlns:a14="http://schemas.microsoft.com/office/drawing/2010/main">
                <a:effectLst>
                  <a:innerShdw blurRad="25400" dist="25145" dir="18900000">
                    <a:scrgbClr r="0" g="0" b="0">
                      <a:alpha val="30000"/>
                    </a:scrgbClr>
                  </a:innerShdw>
                </a:effectLst>
              </a14:hiddenEffects>
            </a:ext>
          </a:extLst>
        </xdr:spPr>
        <xdr:style>
          <a:lnRef idx="0">
            <a:schemeClr val="lt1">
              <a:hueOff val="0"/>
              <a:satOff val="0"/>
              <a:lumOff val="0"/>
              <a:alphaOff val="0"/>
            </a:schemeClr>
          </a:lnRef>
          <a:fillRef idx="3">
            <a:schemeClr val="accent2">
              <a:hueOff val="4681519"/>
              <a:satOff val="-5839"/>
              <a:lumOff val="1373"/>
              <a:alphaOff val="0"/>
            </a:schemeClr>
          </a:fillRef>
          <a:effectRef idx="3">
            <a:schemeClr val="accent2">
              <a:hueOff val="4681519"/>
              <a:satOff val="-5839"/>
              <a:lumOff val="1373"/>
              <a:alphaOff val="0"/>
            </a:schemeClr>
          </a:effectRef>
          <a:fontRef idx="minor">
            <a:schemeClr val="lt1"/>
          </a:fontRef>
        </xdr:style>
        <xdr:txBody>
          <a:bodyPr spcFirstLastPara="0" vert="horz" wrap="square" lIns="38100" tIns="38100" rIns="38100" bIns="38100" numCol="1" spcCol="1270" anchor="ctr" anchorCtr="0">
            <a:noAutofit/>
          </a:bodyPr>
          <a:lstStyle/>
          <a:p>
            <a:pPr lvl="0" indent="0" algn="ctr" defTabSz="444500">
              <a:lnSpc>
                <a:spcPct val="90000"/>
              </a:lnSpc>
              <a:spcBef>
                <a:spcPct val="0"/>
              </a:spcBef>
              <a:spcAft>
                <a:spcPct val="35000"/>
              </a:spcAft>
            </a:pPr>
            <a:r>
              <a:rPr lang="en-US" sz="800" b="1" kern="1200">
                <a:solidFill>
                  <a:srgbClr val="000000"/>
                </a:solidFill>
                <a:latin typeface="Arial" panose="020B0604020202020204" pitchFamily="34" charset="0"/>
                <a:cs typeface="Arial" panose="020B0604020202020204" pitchFamily="34" charset="0"/>
              </a:rPr>
              <a:t> </a:t>
            </a:r>
          </a:p>
        </xdr:txBody>
      </xdr:sp>
      <xdr:sp macro="" textlink="">
        <xdr:nvSpPr>
          <xdr:cNvPr id="31" name="risks_1">
            <a:extLst>
              <a:ext uri="{FF2B5EF4-FFF2-40B4-BE49-F238E27FC236}">
                <a16:creationId xmlns:a16="http://schemas.microsoft.com/office/drawing/2014/main" id="{00000000-0008-0000-2700-00001F000000}"/>
              </a:ext>
            </a:extLst>
          </xdr:cNvPr>
          <xdr:cNvSpPr/>
        </xdr:nvSpPr>
        <xdr:spPr>
          <a:xfrm>
            <a:off x="16803092" y="5421217"/>
            <a:ext cx="1200603" cy="436710"/>
          </a:xfrm>
          <a:prstGeom prst="rect">
            <a:avLst/>
          </a:prstGeom>
          <a:noFill/>
          <a:ln w="12700" cap="flat" cmpd="sng" algn="ctr">
            <a:noFill/>
            <a:prstDash val="solid"/>
            <a:miter lim="800000"/>
          </a:ln>
          <a:effectLst/>
          <a:extLst>
            <a:ext uri="{909E8E84-426E-40DD-AFC4-6F175D3DCCD1}">
              <a14:hiddenFill xmlns:a14="http://schemas.microsoft.com/office/drawing/2010/main">
                <a:noFill/>
              </a14:hiddenFill>
            </a:ext>
            <a:ext uri="{91240B29-F687-4F45-9708-019B960494DF}">
              <a14:hiddenLine xmlns:a14="http://schemas.microsoft.com/office/drawing/2010/main" w="12700" cap="flat" cmpd="sng" algn="ctr">
                <a:no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da-DK" sz="900" b="1" cap="none" spc="0">
                <a:ln w="0"/>
                <a:solidFill>
                  <a:schemeClr val="tx1"/>
                </a:solidFill>
                <a:effectLst/>
                <a:latin typeface="Arial" panose="020B0604020202020204" pitchFamily="34" charset="0"/>
                <a:ea typeface="+mn-ea"/>
                <a:cs typeface="Arial" panose="020B0604020202020204" pitchFamily="34" charset="0"/>
              </a:rPr>
              <a:t>Sandsynlighed</a:t>
            </a:r>
            <a:endParaRPr lang="da-DK" sz="800" b="1" cap="none" spc="0">
              <a:ln w="0"/>
              <a:solidFill>
                <a:schemeClr val="tx1"/>
              </a:solidFill>
              <a:effectLst/>
              <a:latin typeface="Arial" panose="020B0604020202020204" pitchFamily="34" charset="0"/>
              <a:ea typeface="+mn-ea"/>
              <a:cs typeface="Arial" panose="020B0604020202020204" pitchFamily="34" charset="0"/>
            </a:endParaRPr>
          </a:p>
        </xdr:txBody>
      </xdr:sp>
      <xdr:sp macro="" textlink="">
        <xdr:nvSpPr>
          <xdr:cNvPr id="32" name="risks_0">
            <a:extLst>
              <a:ext uri="{FF2B5EF4-FFF2-40B4-BE49-F238E27FC236}">
                <a16:creationId xmlns:a16="http://schemas.microsoft.com/office/drawing/2014/main" id="{00000000-0008-0000-2700-000020000000}"/>
              </a:ext>
            </a:extLst>
          </xdr:cNvPr>
          <xdr:cNvSpPr/>
        </xdr:nvSpPr>
        <xdr:spPr>
          <a:xfrm>
            <a:off x="16829906" y="1713291"/>
            <a:ext cx="1247750" cy="475924"/>
          </a:xfrm>
          <a:prstGeom prst="rect">
            <a:avLst/>
          </a:prstGeom>
          <a:noFill/>
          <a:ln w="12700" cap="flat" cmpd="sng" algn="ctr">
            <a:noFill/>
            <a:prstDash val="solid"/>
            <a:miter lim="800000"/>
          </a:ln>
          <a:effectLst/>
          <a:extLst>
            <a:ext uri="{909E8E84-426E-40DD-AFC4-6F175D3DCCD1}">
              <a14:hiddenFill xmlns:a14="http://schemas.microsoft.com/office/drawing/2010/main">
                <a:noFill/>
              </a14:hiddenFill>
            </a:ext>
            <a:ext uri="{91240B29-F687-4F45-9708-019B960494DF}">
              <a14:hiddenLine xmlns:a14="http://schemas.microsoft.com/office/drawing/2010/main" w="12700" cap="flat" cmpd="sng" algn="ctr">
                <a:no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l"/>
            <a:r>
              <a:rPr lang="da-DK" sz="900" b="1" cap="none" spc="0">
                <a:ln w="0"/>
                <a:solidFill>
                  <a:schemeClr val="tx1"/>
                </a:solidFill>
                <a:effectLst/>
                <a:latin typeface="Arial" panose="020B0604020202020204" pitchFamily="34" charset="0"/>
                <a:cs typeface="Arial" panose="020B0604020202020204" pitchFamily="34" charset="0"/>
              </a:rPr>
              <a:t>Konsekvens</a:t>
            </a:r>
            <a:endParaRPr lang="da-DK" sz="800" b="1" cap="none" spc="0">
              <a:ln w="0"/>
              <a:solidFill>
                <a:schemeClr val="tx1"/>
              </a:solidFill>
              <a:effectLst/>
              <a:latin typeface="Arial" panose="020B0604020202020204" pitchFamily="34" charset="0"/>
              <a:cs typeface="Arial" panose="020B0604020202020204" pitchFamily="34" charset="0"/>
            </a:endParaRPr>
          </a:p>
        </xdr:txBody>
      </xdr:sp>
      <xdr:sp macro="" textlink="">
        <xdr:nvSpPr>
          <xdr:cNvPr id="33" name="Freeform 32">
            <a:extLst>
              <a:ext uri="{FF2B5EF4-FFF2-40B4-BE49-F238E27FC236}">
                <a16:creationId xmlns:a16="http://schemas.microsoft.com/office/drawing/2014/main" id="{00000000-0008-0000-2700-000021000000}"/>
              </a:ext>
            </a:extLst>
          </xdr:cNvPr>
          <xdr:cNvSpPr/>
        </xdr:nvSpPr>
        <xdr:spPr>
          <a:xfrm flipH="1">
            <a:off x="17063555" y="2185259"/>
            <a:ext cx="372639" cy="561121"/>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xdr:spPr>
        <xdr:style>
          <a:lnRef idx="0">
            <a:schemeClr val="lt1">
              <a:hueOff val="0"/>
              <a:satOff val="0"/>
              <a:lumOff val="0"/>
              <a:alphaOff val="0"/>
            </a:schemeClr>
          </a:lnRef>
          <a:fillRef idx="3">
            <a:schemeClr val="accent2">
              <a:hueOff val="780253"/>
              <a:satOff val="-973"/>
              <a:lumOff val="229"/>
              <a:alphaOff val="0"/>
            </a:schemeClr>
          </a:fillRef>
          <a:effectRef idx="3">
            <a:schemeClr val="accent2">
              <a:hueOff val="780253"/>
              <a:satOff val="-973"/>
              <a:lumOff val="229"/>
              <a:alphaOff val="0"/>
            </a:schemeClr>
          </a:effectRef>
          <a:fontRef idx="minor">
            <a:schemeClr val="lt1"/>
          </a:fontRef>
        </xdr:style>
        <xdr: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US" sz="800" b="0" kern="1200" cap="none" spc="0">
                <a:ln w="0">
                  <a:noFill/>
                </a:ln>
                <a:solidFill>
                  <a:schemeClr val="tx1"/>
                </a:solidFill>
                <a:effectLst/>
                <a:latin typeface="Arial" panose="020B0604020202020204" pitchFamily="34" charset="0"/>
                <a:cs typeface="Arial" panose="020B0604020202020204" pitchFamily="34" charset="0"/>
              </a:rPr>
              <a:t>5</a:t>
            </a:r>
          </a:p>
        </xdr:txBody>
      </xdr:sp>
      <xdr:sp macro="" textlink="">
        <xdr:nvSpPr>
          <xdr:cNvPr id="34" name="Freeform 33">
            <a:extLst>
              <a:ext uri="{FF2B5EF4-FFF2-40B4-BE49-F238E27FC236}">
                <a16:creationId xmlns:a16="http://schemas.microsoft.com/office/drawing/2014/main" id="{00000000-0008-0000-2700-000022000000}"/>
              </a:ext>
            </a:extLst>
          </xdr:cNvPr>
          <xdr:cNvSpPr/>
        </xdr:nvSpPr>
        <xdr:spPr>
          <a:xfrm flipH="1">
            <a:off x="17063555" y="2810253"/>
            <a:ext cx="372639" cy="561121"/>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xdr:spPr>
        <xdr:style>
          <a:lnRef idx="0">
            <a:schemeClr val="lt1">
              <a:hueOff val="0"/>
              <a:satOff val="0"/>
              <a:lumOff val="0"/>
              <a:alphaOff val="0"/>
            </a:schemeClr>
          </a:lnRef>
          <a:fillRef idx="3">
            <a:schemeClr val="accent2">
              <a:hueOff val="1755570"/>
              <a:satOff val="-2190"/>
              <a:lumOff val="515"/>
              <a:alphaOff val="0"/>
            </a:schemeClr>
          </a:fillRef>
          <a:effectRef idx="3">
            <a:schemeClr val="accent2">
              <a:hueOff val="1755570"/>
              <a:satOff val="-2190"/>
              <a:lumOff val="515"/>
              <a:alphaOff val="0"/>
            </a:schemeClr>
          </a:effectRef>
          <a:fontRef idx="minor">
            <a:schemeClr val="lt1"/>
          </a:fontRef>
        </xdr:style>
        <xdr: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US" sz="800" b="0" kern="1200" cap="none" spc="0">
                <a:ln>
                  <a:noFill/>
                </a:ln>
                <a:solidFill>
                  <a:schemeClr val="tx1"/>
                </a:solidFill>
                <a:effectLst/>
                <a:latin typeface="Arial" panose="020B0604020202020204" pitchFamily="34" charset="0"/>
                <a:cs typeface="Arial" panose="020B0604020202020204" pitchFamily="34" charset="0"/>
              </a:rPr>
              <a:t>4</a:t>
            </a:r>
            <a:endParaRPr lang="en-US" sz="800" b="0" kern="120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sp macro="" textlink="">
        <xdr:nvSpPr>
          <xdr:cNvPr id="35" name="Freeform 34">
            <a:extLst>
              <a:ext uri="{FF2B5EF4-FFF2-40B4-BE49-F238E27FC236}">
                <a16:creationId xmlns:a16="http://schemas.microsoft.com/office/drawing/2014/main" id="{00000000-0008-0000-2700-000023000000}"/>
              </a:ext>
            </a:extLst>
          </xdr:cNvPr>
          <xdr:cNvSpPr/>
        </xdr:nvSpPr>
        <xdr:spPr>
          <a:xfrm flipH="1">
            <a:off x="17063555" y="3435250"/>
            <a:ext cx="372639" cy="561121"/>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xdr:spPr>
        <xdr:style>
          <a:lnRef idx="0">
            <a:schemeClr val="lt1">
              <a:hueOff val="0"/>
              <a:satOff val="0"/>
              <a:lumOff val="0"/>
              <a:alphaOff val="0"/>
            </a:schemeClr>
          </a:lnRef>
          <a:fillRef idx="3">
            <a:schemeClr val="accent2">
              <a:hueOff val="2730886"/>
              <a:satOff val="-3406"/>
              <a:lumOff val="801"/>
              <a:alphaOff val="0"/>
            </a:schemeClr>
          </a:fillRef>
          <a:effectRef idx="3">
            <a:schemeClr val="accent2">
              <a:hueOff val="2730886"/>
              <a:satOff val="-3406"/>
              <a:lumOff val="801"/>
              <a:alphaOff val="0"/>
            </a:schemeClr>
          </a:effectRef>
          <a:fontRef idx="minor">
            <a:schemeClr val="lt1"/>
          </a:fontRef>
        </xdr:style>
        <xdr: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US" sz="800" b="0" kern="120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a:t>
            </a:r>
          </a:p>
        </xdr:txBody>
      </xdr:sp>
      <xdr:sp macro="" textlink="">
        <xdr:nvSpPr>
          <xdr:cNvPr id="36" name="Freeform 35">
            <a:extLst>
              <a:ext uri="{FF2B5EF4-FFF2-40B4-BE49-F238E27FC236}">
                <a16:creationId xmlns:a16="http://schemas.microsoft.com/office/drawing/2014/main" id="{00000000-0008-0000-2700-000024000000}"/>
              </a:ext>
            </a:extLst>
          </xdr:cNvPr>
          <xdr:cNvSpPr/>
        </xdr:nvSpPr>
        <xdr:spPr>
          <a:xfrm flipH="1">
            <a:off x="17063555" y="4060245"/>
            <a:ext cx="372639" cy="561121"/>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xdr:spPr>
        <xdr:style>
          <a:lnRef idx="0">
            <a:schemeClr val="lt1">
              <a:hueOff val="0"/>
              <a:satOff val="0"/>
              <a:lumOff val="0"/>
              <a:alphaOff val="0"/>
            </a:schemeClr>
          </a:lnRef>
          <a:fillRef idx="3">
            <a:schemeClr val="accent2">
              <a:hueOff val="3706203"/>
              <a:satOff val="-4623"/>
              <a:lumOff val="1087"/>
              <a:alphaOff val="0"/>
            </a:schemeClr>
          </a:fillRef>
          <a:effectRef idx="3">
            <a:schemeClr val="accent2">
              <a:hueOff val="3706203"/>
              <a:satOff val="-4623"/>
              <a:lumOff val="1087"/>
              <a:alphaOff val="0"/>
            </a:schemeClr>
          </a:effectRef>
          <a:fontRef idx="minor">
            <a:schemeClr val="lt1"/>
          </a:fontRef>
        </xdr:style>
        <xdr: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US" sz="800" b="0" kern="120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a:t>
            </a:r>
          </a:p>
        </xdr:txBody>
      </xdr:sp>
      <xdr:sp macro="" textlink="">
        <xdr:nvSpPr>
          <xdr:cNvPr id="37" name="Freeform 36">
            <a:extLst>
              <a:ext uri="{FF2B5EF4-FFF2-40B4-BE49-F238E27FC236}">
                <a16:creationId xmlns:a16="http://schemas.microsoft.com/office/drawing/2014/main" id="{00000000-0008-0000-2700-000025000000}"/>
              </a:ext>
            </a:extLst>
          </xdr:cNvPr>
          <xdr:cNvSpPr/>
        </xdr:nvSpPr>
        <xdr:spPr>
          <a:xfrm flipH="1">
            <a:off x="17063555" y="4685239"/>
            <a:ext cx="372639" cy="561121"/>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xdr:spPr>
        <xdr:style>
          <a:lnRef idx="0">
            <a:schemeClr val="lt1">
              <a:hueOff val="0"/>
              <a:satOff val="0"/>
              <a:lumOff val="0"/>
              <a:alphaOff val="0"/>
            </a:schemeClr>
          </a:lnRef>
          <a:fillRef idx="3">
            <a:schemeClr val="accent2">
              <a:hueOff val="4681519"/>
              <a:satOff val="-5839"/>
              <a:lumOff val="1373"/>
              <a:alphaOff val="0"/>
            </a:schemeClr>
          </a:fillRef>
          <a:effectRef idx="3">
            <a:schemeClr val="accent2">
              <a:hueOff val="4681519"/>
              <a:satOff val="-5839"/>
              <a:lumOff val="1373"/>
              <a:alphaOff val="0"/>
            </a:schemeClr>
          </a:effectRef>
          <a:fontRef idx="minor">
            <a:schemeClr val="lt1"/>
          </a:fontRef>
        </xdr:style>
        <xdr: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US" sz="800" b="0" kern="120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a:t>
            </a:r>
          </a:p>
        </xdr:txBody>
      </xdr:sp>
      <xdr:sp macro="" textlink="">
        <xdr:nvSpPr>
          <xdr:cNvPr id="38" name="Freeform 37">
            <a:extLst>
              <a:ext uri="{FF2B5EF4-FFF2-40B4-BE49-F238E27FC236}">
                <a16:creationId xmlns:a16="http://schemas.microsoft.com/office/drawing/2014/main" id="{00000000-0008-0000-2700-000026000000}"/>
              </a:ext>
            </a:extLst>
          </xdr:cNvPr>
          <xdr:cNvSpPr/>
        </xdr:nvSpPr>
        <xdr:spPr>
          <a:xfrm flipH="1">
            <a:off x="23295797" y="5383398"/>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xdr:spPr>
        <xdr:style>
          <a:lnRef idx="0">
            <a:schemeClr val="lt1">
              <a:hueOff val="0"/>
              <a:satOff val="0"/>
              <a:lumOff val="0"/>
              <a:alphaOff val="0"/>
            </a:schemeClr>
          </a:lnRef>
          <a:fillRef idx="3">
            <a:schemeClr val="accent2">
              <a:hueOff val="3901266"/>
              <a:satOff val="-4866"/>
              <a:lumOff val="1144"/>
              <a:alphaOff val="0"/>
            </a:schemeClr>
          </a:fillRef>
          <a:effectRef idx="3">
            <a:schemeClr val="accent2">
              <a:hueOff val="3901266"/>
              <a:satOff val="-4866"/>
              <a:lumOff val="1144"/>
              <a:alphaOff val="0"/>
            </a:schemeClr>
          </a:effectRef>
          <a:fontRef idx="minor">
            <a:schemeClr val="lt1"/>
          </a:fontRef>
        </xdr:style>
        <xdr: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US" sz="800" b="0" kern="120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5</a:t>
            </a:r>
          </a:p>
        </xdr:txBody>
      </xdr:sp>
      <xdr:sp macro="" textlink="">
        <xdr:nvSpPr>
          <xdr:cNvPr id="39" name="Freeform 38">
            <a:extLst>
              <a:ext uri="{FF2B5EF4-FFF2-40B4-BE49-F238E27FC236}">
                <a16:creationId xmlns:a16="http://schemas.microsoft.com/office/drawing/2014/main" id="{00000000-0008-0000-2700-000027000000}"/>
              </a:ext>
            </a:extLst>
          </xdr:cNvPr>
          <xdr:cNvSpPr/>
        </xdr:nvSpPr>
        <xdr:spPr>
          <a:xfrm flipH="1">
            <a:off x="21851150" y="5383398"/>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xdr:spPr>
        <xdr:style>
          <a:lnRef idx="0">
            <a:schemeClr val="lt1">
              <a:hueOff val="0"/>
              <a:satOff val="0"/>
              <a:lumOff val="0"/>
              <a:alphaOff val="0"/>
            </a:schemeClr>
          </a:lnRef>
          <a:fillRef idx="3">
            <a:schemeClr val="accent2">
              <a:hueOff val="4096329"/>
              <a:satOff val="-5109"/>
              <a:lumOff val="1201"/>
              <a:alphaOff val="0"/>
            </a:schemeClr>
          </a:fillRef>
          <a:effectRef idx="3">
            <a:schemeClr val="accent2">
              <a:hueOff val="4096329"/>
              <a:satOff val="-5109"/>
              <a:lumOff val="1201"/>
              <a:alphaOff val="0"/>
            </a:schemeClr>
          </a:effectRef>
          <a:fontRef idx="minor">
            <a:schemeClr val="lt1"/>
          </a:fontRef>
        </xdr:style>
        <xdr: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US" sz="800" b="0" kern="120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4</a:t>
            </a:r>
          </a:p>
        </xdr:txBody>
      </xdr:sp>
      <xdr:sp macro="" textlink="">
        <xdr:nvSpPr>
          <xdr:cNvPr id="40" name="Freeform 39">
            <a:extLst>
              <a:ext uri="{FF2B5EF4-FFF2-40B4-BE49-F238E27FC236}">
                <a16:creationId xmlns:a16="http://schemas.microsoft.com/office/drawing/2014/main" id="{00000000-0008-0000-2700-000028000000}"/>
              </a:ext>
            </a:extLst>
          </xdr:cNvPr>
          <xdr:cNvSpPr/>
        </xdr:nvSpPr>
        <xdr:spPr>
          <a:xfrm flipH="1">
            <a:off x="20406501" y="5383398"/>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xdr:spPr>
        <xdr:style>
          <a:lnRef idx="0">
            <a:schemeClr val="lt1">
              <a:hueOff val="0"/>
              <a:satOff val="0"/>
              <a:lumOff val="0"/>
              <a:alphaOff val="0"/>
            </a:schemeClr>
          </a:lnRef>
          <a:fillRef idx="3">
            <a:schemeClr val="accent2">
              <a:hueOff val="4291393"/>
              <a:satOff val="-5352"/>
              <a:lumOff val="1259"/>
              <a:alphaOff val="0"/>
            </a:schemeClr>
          </a:fillRef>
          <a:effectRef idx="3">
            <a:schemeClr val="accent2">
              <a:hueOff val="4291393"/>
              <a:satOff val="-5352"/>
              <a:lumOff val="1259"/>
              <a:alphaOff val="0"/>
            </a:schemeClr>
          </a:effectRef>
          <a:fontRef idx="minor">
            <a:schemeClr val="lt1"/>
          </a:fontRef>
        </xdr:style>
        <xdr: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US" sz="800" b="0" kern="120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a:t>
            </a:r>
          </a:p>
        </xdr:txBody>
      </xdr:sp>
      <xdr:sp macro="" textlink="">
        <xdr:nvSpPr>
          <xdr:cNvPr id="41" name="Freeform 40">
            <a:extLst>
              <a:ext uri="{FF2B5EF4-FFF2-40B4-BE49-F238E27FC236}">
                <a16:creationId xmlns:a16="http://schemas.microsoft.com/office/drawing/2014/main" id="{00000000-0008-0000-2700-000029000000}"/>
              </a:ext>
            </a:extLst>
          </xdr:cNvPr>
          <xdr:cNvSpPr/>
        </xdr:nvSpPr>
        <xdr:spPr>
          <a:xfrm flipH="1">
            <a:off x="18961854" y="5383398"/>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xdr:spPr>
        <xdr:style>
          <a:lnRef idx="0">
            <a:schemeClr val="lt1">
              <a:hueOff val="0"/>
              <a:satOff val="0"/>
              <a:lumOff val="0"/>
              <a:alphaOff val="0"/>
            </a:schemeClr>
          </a:lnRef>
          <a:fillRef idx="3">
            <a:schemeClr val="accent2">
              <a:hueOff val="4486456"/>
              <a:satOff val="-5596"/>
              <a:lumOff val="1316"/>
              <a:alphaOff val="0"/>
            </a:schemeClr>
          </a:fillRef>
          <a:effectRef idx="3">
            <a:schemeClr val="accent2">
              <a:hueOff val="4486456"/>
              <a:satOff val="-5596"/>
              <a:lumOff val="1316"/>
              <a:alphaOff val="0"/>
            </a:schemeClr>
          </a:effectRef>
          <a:fontRef idx="minor">
            <a:schemeClr val="lt1"/>
          </a:fontRef>
        </xdr:style>
        <xdr: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US" sz="800" b="0" kern="120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a:t>
            </a:r>
          </a:p>
        </xdr:txBody>
      </xdr:sp>
      <xdr:sp macro="" textlink="">
        <xdr:nvSpPr>
          <xdr:cNvPr id="42" name="Freeform 41">
            <a:extLst>
              <a:ext uri="{FF2B5EF4-FFF2-40B4-BE49-F238E27FC236}">
                <a16:creationId xmlns:a16="http://schemas.microsoft.com/office/drawing/2014/main" id="{00000000-0008-0000-2700-00002A000000}"/>
              </a:ext>
            </a:extLst>
          </xdr:cNvPr>
          <xdr:cNvSpPr/>
        </xdr:nvSpPr>
        <xdr:spPr>
          <a:xfrm flipH="1">
            <a:off x="17517205" y="5383398"/>
            <a:ext cx="1313317" cy="535709"/>
          </a:xfrm>
          <a:custGeom>
            <a:avLst/>
            <a:gdLst>
              <a:gd name="connsiteX0" fmla="*/ 0 w 401169"/>
              <a:gd name="connsiteY0" fmla="*/ 0 h 240701"/>
              <a:gd name="connsiteX1" fmla="*/ 401169 w 401169"/>
              <a:gd name="connsiteY1" fmla="*/ 0 h 240701"/>
              <a:gd name="connsiteX2" fmla="*/ 401169 w 401169"/>
              <a:gd name="connsiteY2" fmla="*/ 240701 h 240701"/>
              <a:gd name="connsiteX3" fmla="*/ 0 w 401169"/>
              <a:gd name="connsiteY3" fmla="*/ 240701 h 240701"/>
              <a:gd name="connsiteX4" fmla="*/ 0 w 401169"/>
              <a:gd name="connsiteY4" fmla="*/ 0 h 2407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01169" h="240701">
                <a:moveTo>
                  <a:pt x="0" y="0"/>
                </a:moveTo>
                <a:lnTo>
                  <a:pt x="401169" y="0"/>
                </a:lnTo>
                <a:lnTo>
                  <a:pt x="401169" y="240701"/>
                </a:lnTo>
                <a:lnTo>
                  <a:pt x="0" y="240701"/>
                </a:lnTo>
                <a:lnTo>
                  <a:pt x="0" y="0"/>
                </a:lnTo>
                <a:close/>
              </a:path>
            </a:pathLst>
          </a:cu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xdr:spPr>
        <xdr:style>
          <a:lnRef idx="0">
            <a:schemeClr val="lt1">
              <a:hueOff val="0"/>
              <a:satOff val="0"/>
              <a:lumOff val="0"/>
              <a:alphaOff val="0"/>
            </a:schemeClr>
          </a:lnRef>
          <a:fillRef idx="3">
            <a:schemeClr val="accent2">
              <a:hueOff val="4681519"/>
              <a:satOff val="-5839"/>
              <a:lumOff val="1373"/>
              <a:alphaOff val="0"/>
            </a:schemeClr>
          </a:fillRef>
          <a:effectRef idx="3">
            <a:schemeClr val="accent2">
              <a:hueOff val="4681519"/>
              <a:satOff val="-5839"/>
              <a:lumOff val="1373"/>
              <a:alphaOff val="0"/>
            </a:schemeClr>
          </a:effectRef>
          <a:fontRef idx="minor">
            <a:schemeClr val="lt1"/>
          </a:fontRef>
        </xdr:style>
        <xdr: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US" sz="800" b="0" kern="1200" cap="none" spc="0">
                <a:ln>
                  <a:noFill/>
                </a:ln>
                <a:solidFill>
                  <a:schemeClr val="tx1"/>
                </a:solidFill>
                <a:effectLst/>
                <a:latin typeface="Arial" panose="020B0604020202020204" pitchFamily="34" charset="0"/>
                <a:cs typeface="Arial" panose="020B0604020202020204" pitchFamily="34" charset="0"/>
              </a:rPr>
              <a:t>1</a:t>
            </a:r>
          </a:p>
        </xdr:txBody>
      </xdr:sp>
      <xdr:sp macro="" textlink="">
        <xdr:nvSpPr>
          <xdr:cNvPr id="43" name="Round Single Corner Rectangle 42">
            <a:extLst>
              <a:ext uri="{FF2B5EF4-FFF2-40B4-BE49-F238E27FC236}">
                <a16:creationId xmlns:a16="http://schemas.microsoft.com/office/drawing/2014/main" id="{00000000-0008-0000-2700-00002B000000}"/>
              </a:ext>
            </a:extLst>
          </xdr:cNvPr>
          <xdr:cNvSpPr/>
        </xdr:nvSpPr>
        <xdr:spPr>
          <a:xfrm flipH="1">
            <a:off x="16840694" y="1691915"/>
            <a:ext cx="7869878" cy="4165019"/>
          </a:xfrm>
          <a:prstGeom prst="round1Rect">
            <a:avLst>
              <a:gd name="adj" fmla="val 5091"/>
            </a:avLst>
          </a:prstGeom>
          <a:noFill/>
          <a:ln w="12700" cap="flat" cmpd="sng" algn="ctr">
            <a:gradFill flip="none" rotWithShape="1">
              <a:gsLst>
                <a:gs pos="34000">
                  <a:schemeClr val="bg1">
                    <a:lumMod val="65000"/>
                  </a:schemeClr>
                </a:gs>
                <a:gs pos="47000">
                  <a:srgbClr val="F8F8DE">
                    <a:alpha val="0"/>
                  </a:srgbClr>
                </a:gs>
              </a:gsLst>
              <a:lin ang="6120000" scaled="0"/>
              <a:tileRect/>
            </a:gra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a-DK" sz="800">
              <a:latin typeface="Arial" panose="020B0604020202020204" pitchFamily="34" charset="0"/>
              <a:cs typeface="Arial" panose="020B0604020202020204" pitchFamily="34" charset="0"/>
            </a:endParaRPr>
          </a:p>
        </xdr:txBody>
      </xdr:sp>
    </xdr:grpSp>
    <xdr:clientData/>
  </xdr:twoCellAnchor>
  <xdr:twoCellAnchor>
    <xdr:from>
      <xdr:col>24</xdr:col>
      <xdr:colOff>219123</xdr:colOff>
      <xdr:row>1</xdr:row>
      <xdr:rowOff>1755865</xdr:rowOff>
    </xdr:from>
    <xdr:to>
      <xdr:col>42</xdr:col>
      <xdr:colOff>4481</xdr:colOff>
      <xdr:row>1</xdr:row>
      <xdr:rowOff>3282363</xdr:rowOff>
    </xdr:to>
    <xdr:graphicFrame macro="">
      <xdr:nvGraphicFramePr>
        <xdr:cNvPr id="44" name="graph_B" descr="s_0_##md_0_model_reporting_header|md_3_header_title|md_3_start_line2b_0|md_3_chart-B_0#__________#md_0_model_reporting_dashboard_l2b#c_0_graphB">
          <a:extLst>
            <a:ext uri="{FF2B5EF4-FFF2-40B4-BE49-F238E27FC236}">
              <a16:creationId xmlns:a16="http://schemas.microsoft.com/office/drawing/2014/main" id="{00000000-0008-0000-27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87086</xdr:colOff>
      <xdr:row>1</xdr:row>
      <xdr:rowOff>3326675</xdr:rowOff>
    </xdr:from>
    <xdr:to>
      <xdr:col>21</xdr:col>
      <xdr:colOff>197352</xdr:colOff>
      <xdr:row>1</xdr:row>
      <xdr:rowOff>5110715</xdr:rowOff>
    </xdr:to>
    <xdr:graphicFrame macro="">
      <xdr:nvGraphicFramePr>
        <xdr:cNvPr id="45" name="graph_A" descr="s_0_##md_0_model_reporting_header|md_3_header_title|md_3_start_line3a_0|md_3_chart-A_0#__________#md_0_model_reporting_dashboard_l3a#c_0_graphA">
          <a:extLst>
            <a:ext uri="{FF2B5EF4-FFF2-40B4-BE49-F238E27FC236}">
              <a16:creationId xmlns:a16="http://schemas.microsoft.com/office/drawing/2014/main" id="{00000000-0008-0000-27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197352</xdr:colOff>
      <xdr:row>1</xdr:row>
      <xdr:rowOff>3326676</xdr:rowOff>
    </xdr:from>
    <xdr:to>
      <xdr:col>40</xdr:col>
      <xdr:colOff>90672</xdr:colOff>
      <xdr:row>1</xdr:row>
      <xdr:rowOff>5110716</xdr:rowOff>
    </xdr:to>
    <xdr:graphicFrame macro="">
      <xdr:nvGraphicFramePr>
        <xdr:cNvPr id="46" name="graph_D" descr="s_0_##md_0_model_reporting_header|md_3_header_title|md_3_start_line3b_0|md_3_chart-D_0a#__________#md_0_model_reporting_dashboard_l3b#c_0_graphD">
          <a:extLst>
            <a:ext uri="{FF2B5EF4-FFF2-40B4-BE49-F238E27FC236}">
              <a16:creationId xmlns:a16="http://schemas.microsoft.com/office/drawing/2014/main" id="{00000000-0008-0000-27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132550</xdr:colOff>
      <xdr:row>0</xdr:row>
      <xdr:rowOff>0</xdr:rowOff>
    </xdr:from>
    <xdr:to>
      <xdr:col>21</xdr:col>
      <xdr:colOff>243939</xdr:colOff>
      <xdr:row>0</xdr:row>
      <xdr:rowOff>0</xdr:rowOff>
    </xdr:to>
    <xdr:grpSp>
      <xdr:nvGrpSpPr>
        <xdr:cNvPr id="47" name="svg_roadmap" descr="s_0_##md_0_model_reporting_header|md_3_header_title|md_3_start_line1a_0|md_3_roadmap_shape#__________#md_0_model_reporting_dashboard_l1a#s_0_roadmap">
          <a:extLst>
            <a:ext uri="{FF2B5EF4-FFF2-40B4-BE49-F238E27FC236}">
              <a16:creationId xmlns:a16="http://schemas.microsoft.com/office/drawing/2014/main" id="{00000000-0008-0000-2700-00002F000000}"/>
            </a:ext>
          </a:extLst>
        </xdr:cNvPr>
        <xdr:cNvGrpSpPr/>
      </xdr:nvGrpSpPr>
      <xdr:grpSpPr>
        <a:xfrm>
          <a:off x="637375" y="0"/>
          <a:ext cx="6216914" cy="0"/>
          <a:chOff x="0" y="0"/>
          <a:chExt cx="5496176" cy="1440572"/>
        </a:xfrm>
      </xdr:grpSpPr>
      <xdr:sp macro="" textlink="">
        <xdr:nvSpPr>
          <xdr:cNvPr id="48" name="roadmap_1_2_0_0">
            <a:extLst>
              <a:ext uri="{FF2B5EF4-FFF2-40B4-BE49-F238E27FC236}">
                <a16:creationId xmlns:a16="http://schemas.microsoft.com/office/drawing/2014/main" id="{00000000-0008-0000-2700-000030000000}"/>
              </a:ext>
            </a:extLst>
          </xdr:cNvPr>
          <xdr:cNvSpPr/>
        </xdr:nvSpPr>
        <xdr:spPr>
          <a:xfrm>
            <a:off x="1657701" y="430103"/>
            <a:ext cx="1879594" cy="471951"/>
          </a:xfrm>
          <a:prstGeom prst="round2SameRect">
            <a:avLst/>
          </a:prstGeom>
          <a:noFill/>
          <a:ln w="12700" cap="flat" cmpd="sng" algn="ctr">
            <a:gradFill flip="none" rotWithShape="1">
              <a:gsLst>
                <a:gs pos="30000">
                  <a:schemeClr val="bg1">
                    <a:lumMod val="65000"/>
                  </a:schemeClr>
                </a:gs>
                <a:gs pos="46000">
                  <a:srgbClr val="F8F8DE">
                    <a:alpha val="0"/>
                  </a:srgbClr>
                </a:gs>
              </a:gsLst>
              <a:lin ang="6060000" scaled="0"/>
              <a:tileRect/>
            </a:gradFill>
            <a:prstDash val="solid"/>
            <a:miter lim="800000"/>
          </a:ln>
          <a:effectLst/>
          <a:extLst>
            <a:ext uri="{909E8E84-426E-40DD-AFC4-6F175D3DCCD1}">
              <a14:hiddenFill xmlns:a14="http://schemas.microsoft.com/office/drawing/2010/main">
                <a:noFill/>
              </a14:hiddenFill>
            </a:ext>
          </a:extLst>
        </xdr:spPr>
        <xdr:style>
          <a:lnRef idx="2">
            <a:schemeClr val="accent1">
              <a:hueOff val="0"/>
              <a:satOff val="0"/>
              <a:lumOff val="0"/>
              <a:alphaOff val="0"/>
            </a:schemeClr>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72000" tIns="72000" rIns="0" bIns="136123" numCol="1" spcCol="1270" anchor="t" anchorCtr="0">
            <a:noAutofit/>
          </a:bodyPr>
          <a:lstStyle>
            <a:defPPr>
              <a:defRPr lang="da-DK"/>
            </a:defPPr>
            <a:lvl1pPr marL="0" algn="l" defTabSz="914400" rtl="0" eaLnBrk="1" latinLnBrk="0" hangingPunct="1">
              <a:defRPr sz="1800" kern="1200">
                <a:solidFill>
                  <a:schemeClr val="dk1">
                    <a:hueOff val="0"/>
                    <a:satOff val="0"/>
                    <a:lumOff val="0"/>
                    <a:alphaOff val="0"/>
                  </a:schemeClr>
                </a:solidFill>
                <a:latin typeface="+mn-lt"/>
                <a:ea typeface="+mn-ea"/>
                <a:cs typeface="+mn-cs"/>
              </a:defRPr>
            </a:lvl1pPr>
            <a:lvl2pPr marL="457200" algn="l" defTabSz="914400" rtl="0" eaLnBrk="1" latinLnBrk="0" hangingPunct="1">
              <a:defRPr sz="1800" kern="1200">
                <a:solidFill>
                  <a:schemeClr val="dk1">
                    <a:hueOff val="0"/>
                    <a:satOff val="0"/>
                    <a:lumOff val="0"/>
                    <a:alphaOff val="0"/>
                  </a:schemeClr>
                </a:solidFill>
                <a:latin typeface="+mn-lt"/>
                <a:ea typeface="+mn-ea"/>
                <a:cs typeface="+mn-cs"/>
              </a:defRPr>
            </a:lvl2pPr>
            <a:lvl3pPr marL="914400" algn="l" defTabSz="914400" rtl="0" eaLnBrk="1" latinLnBrk="0" hangingPunct="1">
              <a:defRPr sz="1800" kern="1200">
                <a:solidFill>
                  <a:schemeClr val="dk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dk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dk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dk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dk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dk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dk1">
                    <a:hueOff val="0"/>
                    <a:satOff val="0"/>
                    <a:lumOff val="0"/>
                    <a:alphaOff val="0"/>
                  </a:schemeClr>
                </a:solidFill>
                <a:latin typeface="+mn-lt"/>
                <a:ea typeface="+mn-ea"/>
                <a:cs typeface="+mn-cs"/>
              </a:defRPr>
            </a:lvl9pPr>
          </a:lstStyle>
          <a:p>
            <a:pPr marL="0" lvl="0" indent="0" algn="l" defTabSz="755650" rtl="0" eaLnBrk="1" latinLnBrk="0" hangingPunct="1">
              <a:lnSpc>
                <a:spcPct val="90000"/>
              </a:lnSpc>
              <a:spcBef>
                <a:spcPct val="0"/>
              </a:spcBef>
              <a:spcAft>
                <a:spcPct val="35000"/>
              </a:spcAft>
            </a:pPr>
            <a:r>
              <a:rPr lang="en-US" sz="900" b="1" kern="1200">
                <a:solidFill>
                  <a:schemeClr val="dk1">
                    <a:hueOff val="0"/>
                    <a:satOff val="0"/>
                    <a:lumOff val="0"/>
                    <a:alphaOff val="0"/>
                  </a:schemeClr>
                </a:solidFill>
                <a:latin typeface="Arial" panose="020B0604020202020204" pitchFamily="34" charset="0"/>
                <a:ea typeface="+mn-ea"/>
                <a:cs typeface="Arial" panose="020B0604020202020204" pitchFamily="34" charset="0"/>
              </a:rPr>
              <a:t>Uudbud mv.</a:t>
            </a:r>
          </a:p>
        </xdr:txBody>
      </xdr:sp>
      <xdr:sp macro="" textlink="">
        <xdr:nvSpPr>
          <xdr:cNvPr id="49" name="roadmap_0_0">
            <a:extLst>
              <a:ext uri="{FF2B5EF4-FFF2-40B4-BE49-F238E27FC236}">
                <a16:creationId xmlns:a16="http://schemas.microsoft.com/office/drawing/2014/main" id="{00000000-0008-0000-2700-000031000000}"/>
              </a:ext>
            </a:extLst>
          </xdr:cNvPr>
          <xdr:cNvSpPr/>
        </xdr:nvSpPr>
        <xdr:spPr>
          <a:xfrm>
            <a:off x="0" y="1"/>
            <a:ext cx="1618541" cy="1164845"/>
          </a:xfrm>
          <a:prstGeom prst="roundRect">
            <a:avLst>
              <a:gd name="adj" fmla="val 6118"/>
            </a:avLst>
          </a:prstGeom>
          <a:noFill/>
          <a:ln w="12700" cap="flat" cmpd="sng" algn="ctr">
            <a:gradFill flip="none" rotWithShape="1">
              <a:gsLst>
                <a:gs pos="32000">
                  <a:schemeClr val="bg1">
                    <a:lumMod val="65000"/>
                  </a:schemeClr>
                </a:gs>
                <a:gs pos="46000">
                  <a:srgbClr val="F8F8DE">
                    <a:alpha val="0"/>
                  </a:srgbClr>
                </a:gs>
              </a:gsLst>
              <a:lin ang="3840000" scaled="0"/>
              <a:tileRect/>
            </a:gradFill>
            <a:prstDash val="solid"/>
            <a:miter lim="800000"/>
          </a:ln>
          <a:effectLst/>
          <a:extLst>
            <a:ext uri="{909E8E84-426E-40DD-AFC4-6F175D3DCCD1}">
              <a14:hiddenFill xmlns:a14="http://schemas.microsoft.com/office/drawing/2010/main">
                <a:noFill/>
              </a14:hiddenFill>
            </a:ext>
          </a:extLst>
        </xdr:spPr>
        <xdr:style>
          <a:lnRef idx="2">
            <a:schemeClr val="accent1">
              <a:hueOff val="0"/>
              <a:satOff val="0"/>
              <a:lumOff val="0"/>
              <a:alphaOff val="0"/>
            </a:schemeClr>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72000" tIns="72000" rIns="136123" bIns="136123" numCol="1" spcCol="1270" anchor="t" anchorCtr="0">
            <a:noAutofit/>
          </a:bodyPr>
          <a:lstStyle>
            <a:defPPr>
              <a:defRPr lang="da-DK"/>
            </a:defPPr>
            <a:lvl1pPr marL="0" algn="l" defTabSz="914400" rtl="0" eaLnBrk="1" latinLnBrk="0" hangingPunct="1">
              <a:defRPr sz="1800" kern="1200">
                <a:solidFill>
                  <a:schemeClr val="dk1">
                    <a:hueOff val="0"/>
                    <a:satOff val="0"/>
                    <a:lumOff val="0"/>
                    <a:alphaOff val="0"/>
                  </a:schemeClr>
                </a:solidFill>
                <a:latin typeface="+mn-lt"/>
                <a:ea typeface="+mn-ea"/>
                <a:cs typeface="+mn-cs"/>
              </a:defRPr>
            </a:lvl1pPr>
            <a:lvl2pPr marL="457200" algn="l" defTabSz="914400" rtl="0" eaLnBrk="1" latinLnBrk="0" hangingPunct="1">
              <a:defRPr sz="1800" kern="1200">
                <a:solidFill>
                  <a:schemeClr val="dk1">
                    <a:hueOff val="0"/>
                    <a:satOff val="0"/>
                    <a:lumOff val="0"/>
                    <a:alphaOff val="0"/>
                  </a:schemeClr>
                </a:solidFill>
                <a:latin typeface="+mn-lt"/>
                <a:ea typeface="+mn-ea"/>
                <a:cs typeface="+mn-cs"/>
              </a:defRPr>
            </a:lvl2pPr>
            <a:lvl3pPr marL="914400" algn="l" defTabSz="914400" rtl="0" eaLnBrk="1" latinLnBrk="0" hangingPunct="1">
              <a:defRPr sz="1800" kern="1200">
                <a:solidFill>
                  <a:schemeClr val="dk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dk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dk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dk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dk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dk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dk1">
                    <a:hueOff val="0"/>
                    <a:satOff val="0"/>
                    <a:lumOff val="0"/>
                    <a:alphaOff val="0"/>
                  </a:schemeClr>
                </a:solidFill>
                <a:latin typeface="+mn-lt"/>
                <a:ea typeface="+mn-ea"/>
                <a:cs typeface="+mn-cs"/>
              </a:defRPr>
            </a:lvl9pPr>
          </a:lstStyle>
          <a:p>
            <a:pPr marL="0" lvl="0" indent="0" algn="l" defTabSz="755650">
              <a:lnSpc>
                <a:spcPct val="90000"/>
              </a:lnSpc>
              <a:spcBef>
                <a:spcPct val="0"/>
              </a:spcBef>
              <a:spcAft>
                <a:spcPct val="35000"/>
              </a:spcAft>
            </a:pPr>
            <a:r>
              <a:rPr lang="en-US" sz="900" b="1" kern="1200">
                <a:solidFill>
                  <a:schemeClr val="dk1">
                    <a:hueOff val="0"/>
                    <a:satOff val="0"/>
                    <a:lumOff val="0"/>
                    <a:alphaOff val="0"/>
                  </a:schemeClr>
                </a:solidFill>
                <a:latin typeface="Arial" panose="020B0604020202020204" pitchFamily="34" charset="0"/>
                <a:ea typeface="+mn-ea"/>
                <a:cs typeface="Arial" panose="020B0604020202020204" pitchFamily="34" charset="0"/>
              </a:rPr>
              <a:t>Analysefase</a:t>
            </a:r>
          </a:p>
        </xdr:txBody>
      </xdr:sp>
      <xdr:sp macro="" textlink="">
        <xdr:nvSpPr>
          <xdr:cNvPr id="50" name="roadmap_1_0_0">
            <a:extLst>
              <a:ext uri="{FF2B5EF4-FFF2-40B4-BE49-F238E27FC236}">
                <a16:creationId xmlns:a16="http://schemas.microsoft.com/office/drawing/2014/main" id="{00000000-0008-0000-2700-000032000000}"/>
              </a:ext>
            </a:extLst>
          </xdr:cNvPr>
          <xdr:cNvSpPr/>
        </xdr:nvSpPr>
        <xdr:spPr>
          <a:xfrm>
            <a:off x="1791457" y="245876"/>
            <a:ext cx="1443825" cy="112834"/>
          </a:xfrm>
          <a:prstGeom prst="rect">
            <a:avLst/>
          </a:prstGeom>
          <a:noFill/>
          <a:ln w="12700" cap="flat" cmpd="sng" algn="ctr">
            <a:noFill/>
            <a:prstDash val="solid"/>
            <a:miter lim="800000"/>
          </a:ln>
          <a:effectLst/>
          <a:extLst>
            <a:ext uri="{909E8E84-426E-40DD-AFC4-6F175D3DCCD1}">
              <a14:hiddenFill xmlns:a14="http://schemas.microsoft.com/office/drawing/2010/main">
                <a:noFill/>
              </a14:hiddenFill>
            </a:ext>
          </a:extLst>
        </xdr:spPr>
        <xdr:style>
          <a:lnRef idx="2">
            <a:schemeClr val="accent1">
              <a:hueOff val="0"/>
              <a:satOff val="0"/>
              <a:lumOff val="0"/>
              <a:alphaOff val="0"/>
            </a:schemeClr>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0" tIns="0" rIns="0" bIns="0" numCol="1" spcCol="1270" anchor="t" anchorCtr="0">
            <a:noAutofit/>
          </a:bodyPr>
          <a:lstStyle>
            <a:defPPr>
              <a:defRPr lang="da-DK"/>
            </a:defPPr>
            <a:lvl1pPr marL="0" algn="l" defTabSz="914400" rtl="0" eaLnBrk="1" latinLnBrk="0" hangingPunct="1">
              <a:defRPr sz="1800" kern="1200">
                <a:solidFill>
                  <a:schemeClr val="dk1">
                    <a:hueOff val="0"/>
                    <a:satOff val="0"/>
                    <a:lumOff val="0"/>
                    <a:alphaOff val="0"/>
                  </a:schemeClr>
                </a:solidFill>
                <a:latin typeface="+mn-lt"/>
                <a:ea typeface="+mn-ea"/>
                <a:cs typeface="+mn-cs"/>
              </a:defRPr>
            </a:lvl1pPr>
            <a:lvl2pPr marL="457200" algn="l" defTabSz="914400" rtl="0" eaLnBrk="1" latinLnBrk="0" hangingPunct="1">
              <a:defRPr sz="1800" kern="1200">
                <a:solidFill>
                  <a:schemeClr val="dk1">
                    <a:hueOff val="0"/>
                    <a:satOff val="0"/>
                    <a:lumOff val="0"/>
                    <a:alphaOff val="0"/>
                  </a:schemeClr>
                </a:solidFill>
                <a:latin typeface="+mn-lt"/>
                <a:ea typeface="+mn-ea"/>
                <a:cs typeface="+mn-cs"/>
              </a:defRPr>
            </a:lvl2pPr>
            <a:lvl3pPr marL="914400" algn="l" defTabSz="914400" rtl="0" eaLnBrk="1" latinLnBrk="0" hangingPunct="1">
              <a:defRPr sz="1800" kern="1200">
                <a:solidFill>
                  <a:schemeClr val="dk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dk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dk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dk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dk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dk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dk1">
                    <a:hueOff val="0"/>
                    <a:satOff val="0"/>
                    <a:lumOff val="0"/>
                    <a:alphaOff val="0"/>
                  </a:schemeClr>
                </a:solidFill>
                <a:latin typeface="+mn-lt"/>
                <a:ea typeface="+mn-ea"/>
                <a:cs typeface="+mn-cs"/>
              </a:defRPr>
            </a:lvl9pPr>
          </a:lstStyle>
          <a:p>
            <a:pPr algn="l"/>
            <a:r>
              <a:rPr lang="en-US" sz="900" b="0">
                <a:solidFill>
                  <a:srgbClr val="000000"/>
                </a:solidFill>
                <a:effectLst/>
                <a:latin typeface="Arial" panose="020B0604020202020204" pitchFamily="34" charset="0"/>
                <a:ea typeface="+mn-ea"/>
                <a:cs typeface="Arial" panose="020B0604020202020204" pitchFamily="34" charset="0"/>
              </a:rPr>
              <a:t>startdato: 02-09-2014</a:t>
            </a:r>
            <a:endParaRPr lang="da-DK" sz="900" b="0">
              <a:solidFill>
                <a:srgbClr val="000000"/>
              </a:solidFill>
              <a:effectLst/>
              <a:latin typeface="Arial" panose="020B0604020202020204" pitchFamily="34" charset="0"/>
              <a:cs typeface="Arial" panose="020B0604020202020204" pitchFamily="34" charset="0"/>
            </a:endParaRPr>
          </a:p>
        </xdr:txBody>
      </xdr:sp>
      <xdr:sp macro="" textlink="">
        <xdr:nvSpPr>
          <xdr:cNvPr id="51" name="roadmap_1_2_0_0_0">
            <a:extLst>
              <a:ext uri="{FF2B5EF4-FFF2-40B4-BE49-F238E27FC236}">
                <a16:creationId xmlns:a16="http://schemas.microsoft.com/office/drawing/2014/main" id="{00000000-0008-0000-2700-000033000000}"/>
              </a:ext>
            </a:extLst>
          </xdr:cNvPr>
          <xdr:cNvSpPr/>
        </xdr:nvSpPr>
        <xdr:spPr>
          <a:xfrm>
            <a:off x="2392069" y="663720"/>
            <a:ext cx="1152670" cy="112834"/>
          </a:xfrm>
          <a:prstGeom prst="rect">
            <a:avLst/>
          </a:prstGeom>
          <a:noFill/>
          <a:ln w="12700" cap="flat" cmpd="sng" algn="ctr">
            <a:noFill/>
            <a:prstDash val="solid"/>
            <a:miter lim="800000"/>
          </a:ln>
          <a:effectLst/>
          <a:extLst>
            <a:ext uri="{909E8E84-426E-40DD-AFC4-6F175D3DCCD1}">
              <a14:hiddenFill xmlns:a14="http://schemas.microsoft.com/office/drawing/2010/main">
                <a:noFill/>
              </a14:hiddenFill>
            </a:ext>
          </a:extLst>
        </xdr:spPr>
        <xdr:style>
          <a:lnRef idx="2">
            <a:schemeClr val="accent1">
              <a:hueOff val="0"/>
              <a:satOff val="0"/>
              <a:lumOff val="0"/>
              <a:alphaOff val="0"/>
            </a:schemeClr>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0" tIns="0" rIns="0" bIns="0" numCol="1" spcCol="1270" anchor="t" anchorCtr="0">
            <a:noAutofit/>
          </a:bodyPr>
          <a:lstStyle>
            <a:defPPr>
              <a:defRPr lang="da-DK"/>
            </a:defPPr>
            <a:lvl1pPr marL="0" algn="l" defTabSz="914400" rtl="0" eaLnBrk="1" latinLnBrk="0" hangingPunct="1">
              <a:defRPr sz="1800" kern="1200">
                <a:solidFill>
                  <a:schemeClr val="dk1">
                    <a:hueOff val="0"/>
                    <a:satOff val="0"/>
                    <a:lumOff val="0"/>
                    <a:alphaOff val="0"/>
                  </a:schemeClr>
                </a:solidFill>
                <a:latin typeface="+mn-lt"/>
                <a:ea typeface="+mn-ea"/>
                <a:cs typeface="+mn-cs"/>
              </a:defRPr>
            </a:lvl1pPr>
            <a:lvl2pPr marL="457200" algn="l" defTabSz="914400" rtl="0" eaLnBrk="1" latinLnBrk="0" hangingPunct="1">
              <a:defRPr sz="1800" kern="1200">
                <a:solidFill>
                  <a:schemeClr val="dk1">
                    <a:hueOff val="0"/>
                    <a:satOff val="0"/>
                    <a:lumOff val="0"/>
                    <a:alphaOff val="0"/>
                  </a:schemeClr>
                </a:solidFill>
                <a:latin typeface="+mn-lt"/>
                <a:ea typeface="+mn-ea"/>
                <a:cs typeface="+mn-cs"/>
              </a:defRPr>
            </a:lvl2pPr>
            <a:lvl3pPr marL="914400" algn="l" defTabSz="914400" rtl="0" eaLnBrk="1" latinLnBrk="0" hangingPunct="1">
              <a:defRPr sz="1800" kern="1200">
                <a:solidFill>
                  <a:schemeClr val="dk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dk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dk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dk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dk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dk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dk1">
                    <a:hueOff val="0"/>
                    <a:satOff val="0"/>
                    <a:lumOff val="0"/>
                    <a:alphaOff val="0"/>
                  </a:schemeClr>
                </a:solidFill>
                <a:latin typeface="+mn-lt"/>
                <a:ea typeface="+mn-ea"/>
                <a:cs typeface="+mn-cs"/>
              </a:defRPr>
            </a:lvl9pPr>
          </a:lstStyle>
          <a:p>
            <a:pPr algn="l"/>
            <a:r>
              <a:rPr lang="en-US" sz="900" b="0">
                <a:solidFill>
                  <a:srgbClr val="000000"/>
                </a:solidFill>
                <a:effectLst/>
                <a:latin typeface="Arial" panose="020B0604020202020204" pitchFamily="34" charset="0"/>
                <a:ea typeface="+mn-ea"/>
                <a:cs typeface="Arial" panose="020B0604020202020204" pitchFamily="34" charset="0"/>
              </a:rPr>
              <a:t>slutdato: 01-12-2016</a:t>
            </a:r>
          </a:p>
        </xdr:txBody>
      </xdr:sp>
      <xdr:sp macro="" textlink="">
        <xdr:nvSpPr>
          <xdr:cNvPr id="52" name="roadmap_0_0_0">
            <a:extLst>
              <a:ext uri="{FF2B5EF4-FFF2-40B4-BE49-F238E27FC236}">
                <a16:creationId xmlns:a16="http://schemas.microsoft.com/office/drawing/2014/main" id="{00000000-0008-0000-2700-000034000000}"/>
              </a:ext>
            </a:extLst>
          </xdr:cNvPr>
          <xdr:cNvSpPr/>
        </xdr:nvSpPr>
        <xdr:spPr>
          <a:xfrm>
            <a:off x="145372" y="250798"/>
            <a:ext cx="1442819" cy="111740"/>
          </a:xfrm>
          <a:prstGeom prst="rect">
            <a:avLst/>
          </a:prstGeom>
          <a:noFill/>
          <a:ln w="12700" cap="flat" cmpd="sng" algn="ctr">
            <a:noFill/>
            <a:prstDash val="solid"/>
            <a:miter lim="800000"/>
          </a:ln>
          <a:effectLst/>
          <a:extLst>
            <a:ext uri="{909E8E84-426E-40DD-AFC4-6F175D3DCCD1}">
              <a14:hiddenFill xmlns:a14="http://schemas.microsoft.com/office/drawing/2010/main">
                <a:noFill/>
              </a14:hiddenFill>
            </a:ext>
          </a:extLst>
        </xdr:spPr>
        <xdr:style>
          <a:lnRef idx="2">
            <a:schemeClr val="accent1">
              <a:hueOff val="0"/>
              <a:satOff val="0"/>
              <a:lumOff val="0"/>
              <a:alphaOff val="0"/>
            </a:schemeClr>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0" tIns="0" rIns="0" bIns="0" numCol="1" spcCol="1270" anchor="t" anchorCtr="0">
            <a:noAutofit/>
          </a:bodyPr>
          <a:lstStyle>
            <a:defPPr>
              <a:defRPr lang="da-DK"/>
            </a:defPPr>
            <a:lvl1pPr marL="0" algn="l" defTabSz="914400" rtl="0" eaLnBrk="1" latinLnBrk="0" hangingPunct="1">
              <a:defRPr sz="1800" kern="1200">
                <a:solidFill>
                  <a:schemeClr val="dk1">
                    <a:hueOff val="0"/>
                    <a:satOff val="0"/>
                    <a:lumOff val="0"/>
                    <a:alphaOff val="0"/>
                  </a:schemeClr>
                </a:solidFill>
                <a:latin typeface="+mn-lt"/>
                <a:ea typeface="+mn-ea"/>
                <a:cs typeface="+mn-cs"/>
              </a:defRPr>
            </a:lvl1pPr>
            <a:lvl2pPr marL="457200" algn="l" defTabSz="914400" rtl="0" eaLnBrk="1" latinLnBrk="0" hangingPunct="1">
              <a:defRPr sz="1800" kern="1200">
                <a:solidFill>
                  <a:schemeClr val="dk1">
                    <a:hueOff val="0"/>
                    <a:satOff val="0"/>
                    <a:lumOff val="0"/>
                    <a:alphaOff val="0"/>
                  </a:schemeClr>
                </a:solidFill>
                <a:latin typeface="+mn-lt"/>
                <a:ea typeface="+mn-ea"/>
                <a:cs typeface="+mn-cs"/>
              </a:defRPr>
            </a:lvl2pPr>
            <a:lvl3pPr marL="914400" algn="l" defTabSz="914400" rtl="0" eaLnBrk="1" latinLnBrk="0" hangingPunct="1">
              <a:defRPr sz="1800" kern="1200">
                <a:solidFill>
                  <a:schemeClr val="dk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dk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dk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dk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dk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dk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dk1">
                    <a:hueOff val="0"/>
                    <a:satOff val="0"/>
                    <a:lumOff val="0"/>
                    <a:alphaOff val="0"/>
                  </a:schemeClr>
                </a:solidFill>
                <a:latin typeface="+mn-lt"/>
                <a:ea typeface="+mn-ea"/>
                <a:cs typeface="+mn-cs"/>
              </a:defRPr>
            </a:lvl9pPr>
          </a:lstStyle>
          <a:p>
            <a:pPr algn="l"/>
            <a:r>
              <a:rPr lang="en-US" sz="900" b="0">
                <a:solidFill>
                  <a:srgbClr val="000000"/>
                </a:solidFill>
                <a:effectLst/>
                <a:latin typeface="Arial" panose="020B0604020202020204" pitchFamily="34" charset="0"/>
                <a:ea typeface="+mn-ea"/>
                <a:cs typeface="Arial" panose="020B0604020202020204" pitchFamily="34" charset="0"/>
              </a:rPr>
              <a:t>startdato: 01-05-2011</a:t>
            </a:r>
            <a:endParaRPr lang="da-DK" sz="900" b="0">
              <a:solidFill>
                <a:srgbClr val="000000"/>
              </a:solidFill>
              <a:effectLst/>
              <a:latin typeface="Arial" panose="020B0604020202020204" pitchFamily="34" charset="0"/>
              <a:cs typeface="Arial" panose="020B0604020202020204" pitchFamily="34" charset="0"/>
            </a:endParaRPr>
          </a:p>
        </xdr:txBody>
      </xdr:sp>
      <xdr:sp macro="" textlink="">
        <xdr:nvSpPr>
          <xdr:cNvPr id="53" name="roadmap_1_2_1_0_0">
            <a:extLst>
              <a:ext uri="{FF2B5EF4-FFF2-40B4-BE49-F238E27FC236}">
                <a16:creationId xmlns:a16="http://schemas.microsoft.com/office/drawing/2014/main" id="{00000000-0008-0000-2700-000035000000}"/>
              </a:ext>
            </a:extLst>
          </xdr:cNvPr>
          <xdr:cNvSpPr/>
        </xdr:nvSpPr>
        <xdr:spPr>
          <a:xfrm>
            <a:off x="4342805" y="678020"/>
            <a:ext cx="1153371" cy="113711"/>
          </a:xfrm>
          <a:prstGeom prst="rect">
            <a:avLst/>
          </a:prstGeom>
          <a:noFill/>
          <a:ln w="12700" cap="flat" cmpd="sng" algn="ctr">
            <a:noFill/>
            <a:prstDash val="solid"/>
            <a:miter lim="800000"/>
          </a:ln>
          <a:effectLst/>
          <a:extLst>
            <a:ext uri="{909E8E84-426E-40DD-AFC4-6F175D3DCCD1}">
              <a14:hiddenFill xmlns:a14="http://schemas.microsoft.com/office/drawing/2010/main">
                <a:noFill/>
              </a14:hiddenFill>
            </a:ext>
          </a:extLst>
        </xdr:spPr>
        <xdr:style>
          <a:lnRef idx="2">
            <a:schemeClr val="accent1">
              <a:hueOff val="0"/>
              <a:satOff val="0"/>
              <a:lumOff val="0"/>
              <a:alphaOff val="0"/>
            </a:schemeClr>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0" tIns="0" rIns="0" bIns="0" numCol="1" spcCol="1270" anchor="t" anchorCtr="0">
            <a:noAutofit/>
          </a:bodyPr>
          <a:lstStyle>
            <a:defPPr>
              <a:defRPr lang="da-DK"/>
            </a:defPPr>
            <a:lvl1pPr marL="0" algn="l" defTabSz="914400" rtl="0" eaLnBrk="1" latinLnBrk="0" hangingPunct="1">
              <a:defRPr sz="1800" kern="1200">
                <a:solidFill>
                  <a:schemeClr val="dk1">
                    <a:hueOff val="0"/>
                    <a:satOff val="0"/>
                    <a:lumOff val="0"/>
                    <a:alphaOff val="0"/>
                  </a:schemeClr>
                </a:solidFill>
                <a:latin typeface="+mn-lt"/>
                <a:ea typeface="+mn-ea"/>
                <a:cs typeface="+mn-cs"/>
              </a:defRPr>
            </a:lvl1pPr>
            <a:lvl2pPr marL="457200" algn="l" defTabSz="914400" rtl="0" eaLnBrk="1" latinLnBrk="0" hangingPunct="1">
              <a:defRPr sz="1800" kern="1200">
                <a:solidFill>
                  <a:schemeClr val="dk1">
                    <a:hueOff val="0"/>
                    <a:satOff val="0"/>
                    <a:lumOff val="0"/>
                    <a:alphaOff val="0"/>
                  </a:schemeClr>
                </a:solidFill>
                <a:latin typeface="+mn-lt"/>
                <a:ea typeface="+mn-ea"/>
                <a:cs typeface="+mn-cs"/>
              </a:defRPr>
            </a:lvl2pPr>
            <a:lvl3pPr marL="914400" algn="l" defTabSz="914400" rtl="0" eaLnBrk="1" latinLnBrk="0" hangingPunct="1">
              <a:defRPr sz="1800" kern="1200">
                <a:solidFill>
                  <a:schemeClr val="dk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dk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dk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dk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dk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dk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dk1">
                    <a:hueOff val="0"/>
                    <a:satOff val="0"/>
                    <a:lumOff val="0"/>
                    <a:alphaOff val="0"/>
                  </a:schemeClr>
                </a:solidFill>
                <a:latin typeface="+mn-lt"/>
                <a:ea typeface="+mn-ea"/>
                <a:cs typeface="+mn-cs"/>
              </a:defRPr>
            </a:lvl9pPr>
          </a:lstStyle>
          <a:p>
            <a:pPr algn="l"/>
            <a:r>
              <a:rPr lang="en-US" sz="900" b="0">
                <a:solidFill>
                  <a:srgbClr val="000000"/>
                </a:solidFill>
                <a:effectLst/>
                <a:latin typeface="Arial" panose="020B0604020202020204" pitchFamily="34" charset="0"/>
                <a:ea typeface="+mn-ea"/>
                <a:cs typeface="Arial" panose="020B0604020202020204" pitchFamily="34" charset="0"/>
              </a:rPr>
              <a:t>slutdato: 01-08-2020</a:t>
            </a:r>
          </a:p>
        </xdr:txBody>
      </xdr:sp>
      <xdr:sp macro="" textlink="">
        <xdr:nvSpPr>
          <xdr:cNvPr id="54" name="roadmap_1_2_1_0">
            <a:extLst>
              <a:ext uri="{FF2B5EF4-FFF2-40B4-BE49-F238E27FC236}">
                <a16:creationId xmlns:a16="http://schemas.microsoft.com/office/drawing/2014/main" id="{00000000-0008-0000-2700-000036000000}"/>
              </a:ext>
            </a:extLst>
          </xdr:cNvPr>
          <xdr:cNvSpPr/>
        </xdr:nvSpPr>
        <xdr:spPr>
          <a:xfrm>
            <a:off x="3576454" y="430102"/>
            <a:ext cx="1901550" cy="479517"/>
          </a:xfrm>
          <a:prstGeom prst="round2SameRect">
            <a:avLst/>
          </a:prstGeom>
          <a:noFill/>
          <a:ln w="12700" cap="flat" cmpd="sng" algn="ctr">
            <a:gradFill flip="none" rotWithShape="1">
              <a:gsLst>
                <a:gs pos="30000">
                  <a:schemeClr val="bg1">
                    <a:lumMod val="65000"/>
                  </a:schemeClr>
                </a:gs>
                <a:gs pos="46000">
                  <a:srgbClr val="F8F8DE">
                    <a:alpha val="0"/>
                  </a:srgbClr>
                </a:gs>
              </a:gsLst>
              <a:lin ang="6060000" scaled="0"/>
              <a:tileRect/>
            </a:gradFill>
            <a:prstDash val="solid"/>
            <a:miter lim="800000"/>
          </a:ln>
          <a:effectLst/>
          <a:extLst>
            <a:ext uri="{909E8E84-426E-40DD-AFC4-6F175D3DCCD1}">
              <a14:hiddenFill xmlns:a14="http://schemas.microsoft.com/office/drawing/2010/main">
                <a:noFill/>
              </a14:hiddenFill>
            </a:ext>
          </a:extLst>
        </xdr:spPr>
        <xdr:style>
          <a:lnRef idx="2">
            <a:schemeClr val="accent1">
              <a:hueOff val="0"/>
              <a:satOff val="0"/>
              <a:lumOff val="0"/>
              <a:alphaOff val="0"/>
            </a:schemeClr>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72000" tIns="72000" rIns="0" bIns="136123" numCol="1" spcCol="1270" anchor="t" anchorCtr="0">
            <a:noAutofit/>
          </a:bodyPr>
          <a:lstStyle>
            <a:defPPr>
              <a:defRPr lang="da-DK"/>
            </a:defPPr>
            <a:lvl1pPr marL="0" algn="l" defTabSz="914400" rtl="0" eaLnBrk="1" latinLnBrk="0" hangingPunct="1">
              <a:defRPr sz="1800" kern="1200">
                <a:solidFill>
                  <a:schemeClr val="dk1">
                    <a:hueOff val="0"/>
                    <a:satOff val="0"/>
                    <a:lumOff val="0"/>
                    <a:alphaOff val="0"/>
                  </a:schemeClr>
                </a:solidFill>
                <a:latin typeface="+mn-lt"/>
                <a:ea typeface="+mn-ea"/>
                <a:cs typeface="+mn-cs"/>
              </a:defRPr>
            </a:lvl1pPr>
            <a:lvl2pPr marL="457200" algn="l" defTabSz="914400" rtl="0" eaLnBrk="1" latinLnBrk="0" hangingPunct="1">
              <a:defRPr sz="1800" kern="1200">
                <a:solidFill>
                  <a:schemeClr val="dk1">
                    <a:hueOff val="0"/>
                    <a:satOff val="0"/>
                    <a:lumOff val="0"/>
                    <a:alphaOff val="0"/>
                  </a:schemeClr>
                </a:solidFill>
                <a:latin typeface="+mn-lt"/>
                <a:ea typeface="+mn-ea"/>
                <a:cs typeface="+mn-cs"/>
              </a:defRPr>
            </a:lvl2pPr>
            <a:lvl3pPr marL="914400" algn="l" defTabSz="914400" rtl="0" eaLnBrk="1" latinLnBrk="0" hangingPunct="1">
              <a:defRPr sz="1800" kern="1200">
                <a:solidFill>
                  <a:schemeClr val="dk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dk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dk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dk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dk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dk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dk1">
                    <a:hueOff val="0"/>
                    <a:satOff val="0"/>
                    <a:lumOff val="0"/>
                    <a:alphaOff val="0"/>
                  </a:schemeClr>
                </a:solidFill>
                <a:latin typeface="+mn-lt"/>
                <a:ea typeface="+mn-ea"/>
                <a:cs typeface="+mn-cs"/>
              </a:defRPr>
            </a:lvl9pPr>
          </a:lstStyle>
          <a:p>
            <a:pPr defTabSz="755650">
              <a:lnSpc>
                <a:spcPct val="90000"/>
              </a:lnSpc>
              <a:spcBef>
                <a:spcPct val="0"/>
              </a:spcBef>
              <a:spcAft>
                <a:spcPct val="35000"/>
              </a:spcAft>
            </a:pPr>
            <a:r>
              <a:rPr lang="en-US" sz="900" b="1">
                <a:latin typeface="Arial" panose="020B0604020202020204" pitchFamily="34" charset="0"/>
                <a:cs typeface="Arial" panose="020B0604020202020204" pitchFamily="34" charset="0"/>
              </a:rPr>
              <a:t>Udvikling og implementering     </a:t>
            </a:r>
          </a:p>
        </xdr:txBody>
      </xdr:sp>
      <xdr:sp macro="" textlink="">
        <xdr:nvSpPr>
          <xdr:cNvPr id="55" name="roadmap_1_0">
            <a:extLst>
              <a:ext uri="{FF2B5EF4-FFF2-40B4-BE49-F238E27FC236}">
                <a16:creationId xmlns:a16="http://schemas.microsoft.com/office/drawing/2014/main" id="{00000000-0008-0000-2700-000037000000}"/>
              </a:ext>
            </a:extLst>
          </xdr:cNvPr>
          <xdr:cNvSpPr/>
        </xdr:nvSpPr>
        <xdr:spPr>
          <a:xfrm>
            <a:off x="1657700" y="0"/>
            <a:ext cx="3822619" cy="1164846"/>
          </a:xfrm>
          <a:prstGeom prst="round2SameRect">
            <a:avLst>
              <a:gd name="adj1" fmla="val 5269"/>
              <a:gd name="adj2" fmla="val 0"/>
            </a:avLst>
          </a:prstGeom>
          <a:noFill/>
          <a:ln w="12700" cap="flat" cmpd="sng" algn="ctr">
            <a:gradFill flip="none" rotWithShape="1">
              <a:gsLst>
                <a:gs pos="61000">
                  <a:schemeClr val="bg1">
                    <a:lumMod val="65000"/>
                  </a:schemeClr>
                </a:gs>
                <a:gs pos="78000">
                  <a:srgbClr val="F8F8DE">
                    <a:alpha val="0"/>
                  </a:srgbClr>
                </a:gs>
              </a:gsLst>
              <a:lin ang="5640000" scaled="0"/>
              <a:tileRect/>
            </a:gradFill>
            <a:prstDash val="solid"/>
            <a:miter lim="800000"/>
          </a:ln>
          <a:effectLst/>
          <a:extLst>
            <a:ext uri="{909E8E84-426E-40DD-AFC4-6F175D3DCCD1}">
              <a14:hiddenFill xmlns:a14="http://schemas.microsoft.com/office/drawing/2010/main">
                <a:noFill/>
              </a14:hiddenFill>
            </a:ext>
          </a:extLst>
        </xdr:spPr>
        <xdr:style>
          <a:lnRef idx="2">
            <a:schemeClr val="accent1">
              <a:hueOff val="0"/>
              <a:satOff val="0"/>
              <a:lumOff val="0"/>
              <a:alphaOff val="0"/>
            </a:schemeClr>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72000" tIns="72000" rIns="0" bIns="136123" numCol="1" spcCol="1270" anchor="t" anchorCtr="0">
            <a:noAutofit/>
          </a:bodyPr>
          <a:lstStyle>
            <a:defPPr>
              <a:defRPr lang="da-DK"/>
            </a:defPPr>
            <a:lvl1pPr marL="0" algn="l" defTabSz="914400" rtl="0" eaLnBrk="1" latinLnBrk="0" hangingPunct="1">
              <a:defRPr sz="1800" kern="1200">
                <a:solidFill>
                  <a:schemeClr val="dk1">
                    <a:hueOff val="0"/>
                    <a:satOff val="0"/>
                    <a:lumOff val="0"/>
                    <a:alphaOff val="0"/>
                  </a:schemeClr>
                </a:solidFill>
                <a:latin typeface="+mn-lt"/>
                <a:ea typeface="+mn-ea"/>
                <a:cs typeface="+mn-cs"/>
              </a:defRPr>
            </a:lvl1pPr>
            <a:lvl2pPr marL="457200" algn="l" defTabSz="914400" rtl="0" eaLnBrk="1" latinLnBrk="0" hangingPunct="1">
              <a:defRPr sz="1800" kern="1200">
                <a:solidFill>
                  <a:schemeClr val="dk1">
                    <a:hueOff val="0"/>
                    <a:satOff val="0"/>
                    <a:lumOff val="0"/>
                    <a:alphaOff val="0"/>
                  </a:schemeClr>
                </a:solidFill>
                <a:latin typeface="+mn-lt"/>
                <a:ea typeface="+mn-ea"/>
                <a:cs typeface="+mn-cs"/>
              </a:defRPr>
            </a:lvl2pPr>
            <a:lvl3pPr marL="914400" algn="l" defTabSz="914400" rtl="0" eaLnBrk="1" latinLnBrk="0" hangingPunct="1">
              <a:defRPr sz="1800" kern="1200">
                <a:solidFill>
                  <a:schemeClr val="dk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dk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dk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dk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dk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dk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dk1">
                    <a:hueOff val="0"/>
                    <a:satOff val="0"/>
                    <a:lumOff val="0"/>
                    <a:alphaOff val="0"/>
                  </a:schemeClr>
                </a:solidFill>
                <a:latin typeface="+mn-lt"/>
                <a:ea typeface="+mn-ea"/>
                <a:cs typeface="+mn-cs"/>
              </a:defRPr>
            </a:lvl9pPr>
          </a:lstStyle>
          <a:p>
            <a:pPr marL="0" lvl="0" indent="0" algn="l" defTabSz="755650">
              <a:lnSpc>
                <a:spcPct val="90000"/>
              </a:lnSpc>
              <a:spcBef>
                <a:spcPct val="0"/>
              </a:spcBef>
              <a:spcAft>
                <a:spcPct val="35000"/>
              </a:spcAft>
            </a:pPr>
            <a:r>
              <a:rPr lang="en-US" sz="900" b="1" kern="1200">
                <a:solidFill>
                  <a:schemeClr val="dk1">
                    <a:hueOff val="0"/>
                    <a:satOff val="0"/>
                    <a:lumOff val="0"/>
                    <a:alphaOff val="0"/>
                  </a:schemeClr>
                </a:solidFill>
                <a:latin typeface="Arial" panose="020B0604020202020204" pitchFamily="34" charset="0"/>
                <a:ea typeface="+mn-ea"/>
                <a:cs typeface="Arial" panose="020B0604020202020204" pitchFamily="34" charset="0"/>
              </a:rPr>
              <a:t>Gennemførelsesfase</a:t>
            </a:r>
            <a:endParaRPr lang="en-US" sz="1100" b="1" kern="1200">
              <a:solidFill>
                <a:schemeClr val="dk1">
                  <a:hueOff val="0"/>
                  <a:satOff val="0"/>
                  <a:lumOff val="0"/>
                  <a:alphaOff val="0"/>
                </a:schemeClr>
              </a:solidFill>
              <a:latin typeface="Arial" panose="020B0604020202020204" pitchFamily="34" charset="0"/>
              <a:ea typeface="+mn-ea"/>
              <a:cs typeface="Arial" panose="020B0604020202020204" pitchFamily="34" charset="0"/>
            </a:endParaRPr>
          </a:p>
        </xdr:txBody>
      </xdr:sp>
      <xdr:sp macro="" textlink="">
        <xdr:nvSpPr>
          <xdr:cNvPr id="56" name="roadmap_1_1">
            <a:extLst>
              <a:ext uri="{FF2B5EF4-FFF2-40B4-BE49-F238E27FC236}">
                <a16:creationId xmlns:a16="http://schemas.microsoft.com/office/drawing/2014/main" id="{00000000-0008-0000-2700-000038000000}"/>
              </a:ext>
            </a:extLst>
          </xdr:cNvPr>
          <xdr:cNvSpPr/>
        </xdr:nvSpPr>
        <xdr:spPr>
          <a:xfrm>
            <a:off x="1656763" y="855425"/>
            <a:ext cx="3826601" cy="585147"/>
          </a:xfrm>
          <a:prstGeom prst="chevron">
            <a:avLst>
              <a:gd name="adj" fmla="val 40000"/>
            </a:avLst>
          </a:prstGeom>
          <a:solidFill>
            <a:srgbClr val="506E7A"/>
          </a:solidFill>
          <a:ln w="25400" cap="flat" cmpd="sng" algn="ctr">
            <a:noFill/>
            <a:prstDash val="solid"/>
            <a:miter lim="800000"/>
          </a:ln>
          <a:effectLst/>
          <a:extLst>
            <a:ext uri="{91240B29-F687-4F45-9708-019B960494DF}">
              <a14:hiddenLine xmlns:a14="http://schemas.microsoft.com/office/drawing/2010/main" w="25400" cap="flat" cmpd="sng" algn="ctr">
                <a:noFill/>
                <a:prstDash val="solid"/>
                <a:miter lim="800000"/>
              </a14:hiddenLine>
            </a:ext>
          </a:extLst>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wrap="square"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a:r>
              <a:rPr lang="en-US" sz="1100" b="1">
                <a:solidFill>
                  <a:srgbClr val="FFFFFF"/>
                </a:solidFill>
                <a:effectLst/>
                <a:latin typeface="Arial" panose="020B0604020202020204" pitchFamily="34" charset="0"/>
                <a:ea typeface="+mn-ea"/>
                <a:cs typeface="Arial" panose="020B0604020202020204" pitchFamily="34" charset="0"/>
              </a:rPr>
              <a:t> </a:t>
            </a:r>
          </a:p>
        </xdr:txBody>
      </xdr:sp>
      <xdr:sp macro="" textlink="">
        <xdr:nvSpPr>
          <xdr:cNvPr id="57" name="roadmap_1_2_0_1">
            <a:extLst>
              <a:ext uri="{FF2B5EF4-FFF2-40B4-BE49-F238E27FC236}">
                <a16:creationId xmlns:a16="http://schemas.microsoft.com/office/drawing/2014/main" id="{00000000-0008-0000-2700-000039000000}"/>
              </a:ext>
            </a:extLst>
          </xdr:cNvPr>
          <xdr:cNvSpPr/>
        </xdr:nvSpPr>
        <xdr:spPr>
          <a:xfrm>
            <a:off x="1888915" y="919126"/>
            <a:ext cx="1689359" cy="443318"/>
          </a:xfrm>
          <a:prstGeom prst="chevron">
            <a:avLst>
              <a:gd name="adj" fmla="val 40000"/>
            </a:avLst>
          </a:prstGeom>
          <a:solidFill>
            <a:srgbClr val="C5D3D9"/>
          </a:solidFill>
          <a:ln w="25400" cap="flat" cmpd="sng" algn="ctr">
            <a:noFill/>
            <a:prstDash val="solid"/>
            <a:miter lim="800000"/>
          </a:ln>
          <a:effectLst/>
          <a:extLst>
            <a:ext uri="{91240B29-F687-4F45-9708-019B960494DF}">
              <a14:hiddenLine xmlns:a14="http://schemas.microsoft.com/office/drawing/2010/main" w="25400" cap="flat" cmpd="sng" algn="ctr">
                <a:noFill/>
                <a:prstDash val="solid"/>
                <a:miter lim="800000"/>
              </a14:hiddenLine>
            </a:ext>
          </a:extLst>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wrap="square"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a-DK" sz="1100" b="1">
                <a:solidFill>
                  <a:sysClr val="windowText" lastClr="000000"/>
                </a:solidFill>
                <a:latin typeface="Arial" panose="020B0604020202020204" pitchFamily="34" charset="0"/>
                <a:cs typeface="Arial" panose="020B0604020202020204" pitchFamily="34" charset="0"/>
              </a:rPr>
              <a:t>27 
måneder</a:t>
            </a:r>
          </a:p>
        </xdr:txBody>
      </xdr:sp>
      <xdr:sp macro="" textlink="">
        <xdr:nvSpPr>
          <xdr:cNvPr id="58" name="roadmap_1_2_1_1">
            <a:extLst>
              <a:ext uri="{FF2B5EF4-FFF2-40B4-BE49-F238E27FC236}">
                <a16:creationId xmlns:a16="http://schemas.microsoft.com/office/drawing/2014/main" id="{00000000-0008-0000-2700-00003A000000}"/>
              </a:ext>
            </a:extLst>
          </xdr:cNvPr>
          <xdr:cNvSpPr/>
        </xdr:nvSpPr>
        <xdr:spPr>
          <a:xfrm>
            <a:off x="3534145" y="919126"/>
            <a:ext cx="1765169" cy="443319"/>
          </a:xfrm>
          <a:prstGeom prst="chevron">
            <a:avLst>
              <a:gd name="adj" fmla="val 40000"/>
            </a:avLst>
          </a:prstGeom>
          <a:solidFill>
            <a:srgbClr val="C5D3D9"/>
          </a:solidFill>
          <a:ln w="25400" cap="flat" cmpd="sng" algn="ctr">
            <a:noFill/>
            <a:prstDash val="solid"/>
            <a:miter lim="800000"/>
          </a:ln>
          <a:effectLst/>
          <a:extLst>
            <a:ext uri="{91240B29-F687-4F45-9708-019B960494DF}">
              <a14:hiddenLine xmlns:a14="http://schemas.microsoft.com/office/drawing/2010/main" w="25400" cap="flat" cmpd="sng" algn="ctr">
                <a:noFill/>
                <a:prstDash val="solid"/>
                <a:miter lim="800000"/>
              </a14:hiddenLine>
            </a:ext>
          </a:extLst>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wrap="square"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a-DK" sz="1100" b="1">
                <a:solidFill>
                  <a:sysClr val="windowText" lastClr="000000"/>
                </a:solidFill>
                <a:latin typeface="Arial" panose="020B0604020202020204" pitchFamily="34" charset="0"/>
                <a:cs typeface="Arial" panose="020B0604020202020204" pitchFamily="34" charset="0"/>
              </a:rPr>
              <a:t>44 
måneder</a:t>
            </a:r>
          </a:p>
        </xdr:txBody>
      </xdr:sp>
      <xdr:sp macro="" textlink="">
        <xdr:nvSpPr>
          <xdr:cNvPr id="59" name="roadmap_0_1">
            <a:extLst>
              <a:ext uri="{FF2B5EF4-FFF2-40B4-BE49-F238E27FC236}">
                <a16:creationId xmlns:a16="http://schemas.microsoft.com/office/drawing/2014/main" id="{00000000-0008-0000-2700-00003B000000}"/>
              </a:ext>
            </a:extLst>
          </xdr:cNvPr>
          <xdr:cNvSpPr/>
        </xdr:nvSpPr>
        <xdr:spPr>
          <a:xfrm>
            <a:off x="9950" y="855424"/>
            <a:ext cx="1747016" cy="584604"/>
          </a:xfrm>
          <a:prstGeom prst="chevron">
            <a:avLst>
              <a:gd name="adj" fmla="val 40000"/>
            </a:avLst>
          </a:prstGeom>
          <a:solidFill>
            <a:srgbClr val="506E7A"/>
          </a:solidFill>
          <a:ln w="25400" cap="flat" cmpd="sng" algn="ctr">
            <a:noFill/>
            <a:prstDash val="solid"/>
            <a:miter lim="800000"/>
          </a:ln>
          <a:effectLst/>
          <a:extLst>
            <a:ext uri="{91240B29-F687-4F45-9708-019B960494DF}">
              <a14:hiddenLine xmlns:a14="http://schemas.microsoft.com/office/drawing/2010/main" w="25400" cap="flat" cmpd="sng" algn="ctr">
                <a:noFill/>
                <a:prstDash val="solid"/>
                <a:miter lim="800000"/>
              </a14:hiddenLine>
            </a:ext>
          </a:extLst>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wrap="square"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ctr"/>
            <a:r>
              <a:rPr lang="da-DK" sz="1100" b="1">
                <a:solidFill>
                  <a:srgbClr val="FFFFFF"/>
                </a:solidFill>
                <a:latin typeface="Arial" panose="020B0604020202020204" pitchFamily="34" charset="0"/>
                <a:ea typeface="+mn-ea"/>
                <a:cs typeface="Arial" panose="020B0604020202020204" pitchFamily="34" charset="0"/>
              </a:rPr>
              <a:t>40 
måneder</a:t>
            </a:r>
          </a:p>
        </xdr:txBody>
      </xdr:sp>
    </xdr:grpSp>
    <xdr:clientData/>
  </xdr:twoCellAnchor>
  <xdr:twoCellAnchor>
    <xdr:from>
      <xdr:col>16</xdr:col>
      <xdr:colOff>97970</xdr:colOff>
      <xdr:row>1</xdr:row>
      <xdr:rowOff>1676400</xdr:rowOff>
    </xdr:from>
    <xdr:to>
      <xdr:col>21</xdr:col>
      <xdr:colOff>239485</xdr:colOff>
      <xdr:row>1</xdr:row>
      <xdr:rowOff>3222171</xdr:rowOff>
    </xdr:to>
    <xdr:graphicFrame macro="">
      <xdr:nvGraphicFramePr>
        <xdr:cNvPr id="60" name="graph_C" descr="s_0_##md_0_model_reporting_header|md_3_header_title|md_3_start_line2a_0|md_3_chart-C_0#__________#md_0_model_reporting_dashboard_l2a#c_0_graphC">
          <a:extLst>
            <a:ext uri="{FF2B5EF4-FFF2-40B4-BE49-F238E27FC236}">
              <a16:creationId xmlns:a16="http://schemas.microsoft.com/office/drawing/2014/main" id="{00000000-0008-0000-27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27214</xdr:colOff>
      <xdr:row>12</xdr:row>
      <xdr:rowOff>40821</xdr:rowOff>
    </xdr:from>
    <xdr:to>
      <xdr:col>16</xdr:col>
      <xdr:colOff>1004454</xdr:colOff>
      <xdr:row>12</xdr:row>
      <xdr:rowOff>317911</xdr:rowOff>
    </xdr:to>
    <xdr:pic>
      <xdr:nvPicPr>
        <xdr:cNvPr id="119" name="g0+J/Xhz78jw0/qGEagnxg==" descr="s_0_##md_0_model_scenario-assumptions|md_2_scenarios_start|md_2_start_0_1#_______#md_0_model_scenario-assumptions__logo#s_2_rLogo"/>
        <xdr:cNvPicPr>
          <a:picLocks/>
        </xdr:cNvPicPr>
      </xdr:nvPicPr>
      <xdr:blipFill>
        <a:blip xmlns:r="http://schemas.openxmlformats.org/officeDocument/2006/relationships" r:embed="rId8" cstate="print">
          <a:biLevel thresh="25000"/>
          <a:extLst>
            <a:ext uri="{28A0092B-C50C-407E-A947-70E740481C1C}">
              <a14:useLocalDpi xmlns:a14="http://schemas.microsoft.com/office/drawing/2010/main" val="0"/>
            </a:ext>
          </a:extLst>
        </a:blip>
        <a:stretch>
          <a:fillRect/>
        </a:stretch>
      </xdr:blipFill>
      <xdr:spPr>
        <a:xfrm>
          <a:off x="8354785" y="40821"/>
          <a:ext cx="1303812" cy="277090"/>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0.00026</cdr:x>
      <cdr:y>0.00232</cdr:y>
    </cdr:from>
    <cdr:to>
      <cdr:x>0.99217</cdr:x>
      <cdr:y>0.98055</cdr:y>
    </cdr:to>
    <cdr:sp macro="" textlink="">
      <cdr:nvSpPr>
        <cdr:cNvPr id="2" name="Round Single Corner Rectangle 1"/>
        <cdr:cNvSpPr/>
      </cdr:nvSpPr>
      <cdr:spPr>
        <a:xfrm xmlns:a="http://schemas.openxmlformats.org/drawingml/2006/main" flipH="1">
          <a:off x="649" y="1923"/>
          <a:ext cx="2475361" cy="810634"/>
        </a:xfrm>
        <a:prstGeom xmlns:a="http://schemas.openxmlformats.org/drawingml/2006/main" prst="round1Rect">
          <a:avLst>
            <a:gd name="adj" fmla="val 5091"/>
          </a:avLst>
        </a:prstGeom>
        <a:noFill xmlns:a="http://schemas.openxmlformats.org/drawingml/2006/main"/>
        <a:ln xmlns:a="http://schemas.openxmlformats.org/drawingml/2006/main" w="12700" cap="flat" cmpd="sng" algn="ctr">
          <a:gradFill flip="none" rotWithShape="1">
            <a:gsLst>
              <a:gs pos="34000">
                <a:schemeClr val="bg1">
                  <a:lumMod val="65000"/>
                </a:schemeClr>
              </a:gs>
              <a:gs pos="49000">
                <a:srgbClr val="F8F8DE">
                  <a:alpha val="0"/>
                </a:srgbClr>
              </a:gs>
            </a:gsLst>
            <a:lin ang="6120000" scaled="0"/>
            <a:tileRect/>
          </a:gra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rtlCol="0" anchor="t"/>
        <a:lstStyle xmlns:a="http://schemas.openxmlformats.org/drawingml/2006/main"/>
        <a:p xmlns:a="http://schemas.openxmlformats.org/drawingml/2006/main">
          <a:pPr marL="0" indent="0"/>
          <a:endParaRPr lang="da-DK" sz="900">
            <a:solidFill>
              <a:schemeClr val="lt1"/>
            </a:solidFill>
            <a:latin typeface="Arial" panose="020B0604020202020204" pitchFamily="34" charset="0"/>
            <a:ea typeface="+mn-ea"/>
            <a:cs typeface="Arial" panose="020B0604020202020204" pitchFamily="34"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0.00342</cdr:x>
      <cdr:y>0</cdr:y>
    </cdr:from>
    <cdr:to>
      <cdr:x>0.99504</cdr:x>
      <cdr:y>0.97823</cdr:y>
    </cdr:to>
    <cdr:sp macro="" textlink="">
      <cdr:nvSpPr>
        <cdr:cNvPr id="2" name="Round Single Corner Rectangle 1"/>
        <cdr:cNvSpPr/>
      </cdr:nvSpPr>
      <cdr:spPr>
        <a:xfrm xmlns:a="http://schemas.openxmlformats.org/drawingml/2006/main" flipH="1">
          <a:off x="21799" y="0"/>
          <a:ext cx="6320492" cy="1710060"/>
        </a:xfrm>
        <a:prstGeom xmlns:a="http://schemas.openxmlformats.org/drawingml/2006/main" prst="round1Rect">
          <a:avLst>
            <a:gd name="adj" fmla="val 5091"/>
          </a:avLst>
        </a:prstGeom>
        <a:noFill xmlns:a="http://schemas.openxmlformats.org/drawingml/2006/main"/>
        <a:ln xmlns:a="http://schemas.openxmlformats.org/drawingml/2006/main" w="12700" cap="flat" cmpd="sng" algn="ctr">
          <a:gradFill flip="none" rotWithShape="1">
            <a:gsLst>
              <a:gs pos="38000">
                <a:schemeClr val="bg1">
                  <a:lumMod val="65000"/>
                </a:schemeClr>
              </a:gs>
              <a:gs pos="51000">
                <a:srgbClr val="F8F8DE">
                  <a:alpha val="0"/>
                </a:srgbClr>
              </a:gs>
            </a:gsLst>
            <a:lin ang="6300000" scaled="0"/>
            <a:tileRect/>
          </a:gra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rtlCol="0" anchor="t"/>
        <a:lstStyle xmlns:a="http://schemas.openxmlformats.org/drawingml/2006/main"/>
        <a:p xmlns:a="http://schemas.openxmlformats.org/drawingml/2006/main">
          <a:pPr marL="0" indent="0"/>
          <a:endParaRPr lang="da-DK" sz="900">
            <a:solidFill>
              <a:schemeClr val="lt1"/>
            </a:solidFill>
            <a:latin typeface="Arial" panose="020B0604020202020204" pitchFamily="34" charset="0"/>
            <a:ea typeface="+mn-ea"/>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0.00252</cdr:x>
      <cdr:y>0.00232</cdr:y>
    </cdr:from>
    <cdr:to>
      <cdr:x>0.99542</cdr:x>
      <cdr:y>1</cdr:y>
    </cdr:to>
    <cdr:sp macro="" textlink="">
      <cdr:nvSpPr>
        <cdr:cNvPr id="2" name="Round Single Corner Rectangle 1"/>
        <cdr:cNvSpPr/>
      </cdr:nvSpPr>
      <cdr:spPr>
        <a:xfrm xmlns:a="http://schemas.openxmlformats.org/drawingml/2006/main" flipH="1">
          <a:off x="15240" y="4101"/>
          <a:ext cx="5999745" cy="1763739"/>
        </a:xfrm>
        <a:prstGeom xmlns:a="http://schemas.openxmlformats.org/drawingml/2006/main" prst="round1Rect">
          <a:avLst>
            <a:gd name="adj" fmla="val 5091"/>
          </a:avLst>
        </a:prstGeom>
        <a:noFill xmlns:a="http://schemas.openxmlformats.org/drawingml/2006/main"/>
        <a:ln xmlns:a="http://schemas.openxmlformats.org/drawingml/2006/main" w="12700" cap="flat" cmpd="sng" algn="ctr">
          <a:gradFill flip="none" rotWithShape="1">
            <a:gsLst>
              <a:gs pos="34000">
                <a:schemeClr val="bg1">
                  <a:lumMod val="65000"/>
                </a:schemeClr>
              </a:gs>
              <a:gs pos="49000">
                <a:srgbClr val="F8F8DE">
                  <a:alpha val="0"/>
                </a:srgbClr>
              </a:gs>
            </a:gsLst>
            <a:lin ang="6300000" scaled="0"/>
            <a:tileRect/>
          </a:gra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rtlCol="0" anchor="t"/>
        <a:lstStyle xmlns:a="http://schemas.openxmlformats.org/drawingml/2006/main"/>
        <a:p xmlns:a="http://schemas.openxmlformats.org/drawingml/2006/main">
          <a:pPr marL="0" indent="0"/>
          <a:endParaRPr lang="da-DK" sz="1100">
            <a:solidFill>
              <a:schemeClr val="lt1"/>
            </a:solidFill>
            <a:latin typeface="Arial" panose="020B0604020202020204" pitchFamily="34" charset="0"/>
            <a:ea typeface="+mn-ea"/>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0.00026</cdr:x>
      <cdr:y>0.00232</cdr:y>
    </cdr:from>
    <cdr:to>
      <cdr:x>0.99217</cdr:x>
      <cdr:y>0.98055</cdr:y>
    </cdr:to>
    <cdr:sp macro="" textlink="">
      <cdr:nvSpPr>
        <cdr:cNvPr id="5" name="Round Single Corner Rectangle 1"/>
        <cdr:cNvSpPr/>
      </cdr:nvSpPr>
      <cdr:spPr>
        <a:xfrm xmlns:a="http://schemas.openxmlformats.org/drawingml/2006/main" flipH="1">
          <a:off x="1568" y="4124"/>
          <a:ext cx="5981898" cy="1738893"/>
        </a:xfrm>
        <a:prstGeom xmlns:a="http://schemas.openxmlformats.org/drawingml/2006/main" prst="round1Rect">
          <a:avLst>
            <a:gd name="adj" fmla="val 5091"/>
          </a:avLst>
        </a:prstGeom>
        <a:noFill xmlns:a="http://schemas.openxmlformats.org/drawingml/2006/main"/>
        <a:ln xmlns:a="http://schemas.openxmlformats.org/drawingml/2006/main" w="12700" cap="flat" cmpd="sng" algn="ctr">
          <a:gradFill flip="none" rotWithShape="1">
            <a:gsLst>
              <a:gs pos="34000">
                <a:schemeClr val="bg1">
                  <a:lumMod val="65000"/>
                </a:schemeClr>
              </a:gs>
              <a:gs pos="49000">
                <a:srgbClr val="F8F8DE"/>
              </a:gs>
            </a:gsLst>
            <a:lin ang="6180000" scaled="0"/>
            <a:tileRect/>
          </a:gra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rtlCol="0" anchor="t"/>
        <a:lstStyle xmlns:a="http://schemas.openxmlformats.org/drawingml/2006/main"/>
        <a:p xmlns:a="http://schemas.openxmlformats.org/drawingml/2006/main">
          <a:pPr marL="0" indent="0"/>
          <a:endParaRPr lang="da-DK" sz="1100">
            <a:solidFill>
              <a:schemeClr val="lt1"/>
            </a:solidFill>
            <a:latin typeface="+mn-lt"/>
            <a:ea typeface="+mn-ea"/>
            <a:cs typeface="+mn-cs"/>
          </a:endParaRPr>
        </a:p>
      </cdr:txBody>
    </cdr:sp>
  </cdr:relSizeAnchor>
</c:userShape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NR_6">
    <tabColor rgb="FF808080"/>
  </sheetPr>
  <dimension ref="A1:R227"/>
  <sheetViews>
    <sheetView workbookViewId="0">
      <selection activeCell="N21" sqref="N21"/>
    </sheetView>
  </sheetViews>
  <sheetFormatPr defaultColWidth="9.140625" defaultRowHeight="12.75" x14ac:dyDescent="0.2"/>
  <cols>
    <col min="1" max="1" width="13.140625" customWidth="1"/>
    <col min="2" max="2" width="54" customWidth="1"/>
    <col min="12" max="12" width="10.85546875" bestFit="1" customWidth="1"/>
    <col min="13" max="13" width="10.140625" bestFit="1" customWidth="1"/>
    <col min="14" max="14" width="28" customWidth="1"/>
    <col min="15" max="15" width="21.5703125" customWidth="1"/>
    <col min="16" max="16" width="10.140625" bestFit="1" customWidth="1"/>
    <col min="17" max="17" width="15.5703125" customWidth="1"/>
    <col min="18" max="18" width="13.28515625" bestFit="1" customWidth="1"/>
  </cols>
  <sheetData>
    <row r="1" spans="1:18" s="2" customFormat="1" ht="12.75" customHeight="1" x14ac:dyDescent="0.2">
      <c r="A1" s="1" t="s">
        <v>319</v>
      </c>
      <c r="B1" s="1" t="s">
        <v>320</v>
      </c>
      <c r="C1" s="1" t="s">
        <v>321</v>
      </c>
      <c r="D1" s="1" t="s">
        <v>322</v>
      </c>
      <c r="E1" s="1" t="s">
        <v>72</v>
      </c>
      <c r="F1" s="1" t="s">
        <v>73</v>
      </c>
      <c r="G1" s="1" t="s">
        <v>74</v>
      </c>
      <c r="H1" s="1" t="s">
        <v>75</v>
      </c>
      <c r="I1" s="1" t="s">
        <v>76</v>
      </c>
      <c r="J1" s="1" t="s">
        <v>77</v>
      </c>
      <c r="K1" s="1" t="s">
        <v>78</v>
      </c>
      <c r="L1" s="1" t="s">
        <v>310</v>
      </c>
      <c r="M1" s="1" t="s">
        <v>311</v>
      </c>
      <c r="N1" s="1" t="s">
        <v>312</v>
      </c>
      <c r="O1" s="1" t="s">
        <v>313</v>
      </c>
      <c r="P1" s="1" t="s">
        <v>314</v>
      </c>
      <c r="Q1" s="1" t="s">
        <v>315</v>
      </c>
      <c r="R1" s="1" t="s">
        <v>316</v>
      </c>
    </row>
    <row r="2" spans="1:18" x14ac:dyDescent="0.2">
      <c r="A2" t="s">
        <v>324</v>
      </c>
      <c r="B2" t="s">
        <v>323</v>
      </c>
      <c r="C2" s="3" t="s">
        <v>79</v>
      </c>
      <c r="D2" s="3" t="s">
        <v>80</v>
      </c>
      <c r="E2" s="3" t="s">
        <v>81</v>
      </c>
      <c r="F2" s="3" t="s">
        <v>82</v>
      </c>
      <c r="G2" s="3" t="s">
        <v>83</v>
      </c>
      <c r="H2" s="49" t="s">
        <v>84</v>
      </c>
      <c r="I2" s="49" t="s">
        <v>85</v>
      </c>
      <c r="J2" s="3" t="s">
        <v>89</v>
      </c>
      <c r="K2" s="3" t="s">
        <v>90</v>
      </c>
      <c r="L2" s="3" t="s">
        <v>91</v>
      </c>
      <c r="M2" s="49" t="s">
        <v>309</v>
      </c>
      <c r="N2" s="49" t="s">
        <v>307</v>
      </c>
      <c r="O2" s="49" t="s">
        <v>308</v>
      </c>
      <c r="P2" s="49" t="s">
        <v>86</v>
      </c>
      <c r="Q2" s="3" t="s">
        <v>87</v>
      </c>
      <c r="R2" s="3" t="s">
        <v>88</v>
      </c>
    </row>
    <row r="3" spans="1:18" x14ac:dyDescent="0.2">
      <c r="A3" s="153" t="s">
        <v>326</v>
      </c>
      <c r="B3" s="157" t="s">
        <v>325</v>
      </c>
      <c r="C3" s="3" t="s">
        <v>92</v>
      </c>
      <c r="D3">
        <v>0.05</v>
      </c>
      <c r="E3">
        <v>3.5000000000000003E-2</v>
      </c>
      <c r="F3">
        <v>2011</v>
      </c>
      <c r="G3">
        <v>2025</v>
      </c>
      <c r="H3">
        <v>2011</v>
      </c>
      <c r="I3">
        <v>1</v>
      </c>
      <c r="J3">
        <f ca="1">IF(INDEX(Stamoplysninger!K65:O65,2)&lt;&gt;0,INDEX(Stamoplysninger!K65:O65,2),YEAR(NOW()))</f>
        <v>2024</v>
      </c>
      <c r="K3">
        <f ca="1">IF(INDEX(Stamoplysninger!K69:O69,2)&lt;&gt;0,INDEX(Stamoplysninger!K69:O69,2),YEAR(NOW()))</f>
        <v>2024</v>
      </c>
      <c r="L3">
        <f ca="1">INDEX(g_pl_factors,(g_reporting_year-g_pl_years_start)*(g_pl_years_end-g_pl_years_start+1)+(g_pl_year-g_pl_years_start+1))</f>
        <v>1</v>
      </c>
      <c r="M3" s="4">
        <f>INDEX(Stamoplysninger!K29:O29,2)</f>
        <v>0</v>
      </c>
      <c r="N3">
        <f>INDEX(Stamoplysninger!$K$48:$O$48,4)</f>
        <v>0</v>
      </c>
      <c r="O3" s="4">
        <f>INDEX(Stamoplysninger!$K$48:$O$48,3)</f>
        <v>0</v>
      </c>
      <c r="P3">
        <f ca="1">P5-P4</f>
        <v>4</v>
      </c>
      <c r="Q3">
        <f ca="1">Q5-Q4</f>
        <v>4</v>
      </c>
      <c r="R3" s="3" t="s">
        <v>93</v>
      </c>
    </row>
    <row r="4" spans="1:18" x14ac:dyDescent="0.2">
      <c r="A4" s="153" t="s">
        <v>327</v>
      </c>
      <c r="B4" s="153" t="s">
        <v>181</v>
      </c>
      <c r="C4" s="3" t="s">
        <v>94</v>
      </c>
      <c r="H4">
        <v>2012</v>
      </c>
      <c r="I4">
        <v>0.98425196850393704</v>
      </c>
      <c r="M4" s="4">
        <f>INDEX(Stamoplysninger!K36:O36,2)</f>
        <v>0</v>
      </c>
      <c r="N4">
        <f>INDEX(Stamoplysninger!$K$50:$O$50,4)</f>
        <v>0</v>
      </c>
      <c r="O4" s="4">
        <f>INDEX(Stamoplysninger!$K$50:$O$50,3)</f>
        <v>0</v>
      </c>
      <c r="P4">
        <f ca="1">MIN(P6:P8)</f>
        <v>2024</v>
      </c>
      <c r="Q4">
        <f ca="1">P4</f>
        <v>2024</v>
      </c>
      <c r="R4" s="49" t="s">
        <v>277</v>
      </c>
    </row>
    <row r="5" spans="1:18" x14ac:dyDescent="0.2">
      <c r="A5" s="153" t="s">
        <v>329</v>
      </c>
      <c r="B5" s="153" t="s">
        <v>398</v>
      </c>
      <c r="C5" s="3" t="s">
        <v>95</v>
      </c>
      <c r="H5">
        <v>2013</v>
      </c>
      <c r="I5">
        <v>0.97935519254123082</v>
      </c>
      <c r="M5" s="4">
        <f>INDEX(Stamoplysninger!K38:O38,2)</f>
        <v>0</v>
      </c>
      <c r="N5">
        <f>INDEX(Stamoplysninger!$K$52:$O$52,4)</f>
        <v>0</v>
      </c>
      <c r="O5" s="4">
        <f>INDEX(Stamoplysninger!$K$52:$O$52,3)</f>
        <v>0</v>
      </c>
      <c r="P5">
        <f ca="1">MAX(P6:P8)</f>
        <v>2028</v>
      </c>
      <c r="Q5">
        <f ca="1">MAX(P5,Q6:Q10)</f>
        <v>2028</v>
      </c>
      <c r="R5" t="str">
        <f>IF(ISBLANK(INDEX(Stamoplysninger!$K$48:$O$48,2)),"",INDEX(Stamoplysninger!$K$48:$O$48,2))</f>
        <v/>
      </c>
    </row>
    <row r="6" spans="1:18" ht="15" x14ac:dyDescent="0.25">
      <c r="A6" s="153" t="s">
        <v>328</v>
      </c>
      <c r="B6" s="153" t="s">
        <v>330</v>
      </c>
      <c r="H6">
        <v>2014</v>
      </c>
      <c r="I6">
        <v>0.9754533790251303</v>
      </c>
      <c r="N6">
        <f>INDEX(Stamoplysninger!$K$54:$O$54,4)</f>
        <v>0</v>
      </c>
      <c r="O6" s="4">
        <f>INDEX(Stamoplysninger!$K$54:$O$54,3)</f>
        <v>0</v>
      </c>
      <c r="P6" s="86">
        <f ca="1">IF(M3=0,YEAR(NOW()),YEAR(M3))</f>
        <v>2024</v>
      </c>
      <c r="Q6" s="87">
        <f>YEAR(O3)+N3</f>
        <v>1900</v>
      </c>
      <c r="R6" t="str">
        <f>IF(ISBLANK(INDEX(Stamoplysninger!$K$50:$O$50,2)),"",INDEX(Stamoplysninger!$K$50:$O$50,2))</f>
        <v/>
      </c>
    </row>
    <row r="7" spans="1:18" ht="15" x14ac:dyDescent="0.25">
      <c r="A7" s="153" t="s">
        <v>332</v>
      </c>
      <c r="B7" s="153" t="s">
        <v>335</v>
      </c>
      <c r="H7">
        <v>2015</v>
      </c>
      <c r="I7">
        <v>0.97060037713943326</v>
      </c>
      <c r="N7">
        <f>INDEX(Stamoplysninger!$K$56:$O$56,4)</f>
        <v>0</v>
      </c>
      <c r="O7" s="4">
        <f>INDEX(Stamoplysninger!$K$56:$O$56,3)</f>
        <v>0</v>
      </c>
      <c r="P7" s="86">
        <f ca="1">IF(M4=0,P6,YEAR(M4))</f>
        <v>2024</v>
      </c>
      <c r="Q7" s="87">
        <f t="shared" ref="Q7:Q10" si="0">YEAR(O4)+N4</f>
        <v>1900</v>
      </c>
      <c r="R7" t="str">
        <f>IF(ISBLANK(INDEX(Stamoplysninger!$K$52:$O$52,2)),"",INDEX(Stamoplysninger!$K$52:$O$52,2))</f>
        <v/>
      </c>
    </row>
    <row r="8" spans="1:18" ht="15" x14ac:dyDescent="0.25">
      <c r="A8" s="153" t="s">
        <v>333</v>
      </c>
      <c r="B8" s="154" t="s">
        <v>334</v>
      </c>
      <c r="H8">
        <v>2016</v>
      </c>
      <c r="I8">
        <v>0.96577151954172469</v>
      </c>
      <c r="O8" s="4"/>
      <c r="P8" s="86">
        <f ca="1">IF(M5=0,P6+4,YEAR(M5))</f>
        <v>2028</v>
      </c>
      <c r="Q8" s="87">
        <f t="shared" si="0"/>
        <v>1900</v>
      </c>
      <c r="R8" t="str">
        <f>IF(ISBLANK(INDEX(Stamoplysninger!$K$54:$O$54,2)),"",INDEX(Stamoplysninger!$K$54:$O$54,2))</f>
        <v/>
      </c>
    </row>
    <row r="9" spans="1:18" ht="15" x14ac:dyDescent="0.25">
      <c r="A9" s="153" t="s">
        <v>336</v>
      </c>
      <c r="B9" s="153" t="s">
        <v>276</v>
      </c>
      <c r="H9">
        <v>2017</v>
      </c>
      <c r="I9">
        <v>0.95431968334162509</v>
      </c>
      <c r="Q9" s="87">
        <f t="shared" si="0"/>
        <v>1900</v>
      </c>
      <c r="R9" t="str">
        <f>IF(ISBLANK(INDEX(Stamoplysninger!$K$56:$O$56,2)),"",INDEX(Stamoplysninger!$K$56:$O$56,2))</f>
        <v/>
      </c>
    </row>
    <row r="10" spans="1:18" ht="15" x14ac:dyDescent="0.25">
      <c r="A10" s="153" t="s">
        <v>337</v>
      </c>
      <c r="B10" s="153" t="s">
        <v>331</v>
      </c>
      <c r="H10">
        <v>2018</v>
      </c>
      <c r="I10">
        <v>0.9365256951340778</v>
      </c>
      <c r="N10" s="4"/>
      <c r="O10" s="4"/>
      <c r="Q10" s="87">
        <f t="shared" si="0"/>
        <v>1900</v>
      </c>
      <c r="R10" s="49"/>
    </row>
    <row r="11" spans="1:18" x14ac:dyDescent="0.2">
      <c r="A11" s="153" t="s">
        <v>338</v>
      </c>
      <c r="B11" s="153" t="s">
        <v>129</v>
      </c>
      <c r="H11">
        <v>2019</v>
      </c>
      <c r="I11">
        <v>0.92450710279770765</v>
      </c>
      <c r="N11" s="4"/>
      <c r="R11" s="49"/>
    </row>
    <row r="12" spans="1:18" x14ac:dyDescent="0.2">
      <c r="A12" s="153" t="s">
        <v>339</v>
      </c>
      <c r="B12" s="153" t="s">
        <v>172</v>
      </c>
      <c r="H12">
        <v>2020</v>
      </c>
      <c r="I12">
        <v>0.91444817289585334</v>
      </c>
      <c r="N12" s="4"/>
      <c r="O12" s="4"/>
      <c r="R12" s="49"/>
    </row>
    <row r="13" spans="1:18" x14ac:dyDescent="0.2">
      <c r="A13" s="153" t="s">
        <v>340</v>
      </c>
      <c r="B13" s="153" t="s">
        <v>477</v>
      </c>
      <c r="H13">
        <v>2021</v>
      </c>
      <c r="I13">
        <v>0.90360491392870879</v>
      </c>
      <c r="N13" s="4"/>
    </row>
    <row r="14" spans="1:18" x14ac:dyDescent="0.2">
      <c r="A14" s="153" t="s">
        <v>341</v>
      </c>
      <c r="B14" s="153" t="s">
        <v>173</v>
      </c>
      <c r="H14">
        <v>2022</v>
      </c>
      <c r="I14">
        <v>0.86635178708409288</v>
      </c>
      <c r="N14" s="4"/>
    </row>
    <row r="15" spans="1:18" x14ac:dyDescent="0.2">
      <c r="A15" s="153" t="s">
        <v>342</v>
      </c>
      <c r="B15" s="157" t="s">
        <v>94</v>
      </c>
      <c r="H15">
        <v>2023</v>
      </c>
      <c r="I15">
        <v>0.84522125569179796</v>
      </c>
      <c r="N15" s="4"/>
    </row>
    <row r="16" spans="1:18" x14ac:dyDescent="0.2">
      <c r="A16" s="153" t="s">
        <v>343</v>
      </c>
      <c r="B16" s="153" t="s">
        <v>272</v>
      </c>
      <c r="H16">
        <v>2024</v>
      </c>
      <c r="I16">
        <v>0.81271274585749798</v>
      </c>
      <c r="N16" s="4"/>
    </row>
    <row r="17" spans="1:18" x14ac:dyDescent="0.2">
      <c r="A17" s="153" t="s">
        <v>344</v>
      </c>
      <c r="B17" s="153" t="s">
        <v>95</v>
      </c>
      <c r="H17">
        <v>2025</v>
      </c>
      <c r="I17">
        <v>0.79057660102869454</v>
      </c>
      <c r="N17" s="4"/>
    </row>
    <row r="18" spans="1:18" x14ac:dyDescent="0.2">
      <c r="A18" s="153" t="s">
        <v>345</v>
      </c>
      <c r="B18" s="153" t="s">
        <v>272</v>
      </c>
      <c r="I18">
        <v>1.016</v>
      </c>
      <c r="N18" s="4"/>
      <c r="O18" s="4"/>
      <c r="R18" s="49"/>
    </row>
    <row r="19" spans="1:18" x14ac:dyDescent="0.2">
      <c r="A19" s="153" t="s">
        <v>346</v>
      </c>
      <c r="B19" s="153" t="s">
        <v>275</v>
      </c>
      <c r="I19">
        <v>1</v>
      </c>
      <c r="N19" s="4"/>
    </row>
    <row r="20" spans="1:18" x14ac:dyDescent="0.2">
      <c r="A20" s="153" t="s">
        <v>347</v>
      </c>
      <c r="B20" s="153" t="s">
        <v>156</v>
      </c>
      <c r="I20">
        <v>0.99502487562189068</v>
      </c>
      <c r="N20" s="4"/>
    </row>
    <row r="21" spans="1:18" ht="102" x14ac:dyDescent="0.2">
      <c r="A21" s="153" t="s">
        <v>348</v>
      </c>
      <c r="B21" s="158" t="s">
        <v>399</v>
      </c>
      <c r="I21">
        <v>0.99106063308953263</v>
      </c>
    </row>
    <row r="22" spans="1:18" x14ac:dyDescent="0.2">
      <c r="A22" s="153" t="s">
        <v>349</v>
      </c>
      <c r="B22" s="153" t="s">
        <v>431</v>
      </c>
      <c r="I22">
        <v>0.98612998317366451</v>
      </c>
    </row>
    <row r="23" spans="1:18" x14ac:dyDescent="0.2">
      <c r="A23" s="153" t="s">
        <v>350</v>
      </c>
      <c r="B23" s="153" t="s">
        <v>174</v>
      </c>
      <c r="I23">
        <v>0.98122386385439253</v>
      </c>
    </row>
    <row r="24" spans="1:18" x14ac:dyDescent="0.2">
      <c r="A24" s="153" t="s">
        <v>351</v>
      </c>
      <c r="B24" s="153" t="s">
        <v>175</v>
      </c>
      <c r="I24">
        <v>0.96958879827509148</v>
      </c>
    </row>
    <row r="25" spans="1:18" x14ac:dyDescent="0.2">
      <c r="A25" s="153" t="s">
        <v>352</v>
      </c>
      <c r="B25" s="153" t="s">
        <v>176</v>
      </c>
      <c r="I25">
        <v>0.95151010625622334</v>
      </c>
    </row>
    <row r="26" spans="1:18" x14ac:dyDescent="0.2">
      <c r="A26" s="153" t="s">
        <v>353</v>
      </c>
      <c r="B26" s="153" t="s">
        <v>171</v>
      </c>
      <c r="I26">
        <v>0.9392992164424715</v>
      </c>
    </row>
    <row r="27" spans="1:18" x14ac:dyDescent="0.2">
      <c r="A27" s="153" t="s">
        <v>354</v>
      </c>
      <c r="B27" s="159" t="s">
        <v>420</v>
      </c>
      <c r="I27">
        <v>0.92907934366218758</v>
      </c>
    </row>
    <row r="28" spans="1:18" x14ac:dyDescent="0.2">
      <c r="A28" s="153" t="s">
        <v>355</v>
      </c>
      <c r="B28" s="153" t="s">
        <v>177</v>
      </c>
      <c r="I28">
        <v>0.91806259255156863</v>
      </c>
    </row>
    <row r="29" spans="1:18" x14ac:dyDescent="0.2">
      <c r="A29" s="153" t="s">
        <v>356</v>
      </c>
      <c r="B29" s="153" t="s">
        <v>151</v>
      </c>
      <c r="I29">
        <v>0.88021341567743883</v>
      </c>
    </row>
    <row r="30" spans="1:18" x14ac:dyDescent="0.2">
      <c r="A30" s="153" t="s">
        <v>357</v>
      </c>
      <c r="B30" s="153" t="s">
        <v>178</v>
      </c>
      <c r="I30">
        <v>0.85874479578286722</v>
      </c>
    </row>
    <row r="31" spans="1:18" x14ac:dyDescent="0.2">
      <c r="A31" s="153" t="s">
        <v>358</v>
      </c>
      <c r="B31" s="153" t="s">
        <v>152</v>
      </c>
      <c r="I31">
        <v>0.82571614979121843</v>
      </c>
    </row>
    <row r="32" spans="1:18" x14ac:dyDescent="0.2">
      <c r="A32" s="153" t="s">
        <v>359</v>
      </c>
      <c r="B32" s="153" t="s">
        <v>154</v>
      </c>
      <c r="I32">
        <v>0.80322582664515396</v>
      </c>
    </row>
    <row r="33" spans="1:9" ht="89.25" x14ac:dyDescent="0.2">
      <c r="A33" s="153" t="s">
        <v>360</v>
      </c>
      <c r="B33" s="158" t="s">
        <v>479</v>
      </c>
      <c r="I33">
        <v>1.02108</v>
      </c>
    </row>
    <row r="34" spans="1:9" x14ac:dyDescent="0.2">
      <c r="A34" s="153" t="s">
        <v>361</v>
      </c>
      <c r="B34" s="153" t="s">
        <v>128</v>
      </c>
      <c r="I34">
        <v>1.0049999999999999</v>
      </c>
    </row>
    <row r="35" spans="1:9" x14ac:dyDescent="0.2">
      <c r="A35" s="153" t="s">
        <v>362</v>
      </c>
      <c r="B35" s="157" t="s">
        <v>430</v>
      </c>
      <c r="I35">
        <v>1</v>
      </c>
    </row>
    <row r="36" spans="1:9" x14ac:dyDescent="0.2">
      <c r="A36" s="153" t="s">
        <v>363</v>
      </c>
      <c r="B36" s="153" t="s">
        <v>179</v>
      </c>
      <c r="I36">
        <v>0.99601593625498008</v>
      </c>
    </row>
    <row r="37" spans="1:9" x14ac:dyDescent="0.2">
      <c r="A37" s="153" t="s">
        <v>364</v>
      </c>
      <c r="B37" s="153" t="s">
        <v>400</v>
      </c>
      <c r="I37">
        <v>0.99106063308953263</v>
      </c>
    </row>
    <row r="38" spans="1:9" x14ac:dyDescent="0.2">
      <c r="A38" s="153" t="s">
        <v>365</v>
      </c>
      <c r="B38" s="153" t="s">
        <v>401</v>
      </c>
      <c r="I38">
        <v>0.98612998317366451</v>
      </c>
    </row>
    <row r="39" spans="1:9" x14ac:dyDescent="0.2">
      <c r="A39" s="153" t="s">
        <v>366</v>
      </c>
      <c r="B39" s="157" t="s">
        <v>155</v>
      </c>
      <c r="I39">
        <v>0.97443674226646693</v>
      </c>
    </row>
    <row r="40" spans="1:9" x14ac:dyDescent="0.2">
      <c r="A40" s="153" t="s">
        <v>367</v>
      </c>
      <c r="B40" s="157" t="s">
        <v>422</v>
      </c>
      <c r="I40">
        <v>0.95626765678750447</v>
      </c>
    </row>
    <row r="41" spans="1:9" x14ac:dyDescent="0.2">
      <c r="A41" s="153" t="s">
        <v>368</v>
      </c>
      <c r="B41" s="153" t="s">
        <v>432</v>
      </c>
      <c r="I41">
        <v>0.94399571252468373</v>
      </c>
    </row>
    <row r="42" spans="1:9" x14ac:dyDescent="0.2">
      <c r="A42" s="153" t="s">
        <v>369</v>
      </c>
      <c r="B42" s="153" t="s">
        <v>157</v>
      </c>
      <c r="I42">
        <v>0.93372474038049824</v>
      </c>
    </row>
    <row r="43" spans="1:9" x14ac:dyDescent="0.2">
      <c r="A43" s="153" t="s">
        <v>370</v>
      </c>
      <c r="B43" s="153" t="s">
        <v>180</v>
      </c>
      <c r="I43">
        <v>0.92265290551432633</v>
      </c>
    </row>
    <row r="44" spans="1:9" x14ac:dyDescent="0.2">
      <c r="A44" s="153" t="s">
        <v>371</v>
      </c>
      <c r="B44" s="153" t="s">
        <v>423</v>
      </c>
      <c r="I44">
        <v>0.88461448275582577</v>
      </c>
    </row>
    <row r="45" spans="1:9" x14ac:dyDescent="0.2">
      <c r="A45" s="153" t="s">
        <v>373</v>
      </c>
      <c r="B45" s="157" t="s">
        <v>433</v>
      </c>
      <c r="I45">
        <v>0.86303851976178125</v>
      </c>
    </row>
    <row r="46" spans="1:9" x14ac:dyDescent="0.2">
      <c r="A46" s="153" t="s">
        <v>372</v>
      </c>
      <c r="B46" s="157" t="s">
        <v>434</v>
      </c>
      <c r="I46">
        <v>0.82984473054017427</v>
      </c>
    </row>
    <row r="47" spans="1:9" x14ac:dyDescent="0.2">
      <c r="A47" s="153" t="s">
        <v>374</v>
      </c>
      <c r="B47" s="157" t="s">
        <v>429</v>
      </c>
      <c r="I47">
        <v>0.80724195577837954</v>
      </c>
    </row>
    <row r="48" spans="1:9" ht="76.5" x14ac:dyDescent="0.2">
      <c r="A48" s="153" t="s">
        <v>375</v>
      </c>
      <c r="B48" s="158" t="s">
        <v>475</v>
      </c>
      <c r="I48">
        <v>1.02516432</v>
      </c>
    </row>
    <row r="49" spans="1:9" x14ac:dyDescent="0.2">
      <c r="A49" s="153" t="s">
        <v>474</v>
      </c>
      <c r="B49" s="157" t="s">
        <v>470</v>
      </c>
      <c r="I49">
        <v>1.0090199999999998</v>
      </c>
    </row>
    <row r="50" spans="1:9" x14ac:dyDescent="0.2">
      <c r="A50" s="153" t="s">
        <v>425</v>
      </c>
      <c r="B50" s="157" t="s">
        <v>428</v>
      </c>
      <c r="I50">
        <v>1.004</v>
      </c>
    </row>
    <row r="51" spans="1:9" x14ac:dyDescent="0.2">
      <c r="A51" s="153" t="s">
        <v>426</v>
      </c>
      <c r="B51" s="157" t="s">
        <v>412</v>
      </c>
      <c r="I51">
        <v>1</v>
      </c>
    </row>
    <row r="52" spans="1:9" ht="140.25" x14ac:dyDescent="0.2">
      <c r="A52" s="153" t="s">
        <v>427</v>
      </c>
      <c r="B52" s="158" t="s">
        <v>473</v>
      </c>
      <c r="I52">
        <v>0.99502487562189068</v>
      </c>
    </row>
    <row r="53" spans="1:9" x14ac:dyDescent="0.2">
      <c r="A53" s="153" t="s">
        <v>376</v>
      </c>
      <c r="B53" s="153" t="s">
        <v>317</v>
      </c>
      <c r="I53">
        <v>0.99007450310635903</v>
      </c>
    </row>
    <row r="54" spans="1:9" x14ac:dyDescent="0.2">
      <c r="A54" s="153" t="s">
        <v>377</v>
      </c>
      <c r="B54" s="153" t="s">
        <v>378</v>
      </c>
      <c r="I54">
        <v>0.97833448923553257</v>
      </c>
    </row>
    <row r="55" spans="1:9" x14ac:dyDescent="0.2">
      <c r="A55" s="153" t="s">
        <v>379</v>
      </c>
      <c r="B55" s="153" t="s">
        <v>411</v>
      </c>
      <c r="I55">
        <v>0.96009272741465423</v>
      </c>
    </row>
    <row r="56" spans="1:9" x14ac:dyDescent="0.2">
      <c r="A56" s="153" t="s">
        <v>380</v>
      </c>
      <c r="B56" s="153" t="s">
        <v>407</v>
      </c>
      <c r="I56">
        <v>0.94777169537478223</v>
      </c>
    </row>
    <row r="57" spans="1:9" x14ac:dyDescent="0.2">
      <c r="A57" s="153" t="s">
        <v>381</v>
      </c>
      <c r="B57" s="157" t="s">
        <v>421</v>
      </c>
      <c r="I57">
        <v>0.93745963934202003</v>
      </c>
    </row>
    <row r="58" spans="1:9" x14ac:dyDescent="0.2">
      <c r="A58" s="153" t="s">
        <v>385</v>
      </c>
      <c r="B58" s="157" t="s">
        <v>435</v>
      </c>
      <c r="I58">
        <v>0.92634351713638352</v>
      </c>
    </row>
    <row r="59" spans="1:9" x14ac:dyDescent="0.2">
      <c r="A59" s="153" t="s">
        <v>386</v>
      </c>
      <c r="B59" s="157" t="s">
        <v>405</v>
      </c>
      <c r="I59">
        <v>0.88815294068684913</v>
      </c>
    </row>
    <row r="60" spans="1:9" x14ac:dyDescent="0.2">
      <c r="A60" s="153" t="s">
        <v>404</v>
      </c>
      <c r="B60" s="157" t="s">
        <v>406</v>
      </c>
      <c r="I60">
        <v>0.86649067384082845</v>
      </c>
    </row>
    <row r="61" spans="1:9" x14ac:dyDescent="0.2">
      <c r="A61" s="153" t="s">
        <v>387</v>
      </c>
      <c r="B61" s="157" t="s">
        <v>267</v>
      </c>
      <c r="I61">
        <v>0.83316410946233499</v>
      </c>
    </row>
    <row r="62" spans="1:9" x14ac:dyDescent="0.2">
      <c r="A62" s="153" t="s">
        <v>388</v>
      </c>
      <c r="B62" s="153" t="s">
        <v>268</v>
      </c>
      <c r="I62">
        <v>0.8104709236014932</v>
      </c>
    </row>
    <row r="63" spans="1:9" x14ac:dyDescent="0.2">
      <c r="A63" s="153" t="s">
        <v>382</v>
      </c>
      <c r="B63" s="153" t="s">
        <v>318</v>
      </c>
      <c r="I63">
        <v>1.0302901415999999</v>
      </c>
    </row>
    <row r="64" spans="1:9" x14ac:dyDescent="0.2">
      <c r="A64" s="153" t="s">
        <v>383</v>
      </c>
      <c r="B64" s="157" t="s">
        <v>158</v>
      </c>
      <c r="I64">
        <v>1.0140650999999996</v>
      </c>
    </row>
    <row r="65" spans="1:9" x14ac:dyDescent="0.2">
      <c r="A65" s="153" t="s">
        <v>384</v>
      </c>
      <c r="B65" s="153" t="s">
        <v>159</v>
      </c>
      <c r="I65">
        <v>1.0090199999999998</v>
      </c>
    </row>
    <row r="66" spans="1:9" x14ac:dyDescent="0.2">
      <c r="A66" s="153" t="s">
        <v>402</v>
      </c>
      <c r="B66" s="153" t="s">
        <v>160</v>
      </c>
      <c r="I66">
        <v>1.0049999999999999</v>
      </c>
    </row>
    <row r="67" spans="1:9" x14ac:dyDescent="0.2">
      <c r="A67" s="153" t="s">
        <v>403</v>
      </c>
      <c r="B67" s="153" t="s">
        <v>161</v>
      </c>
      <c r="I67">
        <v>1</v>
      </c>
    </row>
    <row r="68" spans="1:9" x14ac:dyDescent="0.2">
      <c r="A68" s="153" t="s">
        <v>410</v>
      </c>
      <c r="B68" s="153" t="s">
        <v>436</v>
      </c>
      <c r="I68">
        <v>0.99502487562189068</v>
      </c>
    </row>
    <row r="69" spans="1:9" x14ac:dyDescent="0.2">
      <c r="A69" s="153" t="s">
        <v>408</v>
      </c>
      <c r="B69" s="153" t="s">
        <v>162</v>
      </c>
      <c r="I69">
        <v>0.98322616168171018</v>
      </c>
    </row>
    <row r="70" spans="1:9" x14ac:dyDescent="0.2">
      <c r="A70" s="153" t="s">
        <v>409</v>
      </c>
      <c r="B70" s="153" t="s">
        <v>437</v>
      </c>
      <c r="I70">
        <v>0.96489319105172744</v>
      </c>
    </row>
    <row r="71" spans="1:9" x14ac:dyDescent="0.2">
      <c r="A71" s="153" t="s">
        <v>389</v>
      </c>
      <c r="B71" s="157" t="s">
        <v>413</v>
      </c>
      <c r="I71">
        <v>0.95251055385165584</v>
      </c>
    </row>
    <row r="72" spans="1:9" x14ac:dyDescent="0.2">
      <c r="A72" s="153" t="s">
        <v>390</v>
      </c>
      <c r="B72" s="153" t="s">
        <v>163</v>
      </c>
      <c r="I72">
        <v>0.94214693753872991</v>
      </c>
    </row>
    <row r="73" spans="1:9" x14ac:dyDescent="0.2">
      <c r="A73" s="153" t="s">
        <v>391</v>
      </c>
      <c r="B73" s="153" t="s">
        <v>166</v>
      </c>
      <c r="I73">
        <v>0.930975234722065</v>
      </c>
    </row>
    <row r="74" spans="1:9" x14ac:dyDescent="0.2">
      <c r="A74" s="153" t="s">
        <v>392</v>
      </c>
      <c r="B74" s="153" t="s">
        <v>167</v>
      </c>
      <c r="I74">
        <v>0.89259370539028293</v>
      </c>
    </row>
    <row r="75" spans="1:9" x14ac:dyDescent="0.2">
      <c r="A75" s="153" t="s">
        <v>393</v>
      </c>
      <c r="B75" s="153" t="s">
        <v>168</v>
      </c>
      <c r="I75">
        <v>0.87082312721003219</v>
      </c>
    </row>
    <row r="76" spans="1:9" x14ac:dyDescent="0.2">
      <c r="A76" s="153" t="s">
        <v>394</v>
      </c>
      <c r="B76" s="153" t="s">
        <v>169</v>
      </c>
      <c r="I76">
        <v>0.83732993000964639</v>
      </c>
    </row>
    <row r="77" spans="1:9" x14ac:dyDescent="0.2">
      <c r="A77" s="153" t="s">
        <v>395</v>
      </c>
      <c r="B77" s="153" t="s">
        <v>170</v>
      </c>
      <c r="I77">
        <v>0.81452327821950032</v>
      </c>
    </row>
    <row r="78" spans="1:9" x14ac:dyDescent="0.2">
      <c r="A78" s="153" t="s">
        <v>396</v>
      </c>
      <c r="B78" s="153" t="s">
        <v>397</v>
      </c>
      <c r="I78">
        <v>1.0354415923079998</v>
      </c>
    </row>
    <row r="79" spans="1:9" x14ac:dyDescent="0.2">
      <c r="A79" s="153"/>
      <c r="B79" s="153"/>
      <c r="I79">
        <v>1.0191354254999996</v>
      </c>
    </row>
    <row r="80" spans="1:9" x14ac:dyDescent="0.2">
      <c r="A80" s="153"/>
      <c r="B80" s="153"/>
      <c r="I80">
        <v>1.0140650999999996</v>
      </c>
    </row>
    <row r="81" spans="1:9" x14ac:dyDescent="0.2">
      <c r="A81" s="153"/>
      <c r="B81" s="153"/>
      <c r="I81">
        <v>1.0100249999999997</v>
      </c>
    </row>
    <row r="82" spans="1:9" x14ac:dyDescent="0.2">
      <c r="A82" s="153"/>
      <c r="B82" s="153"/>
      <c r="I82">
        <v>1.0049999999999999</v>
      </c>
    </row>
    <row r="83" spans="1:9" x14ac:dyDescent="0.2">
      <c r="A83" s="153"/>
      <c r="B83" s="153"/>
      <c r="I83">
        <v>1</v>
      </c>
    </row>
    <row r="84" spans="1:9" x14ac:dyDescent="0.2">
      <c r="A84" s="153"/>
      <c r="B84" s="153"/>
      <c r="I84">
        <v>0.98814229249011853</v>
      </c>
    </row>
    <row r="85" spans="1:9" x14ac:dyDescent="0.2">
      <c r="A85" s="153"/>
      <c r="B85" s="153"/>
      <c r="I85">
        <v>0.96971765700698598</v>
      </c>
    </row>
    <row r="86" spans="1:9" x14ac:dyDescent="0.2">
      <c r="A86" s="153"/>
      <c r="B86" s="153"/>
      <c r="I86">
        <v>0.95727310662091425</v>
      </c>
    </row>
    <row r="87" spans="1:9" x14ac:dyDescent="0.2">
      <c r="A87" s="153"/>
      <c r="B87" s="153"/>
      <c r="I87">
        <v>0.9468576722264237</v>
      </c>
    </row>
    <row r="88" spans="1:9" x14ac:dyDescent="0.2">
      <c r="A88" s="153"/>
      <c r="B88" s="153"/>
      <c r="I88">
        <v>0.93563011089567549</v>
      </c>
    </row>
    <row r="89" spans="1:9" x14ac:dyDescent="0.2">
      <c r="A89" s="153"/>
      <c r="B89" s="153"/>
      <c r="I89">
        <v>0.89705667391723443</v>
      </c>
    </row>
    <row r="90" spans="1:9" x14ac:dyDescent="0.2">
      <c r="A90" s="153"/>
      <c r="B90" s="153"/>
      <c r="I90">
        <v>0.87517724284608245</v>
      </c>
    </row>
    <row r="91" spans="1:9" x14ac:dyDescent="0.2">
      <c r="A91" s="153"/>
      <c r="B91" s="153"/>
      <c r="I91">
        <v>0.84151657965969462</v>
      </c>
    </row>
    <row r="92" spans="1:9" x14ac:dyDescent="0.2">
      <c r="A92" s="153"/>
      <c r="B92" s="153"/>
      <c r="I92">
        <v>0.81859589461059779</v>
      </c>
    </row>
    <row r="93" spans="1:9" x14ac:dyDescent="0.2">
      <c r="A93" s="153"/>
      <c r="B93" s="153"/>
      <c r="I93">
        <v>1.0478668914156959</v>
      </c>
    </row>
    <row r="94" spans="1:9" x14ac:dyDescent="0.2">
      <c r="A94" s="153"/>
      <c r="B94" s="153"/>
      <c r="I94">
        <v>1.0313650506059995</v>
      </c>
    </row>
    <row r="95" spans="1:9" x14ac:dyDescent="0.2">
      <c r="A95" s="153"/>
      <c r="B95" s="153"/>
      <c r="I95">
        <v>1.0262338811999996</v>
      </c>
    </row>
    <row r="96" spans="1:9" x14ac:dyDescent="0.2">
      <c r="A96" s="153"/>
      <c r="B96" s="153"/>
      <c r="I96">
        <v>1.0221452999999998</v>
      </c>
    </row>
    <row r="97" spans="1:9" x14ac:dyDescent="0.2">
      <c r="A97" s="153"/>
      <c r="B97" s="153"/>
      <c r="I97">
        <v>1.0170599999999999</v>
      </c>
    </row>
    <row r="98" spans="1:9" x14ac:dyDescent="0.2">
      <c r="A98" s="153"/>
      <c r="B98" s="153"/>
      <c r="I98">
        <v>1.012</v>
      </c>
    </row>
    <row r="99" spans="1:9" x14ac:dyDescent="0.2">
      <c r="A99" s="153"/>
      <c r="B99" s="153"/>
      <c r="I99">
        <v>1</v>
      </c>
    </row>
    <row r="100" spans="1:9" x14ac:dyDescent="0.2">
      <c r="A100" s="153"/>
      <c r="B100" s="153"/>
      <c r="I100">
        <v>0.9813542688910698</v>
      </c>
    </row>
    <row r="101" spans="1:9" x14ac:dyDescent="0.2">
      <c r="I101">
        <v>0.96876038390036523</v>
      </c>
    </row>
    <row r="102" spans="1:9" x14ac:dyDescent="0.2">
      <c r="I102">
        <v>0.95821996429314071</v>
      </c>
    </row>
    <row r="103" spans="1:9" x14ac:dyDescent="0.2">
      <c r="I103">
        <v>0.9468576722264237</v>
      </c>
    </row>
    <row r="104" spans="1:9" x14ac:dyDescent="0.2">
      <c r="I104">
        <v>0.90782135400424135</v>
      </c>
    </row>
    <row r="105" spans="1:9" x14ac:dyDescent="0.2">
      <c r="I105">
        <v>0.88567936976023554</v>
      </c>
    </row>
    <row r="106" spans="1:9" x14ac:dyDescent="0.2">
      <c r="I106">
        <v>0.85161477861561108</v>
      </c>
    </row>
    <row r="107" spans="1:9" x14ac:dyDescent="0.2">
      <c r="I107">
        <v>0.82841904534592525</v>
      </c>
    </row>
    <row r="108" spans="1:9" x14ac:dyDescent="0.2">
      <c r="I108">
        <v>1.067776362352594</v>
      </c>
    </row>
    <row r="109" spans="1:9" x14ac:dyDescent="0.2">
      <c r="I109">
        <v>1.0509609865675134</v>
      </c>
    </row>
    <row r="110" spans="1:9" x14ac:dyDescent="0.2">
      <c r="I110">
        <v>1.0457323249427994</v>
      </c>
    </row>
    <row r="111" spans="1:9" x14ac:dyDescent="0.2">
      <c r="I111">
        <v>1.0415660606999997</v>
      </c>
    </row>
    <row r="112" spans="1:9" x14ac:dyDescent="0.2">
      <c r="I112">
        <v>1.0363841399999998</v>
      </c>
    </row>
    <row r="113" spans="9:9" x14ac:dyDescent="0.2">
      <c r="I113">
        <v>1.0312279999999998</v>
      </c>
    </row>
    <row r="114" spans="9:9" x14ac:dyDescent="0.2">
      <c r="I114">
        <v>1.0189999999999999</v>
      </c>
    </row>
    <row r="115" spans="9:9" x14ac:dyDescent="0.2">
      <c r="I115">
        <v>1</v>
      </c>
    </row>
    <row r="116" spans="9:9" x14ac:dyDescent="0.2">
      <c r="I116">
        <v>0.98716683119447202</v>
      </c>
    </row>
    <row r="117" spans="9:9" x14ac:dyDescent="0.2">
      <c r="I117">
        <v>0.97642614361471025</v>
      </c>
    </row>
    <row r="118" spans="9:9" x14ac:dyDescent="0.2">
      <c r="I118">
        <v>0.96484796799872563</v>
      </c>
    </row>
    <row r="119" spans="9:9" x14ac:dyDescent="0.2">
      <c r="I119">
        <v>0.9250699597303218</v>
      </c>
    </row>
    <row r="120" spans="9:9" x14ac:dyDescent="0.2">
      <c r="I120">
        <v>0.90250727778567996</v>
      </c>
    </row>
    <row r="121" spans="9:9" x14ac:dyDescent="0.2">
      <c r="I121">
        <v>0.86779545940930758</v>
      </c>
    </row>
    <row r="122" spans="9:9" x14ac:dyDescent="0.2">
      <c r="I122">
        <v>0.84415900720749759</v>
      </c>
    </row>
    <row r="123" spans="9:9" x14ac:dyDescent="0.2">
      <c r="I123">
        <v>1.0816574550631777</v>
      </c>
    </row>
    <row r="124" spans="9:9" x14ac:dyDescent="0.2">
      <c r="I124">
        <v>1.0646234793928908</v>
      </c>
    </row>
    <row r="125" spans="9:9" x14ac:dyDescent="0.2">
      <c r="I125">
        <v>1.0593268451670557</v>
      </c>
    </row>
    <row r="126" spans="9:9" x14ac:dyDescent="0.2">
      <c r="I126">
        <v>1.0551064194890996</v>
      </c>
    </row>
    <row r="127" spans="9:9" x14ac:dyDescent="0.2">
      <c r="I127">
        <v>1.0498571338199998</v>
      </c>
    </row>
    <row r="128" spans="9:9" x14ac:dyDescent="0.2">
      <c r="I128">
        <v>1.0446339639999997</v>
      </c>
    </row>
    <row r="129" spans="9:9" x14ac:dyDescent="0.2">
      <c r="I129">
        <v>1.0322469999999997</v>
      </c>
    </row>
    <row r="130" spans="9:9" x14ac:dyDescent="0.2">
      <c r="I130">
        <v>1.0129999999999999</v>
      </c>
    </row>
    <row r="131" spans="9:9" x14ac:dyDescent="0.2">
      <c r="I131">
        <v>1</v>
      </c>
    </row>
    <row r="132" spans="9:9" x14ac:dyDescent="0.2">
      <c r="I132">
        <v>0.98911968348170143</v>
      </c>
    </row>
    <row r="133" spans="9:9" x14ac:dyDescent="0.2">
      <c r="I133">
        <v>0.97739099158270881</v>
      </c>
    </row>
    <row r="134" spans="9:9" x14ac:dyDescent="0.2">
      <c r="I134">
        <v>0.93709586920681587</v>
      </c>
    </row>
    <row r="135" spans="9:9" x14ac:dyDescent="0.2">
      <c r="I135">
        <v>0.91423987239689375</v>
      </c>
    </row>
    <row r="136" spans="9:9" x14ac:dyDescent="0.2">
      <c r="I136">
        <v>0.87907680038162861</v>
      </c>
    </row>
    <row r="137" spans="9:9" x14ac:dyDescent="0.2">
      <c r="I137">
        <v>0.85513307430119512</v>
      </c>
    </row>
    <row r="138" spans="9:9" x14ac:dyDescent="0.2">
      <c r="I138">
        <v>1.0935556870688725</v>
      </c>
    </row>
    <row r="139" spans="9:9" x14ac:dyDescent="0.2">
      <c r="I139">
        <v>1.0763343376662124</v>
      </c>
    </row>
    <row r="140" spans="9:9" x14ac:dyDescent="0.2">
      <c r="I140">
        <v>1.0709794404638933</v>
      </c>
    </row>
    <row r="141" spans="9:9" x14ac:dyDescent="0.2">
      <c r="I141">
        <v>1.0667125901034795</v>
      </c>
    </row>
    <row r="142" spans="9:9" x14ac:dyDescent="0.2">
      <c r="I142">
        <v>1.0614055622920198</v>
      </c>
    </row>
    <row r="143" spans="9:9" x14ac:dyDescent="0.2">
      <c r="I143">
        <v>1.0561249376039996</v>
      </c>
    </row>
    <row r="144" spans="9:9" x14ac:dyDescent="0.2">
      <c r="I144">
        <v>1.0436017169999996</v>
      </c>
    </row>
    <row r="145" spans="9:9" x14ac:dyDescent="0.2">
      <c r="I145">
        <v>1.0241429999999998</v>
      </c>
    </row>
    <row r="146" spans="9:9" x14ac:dyDescent="0.2">
      <c r="I146">
        <v>1.0109999999999999</v>
      </c>
    </row>
    <row r="147" spans="9:9" x14ac:dyDescent="0.2">
      <c r="I147">
        <v>1</v>
      </c>
    </row>
    <row r="148" spans="9:9" x14ac:dyDescent="0.2">
      <c r="I148">
        <v>0.98814229249011853</v>
      </c>
    </row>
    <row r="149" spans="9:9" x14ac:dyDescent="0.2">
      <c r="I149">
        <v>0.94740392376809079</v>
      </c>
    </row>
    <row r="150" spans="9:9" x14ac:dyDescent="0.2">
      <c r="I150">
        <v>0.92429651099325949</v>
      </c>
    </row>
    <row r="151" spans="9:9" x14ac:dyDescent="0.2">
      <c r="I151">
        <v>0.88874664518582625</v>
      </c>
    </row>
    <row r="152" spans="9:9" x14ac:dyDescent="0.2">
      <c r="I152">
        <v>0.86453953811850803</v>
      </c>
    </row>
    <row r="153" spans="9:9" x14ac:dyDescent="0.2">
      <c r="I153">
        <v>1.106678355313699</v>
      </c>
    </row>
    <row r="154" spans="9:9" x14ac:dyDescent="0.2">
      <c r="I154">
        <v>1.0892503497182071</v>
      </c>
    </row>
    <row r="155" spans="9:9" x14ac:dyDescent="0.2">
      <c r="I155">
        <v>1.08383119374946</v>
      </c>
    </row>
    <row r="156" spans="9:9" x14ac:dyDescent="0.2">
      <c r="I156">
        <v>1.0795131411847212</v>
      </c>
    </row>
    <row r="157" spans="9:9" x14ac:dyDescent="0.2">
      <c r="I157">
        <v>1.0741424290395241</v>
      </c>
    </row>
    <row r="158" spans="9:9" x14ac:dyDescent="0.2">
      <c r="I158">
        <v>1.0687984368552477</v>
      </c>
    </row>
    <row r="159" spans="9:9" x14ac:dyDescent="0.2">
      <c r="I159">
        <v>1.0561249376039996</v>
      </c>
    </row>
    <row r="160" spans="9:9" x14ac:dyDescent="0.2">
      <c r="I160">
        <v>1.0364327159999998</v>
      </c>
    </row>
    <row r="161" spans="9:9" x14ac:dyDescent="0.2">
      <c r="I161">
        <v>1.0231319999999999</v>
      </c>
    </row>
    <row r="162" spans="9:9" x14ac:dyDescent="0.2">
      <c r="I162">
        <v>1.012</v>
      </c>
    </row>
    <row r="163" spans="9:9" x14ac:dyDescent="0.2">
      <c r="I163">
        <v>1</v>
      </c>
    </row>
    <row r="164" spans="9:9" x14ac:dyDescent="0.2">
      <c r="I164">
        <v>0.95877277085330781</v>
      </c>
    </row>
    <row r="165" spans="9:9" x14ac:dyDescent="0.2">
      <c r="I165">
        <v>0.93538806912517847</v>
      </c>
    </row>
    <row r="166" spans="9:9" x14ac:dyDescent="0.2">
      <c r="I166">
        <v>0.89941160492805616</v>
      </c>
    </row>
    <row r="167" spans="9:9" x14ac:dyDescent="0.2">
      <c r="I167">
        <v>0.87491401257593016</v>
      </c>
    </row>
    <row r="168" spans="9:9" x14ac:dyDescent="0.2">
      <c r="I168">
        <v>1.154265524592188</v>
      </c>
    </row>
    <row r="169" spans="9:9" x14ac:dyDescent="0.2">
      <c r="I169">
        <v>1.13608811475609</v>
      </c>
    </row>
    <row r="170" spans="9:9" x14ac:dyDescent="0.2">
      <c r="I170">
        <v>1.1304359350806867</v>
      </c>
    </row>
    <row r="171" spans="9:9" x14ac:dyDescent="0.2">
      <c r="I171">
        <v>1.125932206255664</v>
      </c>
    </row>
    <row r="172" spans="9:9" x14ac:dyDescent="0.2">
      <c r="I172">
        <v>1.1203305534882235</v>
      </c>
    </row>
    <row r="173" spans="9:9" x14ac:dyDescent="0.2">
      <c r="I173">
        <v>1.1147567696400233</v>
      </c>
    </row>
    <row r="174" spans="9:9" x14ac:dyDescent="0.2">
      <c r="I174">
        <v>1.1015383099209715</v>
      </c>
    </row>
    <row r="175" spans="9:9" x14ac:dyDescent="0.2">
      <c r="I175">
        <v>1.0809993227879997</v>
      </c>
    </row>
    <row r="176" spans="9:9" x14ac:dyDescent="0.2">
      <c r="I176">
        <v>1.0671266759999998</v>
      </c>
    </row>
    <row r="177" spans="9:9" x14ac:dyDescent="0.2">
      <c r="I177">
        <v>1.0555159999999999</v>
      </c>
    </row>
    <row r="178" spans="9:9" x14ac:dyDescent="0.2">
      <c r="I178">
        <v>1.0429999999999999</v>
      </c>
    </row>
    <row r="179" spans="9:9" x14ac:dyDescent="0.2">
      <c r="I179">
        <v>1</v>
      </c>
    </row>
    <row r="180" spans="9:9" x14ac:dyDescent="0.2">
      <c r="I180">
        <v>0.97560975609756106</v>
      </c>
    </row>
    <row r="181" spans="9:9" x14ac:dyDescent="0.2">
      <c r="I181">
        <v>0.93808630393996262</v>
      </c>
    </row>
    <row r="182" spans="9:9" x14ac:dyDescent="0.2">
      <c r="I182">
        <v>0.91253531511669506</v>
      </c>
    </row>
    <row r="183" spans="9:9" x14ac:dyDescent="0.2">
      <c r="I183">
        <v>1.1831221627069926</v>
      </c>
    </row>
    <row r="184" spans="9:9" x14ac:dyDescent="0.2">
      <c r="I184">
        <v>1.1644903176249921</v>
      </c>
    </row>
    <row r="185" spans="9:9" x14ac:dyDescent="0.2">
      <c r="I185">
        <v>1.1586968334577039</v>
      </c>
    </row>
    <row r="186" spans="9:9" x14ac:dyDescent="0.2">
      <c r="I186">
        <v>1.1540805114120556</v>
      </c>
    </row>
    <row r="187" spans="9:9" x14ac:dyDescent="0.2">
      <c r="I187">
        <v>1.148338817325429</v>
      </c>
    </row>
    <row r="188" spans="9:9" x14ac:dyDescent="0.2">
      <c r="I188">
        <v>1.1426256888810238</v>
      </c>
    </row>
    <row r="189" spans="9:9" x14ac:dyDescent="0.2">
      <c r="I189">
        <v>1.1290767676689957</v>
      </c>
    </row>
    <row r="190" spans="9:9" x14ac:dyDescent="0.2">
      <c r="I190">
        <v>1.1080243058576995</v>
      </c>
    </row>
    <row r="191" spans="9:9" x14ac:dyDescent="0.2">
      <c r="I191">
        <v>1.0938048428999996</v>
      </c>
    </row>
    <row r="192" spans="9:9" x14ac:dyDescent="0.2">
      <c r="I192">
        <v>1.0819038999999997</v>
      </c>
    </row>
    <row r="193" spans="9:9" x14ac:dyDescent="0.2">
      <c r="I193">
        <v>1.0690749999999998</v>
      </c>
    </row>
    <row r="194" spans="9:9" x14ac:dyDescent="0.2">
      <c r="I194">
        <v>1.0249999999999999</v>
      </c>
    </row>
    <row r="195" spans="9:9" x14ac:dyDescent="0.2">
      <c r="I195">
        <v>1</v>
      </c>
    </row>
    <row r="196" spans="9:9" x14ac:dyDescent="0.2">
      <c r="I196">
        <v>0.96153846153846145</v>
      </c>
    </row>
    <row r="197" spans="9:9" x14ac:dyDescent="0.2">
      <c r="I197">
        <v>0.93534869799461229</v>
      </c>
    </row>
    <row r="198" spans="9:9" x14ac:dyDescent="0.2">
      <c r="I198">
        <v>1.2304470492152724</v>
      </c>
    </row>
    <row r="199" spans="9:9" x14ac:dyDescent="0.2">
      <c r="I199">
        <v>1.2110699303299919</v>
      </c>
    </row>
    <row r="200" spans="9:9" x14ac:dyDescent="0.2">
      <c r="I200">
        <v>1.2050447067960122</v>
      </c>
    </row>
    <row r="201" spans="9:9" x14ac:dyDescent="0.2">
      <c r="I201">
        <v>1.2002437318685379</v>
      </c>
    </row>
    <row r="202" spans="9:9" x14ac:dyDescent="0.2">
      <c r="I202">
        <v>1.1942723700184461</v>
      </c>
    </row>
    <row r="203" spans="9:9" x14ac:dyDescent="0.2">
      <c r="I203">
        <v>1.1883307164362649</v>
      </c>
    </row>
    <row r="204" spans="9:9" x14ac:dyDescent="0.2">
      <c r="I204">
        <v>1.1742398383757555</v>
      </c>
    </row>
    <row r="205" spans="9:9" x14ac:dyDescent="0.2">
      <c r="I205">
        <v>1.1523452780920076</v>
      </c>
    </row>
    <row r="206" spans="9:9" x14ac:dyDescent="0.2">
      <c r="I206">
        <v>1.1375570366159995</v>
      </c>
    </row>
    <row r="207" spans="9:9" x14ac:dyDescent="0.2">
      <c r="I207">
        <v>1.1251800559999998</v>
      </c>
    </row>
    <row r="208" spans="9:9" x14ac:dyDescent="0.2">
      <c r="I208">
        <v>1.1118379999999999</v>
      </c>
    </row>
    <row r="209" spans="9:9" x14ac:dyDescent="0.2">
      <c r="I209">
        <v>1.0659999999999998</v>
      </c>
    </row>
    <row r="210" spans="9:9" x14ac:dyDescent="0.2">
      <c r="I210">
        <v>1.04</v>
      </c>
    </row>
    <row r="211" spans="9:9" x14ac:dyDescent="0.2">
      <c r="I211">
        <v>1</v>
      </c>
    </row>
    <row r="212" spans="9:9" x14ac:dyDescent="0.2">
      <c r="I212">
        <v>0.97276264591439687</v>
      </c>
    </row>
    <row r="213" spans="9:9" x14ac:dyDescent="0.2">
      <c r="I213">
        <v>1.2648995665933001</v>
      </c>
    </row>
    <row r="214" spans="9:9" x14ac:dyDescent="0.2">
      <c r="I214">
        <v>1.2449798883792318</v>
      </c>
    </row>
    <row r="215" spans="9:9" x14ac:dyDescent="0.2">
      <c r="I215">
        <v>1.2387859585863006</v>
      </c>
    </row>
    <row r="216" spans="9:9" x14ac:dyDescent="0.2">
      <c r="I216">
        <v>1.2338505563608571</v>
      </c>
    </row>
    <row r="217" spans="9:9" x14ac:dyDescent="0.2">
      <c r="I217">
        <v>1.2277119963789627</v>
      </c>
    </row>
    <row r="218" spans="9:9" x14ac:dyDescent="0.2">
      <c r="I218">
        <v>1.2216039764964803</v>
      </c>
    </row>
    <row r="219" spans="9:9" x14ac:dyDescent="0.2">
      <c r="I219">
        <v>1.2071185538502767</v>
      </c>
    </row>
    <row r="220" spans="9:9" x14ac:dyDescent="0.2">
      <c r="I220">
        <v>1.1846109458785838</v>
      </c>
    </row>
    <row r="221" spans="9:9" x14ac:dyDescent="0.2">
      <c r="I221">
        <v>1.1694086336412475</v>
      </c>
    </row>
    <row r="222" spans="9:9" x14ac:dyDescent="0.2">
      <c r="I222">
        <v>1.1566850975679999</v>
      </c>
    </row>
    <row r="223" spans="9:9" x14ac:dyDescent="0.2">
      <c r="I223">
        <v>1.1429694639999999</v>
      </c>
    </row>
    <row r="224" spans="9:9" x14ac:dyDescent="0.2">
      <c r="I224">
        <v>1.0958479999999999</v>
      </c>
    </row>
    <row r="225" spans="9:9" x14ac:dyDescent="0.2">
      <c r="I225">
        <v>1.0691200000000001</v>
      </c>
    </row>
    <row r="226" spans="9:9" x14ac:dyDescent="0.2">
      <c r="I226">
        <v>1.028</v>
      </c>
    </row>
    <row r="227" spans="9:9" x14ac:dyDescent="0.2">
      <c r="I227">
        <v>1</v>
      </c>
    </row>
  </sheetData>
  <customSheetViews>
    <customSheetView guid="{CC114306-4468-4F70-9DB6-D54D814D228F}" state="hidden">
      <selection activeCell="R9" sqref="R9"/>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workbookViewId="0">
      <selection activeCell="E5" sqref="E5"/>
    </sheetView>
  </sheetViews>
  <sheetFormatPr defaultColWidth="9.140625" defaultRowHeight="12" x14ac:dyDescent="0.2"/>
  <cols>
    <col min="1" max="1" width="4.85546875" style="180" customWidth="1"/>
    <col min="2" max="2" width="1.42578125" style="180" customWidth="1"/>
    <col min="3" max="3" width="24.140625" style="180" customWidth="1"/>
    <col min="4" max="4" width="78" style="180" customWidth="1"/>
    <col min="5" max="5" width="11.42578125" style="180" customWidth="1"/>
    <col min="6" max="16384" width="9.140625" style="180"/>
  </cols>
  <sheetData>
    <row r="1" spans="1:24" ht="49.5" customHeight="1" x14ac:dyDescent="0.2">
      <c r="A1" s="179"/>
      <c r="B1" s="179"/>
      <c r="C1" s="179"/>
      <c r="D1" s="179"/>
      <c r="E1" s="179"/>
      <c r="F1" s="179"/>
      <c r="G1" s="179"/>
      <c r="H1" s="179"/>
      <c r="I1" s="179"/>
      <c r="J1" s="179"/>
      <c r="K1" s="179"/>
      <c r="L1" s="179"/>
      <c r="M1" s="179"/>
      <c r="N1" s="179"/>
      <c r="O1" s="179"/>
      <c r="P1" s="179"/>
      <c r="Q1" s="179"/>
      <c r="R1" s="179"/>
      <c r="S1" s="179"/>
      <c r="T1" s="179"/>
      <c r="U1" s="179"/>
      <c r="V1" s="179"/>
      <c r="W1" s="179"/>
      <c r="X1" s="179"/>
    </row>
    <row r="3" spans="1:24" ht="28.5" x14ac:dyDescent="0.2">
      <c r="C3" s="181" t="s">
        <v>454</v>
      </c>
    </row>
    <row r="4" spans="1:24" ht="15.75" x14ac:dyDescent="0.2">
      <c r="C4" s="182" t="s">
        <v>414</v>
      </c>
      <c r="D4" s="183" t="s">
        <v>415</v>
      </c>
      <c r="E4" s="183" t="s">
        <v>416</v>
      </c>
    </row>
    <row r="5" spans="1:24" ht="12.75" x14ac:dyDescent="0.2">
      <c r="C5" s="256">
        <v>45469.122916666667</v>
      </c>
      <c r="D5" s="184" t="s">
        <v>480</v>
      </c>
      <c r="E5" s="184" t="s">
        <v>417</v>
      </c>
    </row>
    <row r="6" spans="1:24" ht="25.5" x14ac:dyDescent="0.2">
      <c r="C6" s="184">
        <v>45454</v>
      </c>
      <c r="D6" s="185" t="s">
        <v>478</v>
      </c>
      <c r="E6" s="186" t="s">
        <v>417</v>
      </c>
    </row>
    <row r="7" spans="1:24" ht="38.25" x14ac:dyDescent="0.2">
      <c r="C7" s="184">
        <v>45412</v>
      </c>
      <c r="D7" s="185" t="s">
        <v>476</v>
      </c>
      <c r="E7" s="186" t="s">
        <v>417</v>
      </c>
    </row>
    <row r="8" spans="1:24" ht="63.75" x14ac:dyDescent="0.2">
      <c r="C8" s="184" t="s">
        <v>471</v>
      </c>
      <c r="D8" s="185" t="s">
        <v>472</v>
      </c>
      <c r="E8" s="186" t="s">
        <v>417</v>
      </c>
    </row>
    <row r="9" spans="1:24" ht="38.25" x14ac:dyDescent="0.2">
      <c r="C9" s="184" t="s">
        <v>468</v>
      </c>
      <c r="D9" s="185" t="s">
        <v>469</v>
      </c>
      <c r="E9" s="186" t="s">
        <v>417</v>
      </c>
    </row>
    <row r="10" spans="1:24" ht="25.5" x14ac:dyDescent="0.2">
      <c r="C10" s="184" t="s">
        <v>466</v>
      </c>
      <c r="D10" s="185" t="s">
        <v>467</v>
      </c>
      <c r="E10" s="186" t="s">
        <v>417</v>
      </c>
    </row>
    <row r="11" spans="1:24" ht="25.5" x14ac:dyDescent="0.2">
      <c r="C11" s="184" t="s">
        <v>455</v>
      </c>
      <c r="D11" s="185" t="s">
        <v>456</v>
      </c>
      <c r="E11" s="186" t="s">
        <v>417</v>
      </c>
    </row>
    <row r="12" spans="1:24" ht="12.75" x14ac:dyDescent="0.2">
      <c r="C12" s="184" t="s">
        <v>451</v>
      </c>
      <c r="D12" s="185" t="s">
        <v>452</v>
      </c>
      <c r="E12" s="186" t="s">
        <v>453</v>
      </c>
    </row>
    <row r="13" spans="1:24" ht="12.75" x14ac:dyDescent="0.2">
      <c r="C13" s="184" t="s">
        <v>419</v>
      </c>
      <c r="D13" s="185" t="s">
        <v>418</v>
      </c>
      <c r="E13" s="186" t="s">
        <v>417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CM4FP_1">
    <tabColor rgb="FF000000"/>
    <pageSetUpPr autoPageBreaks="0" fitToPage="1"/>
  </sheetPr>
  <dimension ref="A1:T75"/>
  <sheetViews>
    <sheetView topLeftCell="I7" zoomScaleNormal="100" workbookViewId="0">
      <selection activeCell="N98" sqref="N98"/>
    </sheetView>
  </sheetViews>
  <sheetFormatPr defaultColWidth="9.28515625" defaultRowHeight="13.5" customHeight="1" x14ac:dyDescent="0.2"/>
  <cols>
    <col min="1" max="3" width="2.42578125" style="12" hidden="1" customWidth="1"/>
    <col min="4" max="4" width="50.42578125" style="12" hidden="1" customWidth="1"/>
    <col min="5" max="6" width="5.42578125" style="12" hidden="1" customWidth="1"/>
    <col min="7" max="7" width="2.85546875" style="12" hidden="1" customWidth="1"/>
    <col min="8" max="8" width="18.5703125" style="12" hidden="1" customWidth="1"/>
    <col min="9" max="10" width="2.85546875" style="12" customWidth="1"/>
    <col min="11" max="11" width="18.85546875" style="12" customWidth="1"/>
    <col min="12" max="12" width="74.5703125" style="12" customWidth="1"/>
    <col min="13" max="13" width="19" style="12" customWidth="1"/>
    <col min="14" max="14" width="19.5703125" style="12" customWidth="1"/>
    <col min="15" max="15" width="4.7109375" style="12" customWidth="1"/>
    <col min="16" max="16" width="3.7109375" style="12" customWidth="1"/>
    <col min="17" max="17" width="5.7109375" style="12" customWidth="1"/>
    <col min="18" max="18" width="53.28515625" style="12" customWidth="1"/>
    <col min="19" max="16384" width="9.28515625" style="12"/>
  </cols>
  <sheetData>
    <row r="1" spans="1:20" s="6" customFormat="1" ht="13.5" hidden="1" customHeight="1" x14ac:dyDescent="0.2">
      <c r="A1" s="5" t="s">
        <v>0</v>
      </c>
      <c r="B1" s="5" t="s">
        <v>1</v>
      </c>
      <c r="C1" s="5" t="s">
        <v>2</v>
      </c>
      <c r="D1" s="5" t="s">
        <v>3</v>
      </c>
      <c r="E1" s="5" t="s">
        <v>4</v>
      </c>
      <c r="F1" s="5" t="s">
        <v>5</v>
      </c>
      <c r="G1" s="5" t="s">
        <v>6</v>
      </c>
      <c r="H1" s="5" t="s">
        <v>12</v>
      </c>
      <c r="I1" s="5" t="s">
        <v>13</v>
      </c>
      <c r="J1" s="5" t="s">
        <v>14</v>
      </c>
      <c r="K1" s="5" t="s">
        <v>15</v>
      </c>
      <c r="L1" s="5" t="s">
        <v>16</v>
      </c>
      <c r="M1" s="5"/>
      <c r="N1" s="5"/>
      <c r="O1" s="5" t="s">
        <v>96</v>
      </c>
      <c r="P1" s="5" t="s">
        <v>97</v>
      </c>
      <c r="Q1" s="5" t="s">
        <v>98</v>
      </c>
    </row>
    <row r="2" spans="1:20" s="6" customFormat="1" ht="20.25" hidden="1" x14ac:dyDescent="0.2">
      <c r="A2" s="7"/>
      <c r="B2" s="7">
        <v>5</v>
      </c>
      <c r="C2" s="7">
        <v>19</v>
      </c>
      <c r="D2" s="7" t="s">
        <v>7</v>
      </c>
      <c r="E2" s="7"/>
      <c r="F2" s="7"/>
      <c r="G2" s="8"/>
      <c r="H2" s="14"/>
      <c r="I2" s="14"/>
      <c r="J2" s="14"/>
      <c r="K2" s="14"/>
      <c r="L2" s="14"/>
      <c r="M2" s="14"/>
      <c r="N2" s="14"/>
      <c r="O2" s="14"/>
      <c r="P2" s="14"/>
      <c r="Q2" s="8"/>
    </row>
    <row r="3" spans="1:20" s="6" customFormat="1" ht="12" hidden="1" x14ac:dyDescent="0.2">
      <c r="B3" s="6">
        <v>5</v>
      </c>
      <c r="C3" s="6">
        <v>19</v>
      </c>
      <c r="D3" s="6" t="s">
        <v>8</v>
      </c>
      <c r="E3" s="10" t="s">
        <v>148</v>
      </c>
      <c r="F3" s="10" t="s">
        <v>148</v>
      </c>
      <c r="G3" s="11" t="s">
        <v>149</v>
      </c>
      <c r="H3" s="11" t="s">
        <v>149</v>
      </c>
      <c r="I3" s="11" t="s">
        <v>149</v>
      </c>
      <c r="J3" s="11" t="s">
        <v>149</v>
      </c>
      <c r="K3" s="11" t="s">
        <v>149</v>
      </c>
      <c r="L3" s="11" t="s">
        <v>149</v>
      </c>
      <c r="M3" s="11"/>
      <c r="N3" s="11"/>
      <c r="O3" s="11" t="s">
        <v>149</v>
      </c>
      <c r="P3" s="11" t="s">
        <v>149</v>
      </c>
      <c r="Q3" s="11" t="s">
        <v>149</v>
      </c>
    </row>
    <row r="4" spans="1:20" s="6" customFormat="1" ht="12" hidden="1" x14ac:dyDescent="0.2">
      <c r="B4" s="6">
        <v>5</v>
      </c>
      <c r="C4" s="6">
        <v>19</v>
      </c>
      <c r="D4" s="6" t="s">
        <v>9</v>
      </c>
      <c r="E4" s="15">
        <v>1</v>
      </c>
      <c r="F4" s="15">
        <v>2</v>
      </c>
      <c r="G4" s="16">
        <v>-1</v>
      </c>
      <c r="H4" s="16">
        <v>0</v>
      </c>
      <c r="I4" s="16">
        <v>1</v>
      </c>
      <c r="J4" s="16">
        <v>2</v>
      </c>
      <c r="K4" s="16">
        <v>3</v>
      </c>
      <c r="L4" s="16">
        <v>4</v>
      </c>
      <c r="M4" s="16"/>
      <c r="N4" s="16"/>
      <c r="O4" s="16">
        <v>9</v>
      </c>
      <c r="P4" s="16">
        <v>10</v>
      </c>
      <c r="Q4" s="16">
        <v>11</v>
      </c>
    </row>
    <row r="5" spans="1:20" ht="13.5" hidden="1" customHeight="1" x14ac:dyDescent="0.2"/>
    <row r="6" spans="1:20" ht="13.5" hidden="1" customHeight="1" x14ac:dyDescent="0.2">
      <c r="A6" s="49" t="s">
        <v>292</v>
      </c>
      <c r="B6" s="12">
        <v>5</v>
      </c>
      <c r="C6" s="12">
        <v>19</v>
      </c>
      <c r="D6" s="3" t="s">
        <v>10</v>
      </c>
    </row>
    <row r="7" spans="1:20" ht="66.75" customHeight="1" x14ac:dyDescent="0.2">
      <c r="A7" s="3" t="s">
        <v>51</v>
      </c>
      <c r="B7" s="12">
        <v>5</v>
      </c>
      <c r="C7" s="12">
        <v>19</v>
      </c>
      <c r="D7" s="49" t="s">
        <v>127</v>
      </c>
      <c r="J7" s="75" t="str">
        <f>INDEX(g_lang_val,MATCH("so_1",g_lang_key,0))&amp; " (" &amp; INDEX(g_lang_val,MATCH("version",g_lang_key,0)) &amp;")"</f>
        <v>Statens business case-model (5.0.0)</v>
      </c>
    </row>
    <row r="8" spans="1:20" ht="23.25" customHeight="1" x14ac:dyDescent="0.2">
      <c r="J8" s="58" t="str">
        <f>INDEX(g_lang_val,MATCH("so_1_1",g_lang_key,0))</f>
        <v>Sådan skal du gøre</v>
      </c>
      <c r="P8" s="60"/>
      <c r="Q8" s="155" t="str">
        <f>INDEX(g_lang_val,MATCH("so_1_2",g_lang_key,0))</f>
        <v>(</v>
      </c>
      <c r="R8" s="156" t="str">
        <f>INDEX(g_lang_val,MATCH("so_1_3",g_lang_key,0))</f>
        <v>23 11 75 84</v>
      </c>
    </row>
    <row r="9" spans="1:20" ht="50.25" customHeight="1" x14ac:dyDescent="0.2">
      <c r="A9" s="3" t="s">
        <v>52</v>
      </c>
      <c r="B9" s="12">
        <v>5</v>
      </c>
      <c r="C9" s="12">
        <v>19</v>
      </c>
      <c r="D9" s="49" t="s">
        <v>293</v>
      </c>
      <c r="J9" s="235" t="str">
        <f>INDEX(g_lang_val,MATCH("so_1_1_1",g_lang_key,0))</f>
        <v>På forsiden indtaster du stamdata for projektet. De navne, startdatoer, anlæg og afskrivningsperioder, som du skriver på forsiden, overføres til skemaerne på de næste faner.</v>
      </c>
      <c r="K9" s="235"/>
      <c r="L9" s="235"/>
      <c r="M9" s="235"/>
      <c r="N9" s="235"/>
      <c r="O9" s="235"/>
      <c r="Q9" s="235" t="str">
        <f>INDEX(g_lang_val,MATCH("so_1_1_2",g_lang_key,0))</f>
        <v>Har du spørgsmål til brugen af modellen, kan du kontakte Kontor for it-styring i Økonomistyrelsen.</v>
      </c>
      <c r="R9" s="235"/>
      <c r="S9" s="59"/>
      <c r="T9" s="59"/>
    </row>
    <row r="10" spans="1:20" ht="3" customHeight="1" x14ac:dyDescent="0.2">
      <c r="Q10" s="235" t="str">
        <f>INDEX(g_lang_val,MATCH("so_2_1",g_lang_key,0))</f>
        <v>Husk at orientere dig i "Vejledning til Statens it-projektmodel", inden du går i gang med at bruge modellen. Du finder vejledningen på Økonomistyrelsens hjemmeside www.oes.dk.</v>
      </c>
      <c r="R10" s="235"/>
      <c r="S10" s="59"/>
    </row>
    <row r="11" spans="1:20" ht="3" customHeight="1" x14ac:dyDescent="0.2">
      <c r="Q11" s="235"/>
      <c r="R11" s="235"/>
      <c r="S11" s="59"/>
    </row>
    <row r="12" spans="1:20" ht="3" customHeight="1" x14ac:dyDescent="0.2">
      <c r="Q12" s="235"/>
      <c r="R12" s="235"/>
      <c r="S12" s="59"/>
    </row>
    <row r="13" spans="1:20" ht="3" customHeight="1" thickBot="1" x14ac:dyDescent="0.25">
      <c r="Q13" s="235"/>
      <c r="R13" s="235"/>
      <c r="S13" s="59"/>
    </row>
    <row r="14" spans="1:20" ht="42" customHeight="1" thickTop="1" x14ac:dyDescent="0.2">
      <c r="A14" s="3" t="s">
        <v>53</v>
      </c>
      <c r="B14" s="12">
        <v>5</v>
      </c>
      <c r="C14" s="12">
        <v>19</v>
      </c>
      <c r="D14" s="49" t="s">
        <v>294</v>
      </c>
      <c r="J14" s="76"/>
      <c r="K14" s="77" t="str">
        <f>INDEX(g_lang_val,MATCH("so_2",g_lang_key,0))</f>
        <v>Om projektet</v>
      </c>
      <c r="L14" s="78"/>
      <c r="M14" s="78"/>
      <c r="N14" s="78"/>
      <c r="O14" s="79"/>
      <c r="Q14" s="235"/>
      <c r="R14" s="235"/>
      <c r="S14" s="59"/>
    </row>
    <row r="15" spans="1:20" ht="0.2" customHeight="1" x14ac:dyDescent="0.2">
      <c r="J15" s="17"/>
      <c r="K15" s="18"/>
      <c r="L15" s="18"/>
      <c r="M15" s="18"/>
      <c r="N15" s="18"/>
      <c r="O15" s="19"/>
    </row>
    <row r="16" spans="1:20" ht="36.75" customHeight="1" x14ac:dyDescent="0.2">
      <c r="A16" s="3" t="s">
        <v>54</v>
      </c>
      <c r="B16" s="12">
        <v>5</v>
      </c>
      <c r="C16" s="12">
        <v>19</v>
      </c>
      <c r="D16" s="49" t="s">
        <v>295</v>
      </c>
      <c r="J16" s="17"/>
      <c r="K16" s="80" t="str">
        <f>INDEX(g_lang_val,MATCH("so_2_1_1",g_lang_key,0))</f>
        <v>Stamoplysninger</v>
      </c>
      <c r="L16" s="20"/>
      <c r="M16" s="20"/>
      <c r="N16" s="20"/>
      <c r="O16" s="19"/>
    </row>
    <row r="17" spans="1:15" ht="3" customHeight="1" x14ac:dyDescent="0.2">
      <c r="J17" s="17"/>
      <c r="K17" s="18"/>
      <c r="L17" s="18"/>
      <c r="M17" s="18"/>
      <c r="N17" s="18"/>
      <c r="O17" s="19"/>
    </row>
    <row r="18" spans="1:15" ht="24" customHeight="1" x14ac:dyDescent="0.2">
      <c r="A18" s="3" t="s">
        <v>55</v>
      </c>
      <c r="B18" s="12">
        <v>5</v>
      </c>
      <c r="C18" s="12">
        <v>19</v>
      </c>
      <c r="D18" s="49" t="s">
        <v>296</v>
      </c>
      <c r="J18" s="17"/>
      <c r="K18" s="34" t="str">
        <f>INDEX(g_lang_val,MATCH("so_2_1_1_1",g_lang_key,0))</f>
        <v>Projektnavn</v>
      </c>
      <c r="L18" s="233"/>
      <c r="M18" s="233"/>
      <c r="N18" s="233"/>
      <c r="O18" s="19"/>
    </row>
    <row r="19" spans="1:15" ht="3" customHeight="1" x14ac:dyDescent="0.2">
      <c r="J19" s="17"/>
      <c r="K19" s="34"/>
      <c r="L19" s="70"/>
      <c r="M19" s="70"/>
      <c r="N19" s="70"/>
      <c r="O19" s="19"/>
    </row>
    <row r="20" spans="1:15" ht="24" customHeight="1" x14ac:dyDescent="0.2">
      <c r="A20" s="3" t="s">
        <v>56</v>
      </c>
      <c r="B20" s="12">
        <v>5</v>
      </c>
      <c r="C20" s="12">
        <v>19</v>
      </c>
      <c r="D20" s="49" t="s">
        <v>297</v>
      </c>
      <c r="J20" s="17"/>
      <c r="K20" s="34" t="str">
        <f>INDEX(g_lang_val,MATCH("so_2_1_1_2",g_lang_key,0))</f>
        <v>Styregruppeformand</v>
      </c>
      <c r="L20" s="233"/>
      <c r="M20" s="233"/>
      <c r="N20" s="233"/>
      <c r="O20" s="19"/>
    </row>
    <row r="21" spans="1:15" ht="3" customHeight="1" x14ac:dyDescent="0.2">
      <c r="J21" s="17"/>
      <c r="K21" s="34"/>
      <c r="L21" s="70"/>
      <c r="M21" s="70"/>
      <c r="N21" s="70"/>
      <c r="O21" s="19"/>
    </row>
    <row r="22" spans="1:15" ht="24" customHeight="1" x14ac:dyDescent="0.2">
      <c r="A22" s="3" t="s">
        <v>57</v>
      </c>
      <c r="B22" s="12">
        <v>5</v>
      </c>
      <c r="C22" s="12">
        <v>19</v>
      </c>
      <c r="D22" s="49" t="s">
        <v>298</v>
      </c>
      <c r="H22" s="33"/>
      <c r="J22" s="17"/>
      <c r="K22" s="34" t="str">
        <f>INDEX(g_lang_val,MATCH("so_2_1_1_3",g_lang_key,0))</f>
        <v>Projektleder</v>
      </c>
      <c r="L22" s="233"/>
      <c r="M22" s="233"/>
      <c r="N22" s="233"/>
      <c r="O22" s="19"/>
    </row>
    <row r="23" spans="1:15" ht="3" customHeight="1" x14ac:dyDescent="0.2">
      <c r="J23" s="17"/>
      <c r="K23" s="18"/>
      <c r="L23" s="34"/>
      <c r="M23" s="34"/>
      <c r="N23" s="34"/>
      <c r="O23" s="19"/>
    </row>
    <row r="24" spans="1:15" ht="3" customHeight="1" x14ac:dyDescent="0.2">
      <c r="J24" s="17"/>
      <c r="K24" s="34"/>
      <c r="L24" s="71"/>
      <c r="M24" s="71"/>
      <c r="N24" s="71"/>
      <c r="O24" s="19"/>
    </row>
    <row r="25" spans="1:15" ht="3" customHeight="1" x14ac:dyDescent="0.2">
      <c r="A25" s="49" t="s">
        <v>273</v>
      </c>
      <c r="B25" s="12">
        <v>5</v>
      </c>
      <c r="C25" s="12">
        <v>19</v>
      </c>
      <c r="D25" s="49" t="s">
        <v>278</v>
      </c>
      <c r="J25" s="17"/>
      <c r="K25" s="69"/>
      <c r="L25" s="72"/>
      <c r="M25" s="72"/>
      <c r="N25" s="72"/>
      <c r="O25" s="19"/>
    </row>
    <row r="26" spans="1:15" ht="3" customHeight="1" x14ac:dyDescent="0.2">
      <c r="J26" s="17"/>
      <c r="K26" s="34"/>
      <c r="L26" s="71"/>
      <c r="M26" s="71"/>
      <c r="N26" s="71"/>
      <c r="O26" s="19"/>
    </row>
    <row r="27" spans="1:15" ht="36.75" customHeight="1" x14ac:dyDescent="0.2">
      <c r="A27" s="49" t="s">
        <v>270</v>
      </c>
      <c r="B27" s="12">
        <v>5</v>
      </c>
      <c r="C27" s="12">
        <v>19</v>
      </c>
      <c r="D27" s="49" t="s">
        <v>279</v>
      </c>
      <c r="J27" s="17"/>
      <c r="K27" s="80" t="str">
        <f>INDEX(g_lang_val,MATCH("so_2_1_2",g_lang_key,0))</f>
        <v>Analysefase</v>
      </c>
      <c r="L27" s="68"/>
      <c r="M27" s="34"/>
      <c r="N27" s="34"/>
      <c r="O27" s="19"/>
    </row>
    <row r="28" spans="1:15" ht="3" customHeight="1" x14ac:dyDescent="0.2">
      <c r="J28" s="17"/>
      <c r="K28" s="18"/>
      <c r="L28" s="34"/>
      <c r="M28" s="34"/>
      <c r="N28" s="34"/>
      <c r="O28" s="19"/>
    </row>
    <row r="29" spans="1:15" ht="24" customHeight="1" x14ac:dyDescent="0.2">
      <c r="A29" s="49" t="s">
        <v>271</v>
      </c>
      <c r="B29" s="12">
        <v>5</v>
      </c>
      <c r="C29" s="12">
        <v>19</v>
      </c>
      <c r="D29" s="49" t="s">
        <v>280</v>
      </c>
      <c r="J29" s="17"/>
      <c r="K29" s="34" t="str">
        <f>INDEX(g_lang_val,MATCH("so_2_1_2_1",g_lang_key,0))</f>
        <v>Startdato</v>
      </c>
      <c r="L29" s="232"/>
      <c r="M29" s="232"/>
      <c r="N29" s="232"/>
      <c r="O29" s="19"/>
    </row>
    <row r="30" spans="1:15" ht="3" customHeight="1" x14ac:dyDescent="0.2">
      <c r="J30" s="17"/>
      <c r="K30" s="34"/>
      <c r="L30" s="34"/>
      <c r="M30" s="34"/>
      <c r="N30" s="34"/>
      <c r="O30" s="19"/>
    </row>
    <row r="31" spans="1:15" ht="3" customHeight="1" x14ac:dyDescent="0.2">
      <c r="J31" s="17"/>
      <c r="K31" s="34"/>
      <c r="L31" s="71"/>
      <c r="M31" s="71"/>
      <c r="N31" s="71"/>
      <c r="O31" s="19"/>
    </row>
    <row r="32" spans="1:15" ht="3" customHeight="1" x14ac:dyDescent="0.2">
      <c r="A32" s="49" t="s">
        <v>273</v>
      </c>
      <c r="B32" s="12">
        <v>5</v>
      </c>
      <c r="C32" s="12">
        <v>19</v>
      </c>
      <c r="D32" s="49" t="s">
        <v>278</v>
      </c>
      <c r="J32" s="17"/>
      <c r="K32" s="69"/>
      <c r="L32" s="72"/>
      <c r="M32" s="72"/>
      <c r="N32" s="72"/>
      <c r="O32" s="19"/>
    </row>
    <row r="33" spans="1:15" ht="3" customHeight="1" x14ac:dyDescent="0.2">
      <c r="J33" s="17"/>
      <c r="K33" s="34"/>
      <c r="L33" s="71"/>
      <c r="M33" s="71"/>
      <c r="N33" s="71"/>
      <c r="O33" s="19"/>
    </row>
    <row r="34" spans="1:15" ht="36.75" customHeight="1" x14ac:dyDescent="0.2">
      <c r="A34" s="49" t="s">
        <v>270</v>
      </c>
      <c r="B34" s="12">
        <v>5</v>
      </c>
      <c r="C34" s="12">
        <v>19</v>
      </c>
      <c r="D34" s="49" t="s">
        <v>281</v>
      </c>
      <c r="J34" s="17"/>
      <c r="K34" s="80" t="str">
        <f>INDEX(g_lang_val,MATCH("so_2_1_3",g_lang_key,0))</f>
        <v>Gennemførelsesfase</v>
      </c>
      <c r="L34" s="68"/>
      <c r="M34" s="34"/>
      <c r="N34" s="34"/>
      <c r="O34" s="19"/>
    </row>
    <row r="35" spans="1:15" ht="3" customHeight="1" x14ac:dyDescent="0.2">
      <c r="J35" s="17"/>
      <c r="K35" s="18"/>
      <c r="L35" s="34"/>
      <c r="M35" s="34"/>
      <c r="N35" s="34"/>
      <c r="O35" s="19"/>
    </row>
    <row r="36" spans="1:15" ht="24" customHeight="1" x14ac:dyDescent="0.2">
      <c r="A36" s="49" t="s">
        <v>271</v>
      </c>
      <c r="B36" s="12">
        <v>5</v>
      </c>
      <c r="C36" s="12">
        <v>19</v>
      </c>
      <c r="D36" s="49" t="s">
        <v>282</v>
      </c>
      <c r="J36" s="17"/>
      <c r="K36" s="34" t="str">
        <f>INDEX(g_lang_val,MATCH("so_2_1_3_1",g_lang_key,0))</f>
        <v>Startdato</v>
      </c>
      <c r="L36" s="232"/>
      <c r="M36" s="232"/>
      <c r="N36" s="232"/>
      <c r="O36" s="19"/>
    </row>
    <row r="37" spans="1:15" ht="3" customHeight="1" x14ac:dyDescent="0.2">
      <c r="J37" s="17"/>
      <c r="K37" s="34"/>
      <c r="L37" s="34"/>
      <c r="M37" s="34"/>
      <c r="N37" s="34"/>
      <c r="O37" s="19"/>
    </row>
    <row r="38" spans="1:15" ht="24" customHeight="1" x14ac:dyDescent="0.2">
      <c r="A38" s="49" t="s">
        <v>274</v>
      </c>
      <c r="B38" s="12">
        <v>5</v>
      </c>
      <c r="C38" s="12">
        <v>19</v>
      </c>
      <c r="D38" s="49" t="s">
        <v>283</v>
      </c>
      <c r="J38" s="17"/>
      <c r="K38" s="34" t="str">
        <f>INDEX(g_lang_val,MATCH("so_2_1_3_2",g_lang_key,0))</f>
        <v>Slutdato</v>
      </c>
      <c r="L38" s="232"/>
      <c r="M38" s="232"/>
      <c r="N38" s="232"/>
      <c r="O38" s="19"/>
    </row>
    <row r="39" spans="1:15" ht="13.5" customHeight="1" x14ac:dyDescent="0.2">
      <c r="A39" s="49" t="s">
        <v>70</v>
      </c>
      <c r="B39" s="12">
        <v>5</v>
      </c>
      <c r="C39" s="12">
        <v>19</v>
      </c>
      <c r="D39" s="49" t="s">
        <v>299</v>
      </c>
      <c r="J39" s="17"/>
      <c r="K39" s="18"/>
      <c r="L39" s="18"/>
      <c r="M39" s="18"/>
      <c r="N39" s="18"/>
      <c r="O39" s="19"/>
    </row>
    <row r="40" spans="1:15" ht="3" customHeight="1" x14ac:dyDescent="0.2">
      <c r="J40" s="17"/>
      <c r="K40" s="18"/>
      <c r="L40" s="18"/>
      <c r="M40" s="18"/>
      <c r="N40" s="18"/>
      <c r="O40" s="19"/>
    </row>
    <row r="41" spans="1:15" ht="15.95" customHeight="1" thickBot="1" x14ac:dyDescent="0.25">
      <c r="A41" s="49" t="s">
        <v>71</v>
      </c>
      <c r="B41" s="12">
        <v>5</v>
      </c>
      <c r="C41" s="12">
        <v>19</v>
      </c>
      <c r="D41" s="49" t="s">
        <v>300</v>
      </c>
      <c r="J41" s="21"/>
      <c r="K41" s="21"/>
      <c r="L41" s="21"/>
      <c r="M41" s="21"/>
      <c r="N41" s="21"/>
      <c r="O41" s="21"/>
    </row>
    <row r="42" spans="1:15" ht="42" customHeight="1" thickTop="1" x14ac:dyDescent="0.2">
      <c r="A42" s="49" t="s">
        <v>58</v>
      </c>
      <c r="B42" s="12">
        <v>5</v>
      </c>
      <c r="C42" s="12">
        <v>19</v>
      </c>
      <c r="D42" s="49" t="s">
        <v>284</v>
      </c>
      <c r="J42" s="76"/>
      <c r="K42" s="77" t="str">
        <f>INDEX(g_lang_val,MATCH("so_3",g_lang_key,0))</f>
        <v>Anlæg</v>
      </c>
      <c r="L42" s="78"/>
      <c r="M42" s="78"/>
      <c r="N42" s="78"/>
      <c r="O42" s="79"/>
    </row>
    <row r="43" spans="1:15" ht="3" customHeight="1" x14ac:dyDescent="0.2">
      <c r="J43" s="17"/>
      <c r="K43" s="18"/>
      <c r="L43" s="18"/>
      <c r="M43" s="18"/>
      <c r="N43" s="18"/>
      <c r="O43" s="19"/>
    </row>
    <row r="44" spans="1:15" ht="65.099999999999994" customHeight="1" x14ac:dyDescent="0.2">
      <c r="A44" s="3" t="s">
        <v>59</v>
      </c>
      <c r="B44" s="12">
        <v>5</v>
      </c>
      <c r="C44" s="12">
        <v>19</v>
      </c>
      <c r="D44" s="49" t="s">
        <v>285</v>
      </c>
      <c r="J44" s="17"/>
      <c r="K44" s="236" t="str">
        <f>INDEX(g_lang_val,MATCH("so_3_1",g_lang_key,0))</f>
        <v>Angiv hvorvidt der i projektet bliver bygget et anlæg/aktiv. Du SKAL tage stilling til, hvorvidt projektet indeholder et anlæg, før du kan bruge business case-modellen.
It-systemer er ofte regnskabsført som immaterielle anlægsaktiver, og hvis der et anlæg i projektet, skal du angive dato for ibrugtagning og længden på afskrivningsperioden. Afskrivningsperioden er i business case-modellen også gevinstrealiseringsperioden for projektet.</v>
      </c>
      <c r="L44" s="237"/>
      <c r="M44" s="237"/>
      <c r="N44" s="237"/>
      <c r="O44" s="19"/>
    </row>
    <row r="45" spans="1:15" ht="3" customHeight="1" x14ac:dyDescent="0.2">
      <c r="J45" s="17"/>
      <c r="K45" s="18"/>
      <c r="L45" s="18"/>
      <c r="M45" s="18"/>
      <c r="N45" s="18"/>
      <c r="O45" s="19"/>
    </row>
    <row r="46" spans="1:15" ht="25.5" x14ac:dyDescent="0.2">
      <c r="A46" s="3" t="s">
        <v>60</v>
      </c>
      <c r="B46" s="12">
        <v>5</v>
      </c>
      <c r="C46" s="12">
        <v>19</v>
      </c>
      <c r="D46" s="49" t="s">
        <v>286</v>
      </c>
      <c r="J46" s="17"/>
      <c r="K46" s="64" t="str">
        <f>INDEX(g_lang_val,MATCH("so_3_1_1",g_lang_key,0))</f>
        <v>Nr.</v>
      </c>
      <c r="L46" s="63" t="str">
        <f>INDEX(g_lang_val,MATCH("so_3_1_2",g_lang_key,0))</f>
        <v>Anlægstitel</v>
      </c>
      <c r="M46" s="63" t="str">
        <f>INDEX(g_lang_val,MATCH("so_3_1_3",g_lang_key,0))</f>
        <v>Ibrugtagningsdato</v>
      </c>
      <c r="N46" s="63" t="str">
        <f>INDEX(g_lang_val,MATCH("so_3_1_4",g_lang_key,0))</f>
        <v>Afskrivningsperiode (3, 5 eller 8 år)</v>
      </c>
      <c r="O46" s="19"/>
    </row>
    <row r="47" spans="1:15" ht="3" customHeight="1" x14ac:dyDescent="0.2">
      <c r="J47" s="17"/>
      <c r="K47" s="61"/>
      <c r="L47" s="18"/>
      <c r="M47" s="18"/>
      <c r="N47" s="18"/>
      <c r="O47" s="19"/>
    </row>
    <row r="48" spans="1:15" ht="24" customHeight="1" x14ac:dyDescent="0.2">
      <c r="A48" s="3" t="s">
        <v>61</v>
      </c>
      <c r="B48" s="12">
        <v>5</v>
      </c>
      <c r="C48" s="12">
        <v>19</v>
      </c>
      <c r="D48" s="49" t="s">
        <v>287</v>
      </c>
      <c r="J48" s="17"/>
      <c r="K48" s="64">
        <v>1</v>
      </c>
      <c r="L48" s="170"/>
      <c r="M48" s="171"/>
      <c r="N48" s="172"/>
      <c r="O48" s="19"/>
    </row>
    <row r="49" spans="1:15" ht="3" customHeight="1" x14ac:dyDescent="0.2">
      <c r="J49" s="17"/>
      <c r="K49" s="61"/>
      <c r="L49" s="90"/>
      <c r="M49" s="91"/>
      <c r="N49" s="92"/>
      <c r="O49" s="19"/>
    </row>
    <row r="50" spans="1:15" ht="24" customHeight="1" x14ac:dyDescent="0.2">
      <c r="A50" s="3" t="s">
        <v>62</v>
      </c>
      <c r="B50" s="12">
        <v>5</v>
      </c>
      <c r="C50" s="12">
        <v>19</v>
      </c>
      <c r="D50" s="49" t="s">
        <v>288</v>
      </c>
      <c r="J50" s="17"/>
      <c r="K50" s="64">
        <v>2</v>
      </c>
      <c r="L50" s="88"/>
      <c r="M50" s="171"/>
      <c r="N50" s="89"/>
      <c r="O50" s="19"/>
    </row>
    <row r="51" spans="1:15" ht="3" customHeight="1" x14ac:dyDescent="0.2">
      <c r="J51" s="17"/>
      <c r="K51" s="61"/>
      <c r="L51" s="90"/>
      <c r="M51" s="91"/>
      <c r="N51" s="92"/>
      <c r="O51" s="19"/>
    </row>
    <row r="52" spans="1:15" ht="24" customHeight="1" x14ac:dyDescent="0.2">
      <c r="A52" s="3" t="s">
        <v>63</v>
      </c>
      <c r="B52" s="12">
        <v>5</v>
      </c>
      <c r="C52" s="12">
        <v>19</v>
      </c>
      <c r="D52" s="49" t="s">
        <v>289</v>
      </c>
      <c r="J52" s="17"/>
      <c r="K52" s="64">
        <v>3</v>
      </c>
      <c r="L52" s="88"/>
      <c r="M52" s="171"/>
      <c r="N52" s="89"/>
      <c r="O52" s="19"/>
    </row>
    <row r="53" spans="1:15" ht="3" customHeight="1" x14ac:dyDescent="0.2">
      <c r="J53" s="17"/>
      <c r="K53" s="61"/>
      <c r="L53" s="90"/>
      <c r="M53" s="91"/>
      <c r="N53" s="92"/>
      <c r="O53" s="19"/>
    </row>
    <row r="54" spans="1:15" ht="24" customHeight="1" x14ac:dyDescent="0.2">
      <c r="A54" s="49" t="s">
        <v>63</v>
      </c>
      <c r="B54" s="12">
        <v>5</v>
      </c>
      <c r="C54" s="12">
        <v>19</v>
      </c>
      <c r="D54" s="49" t="s">
        <v>290</v>
      </c>
      <c r="J54" s="17"/>
      <c r="K54" s="64">
        <v>4</v>
      </c>
      <c r="L54" s="88"/>
      <c r="M54" s="171"/>
      <c r="N54" s="89"/>
      <c r="O54" s="19"/>
    </row>
    <row r="55" spans="1:15" ht="3" customHeight="1" x14ac:dyDescent="0.2">
      <c r="J55" s="17"/>
      <c r="K55" s="61"/>
      <c r="L55" s="90"/>
      <c r="M55" s="91"/>
      <c r="N55" s="92"/>
      <c r="O55" s="19"/>
    </row>
    <row r="56" spans="1:15" ht="24" customHeight="1" x14ac:dyDescent="0.2">
      <c r="A56" s="49" t="s">
        <v>63</v>
      </c>
      <c r="B56" s="12">
        <v>5</v>
      </c>
      <c r="C56" s="12">
        <v>19</v>
      </c>
      <c r="D56" s="49" t="s">
        <v>291</v>
      </c>
      <c r="J56" s="17"/>
      <c r="K56" s="64">
        <v>5</v>
      </c>
      <c r="L56" s="88"/>
      <c r="M56" s="171"/>
      <c r="N56" s="89"/>
      <c r="O56" s="19"/>
    </row>
    <row r="57" spans="1:15" ht="3" customHeight="1" x14ac:dyDescent="0.2">
      <c r="J57" s="17"/>
      <c r="K57" s="34"/>
      <c r="L57" s="18"/>
      <c r="M57" s="18"/>
      <c r="N57" s="62"/>
      <c r="O57" s="19"/>
    </row>
    <row r="58" spans="1:15" ht="13.5" customHeight="1" x14ac:dyDescent="0.2">
      <c r="A58" s="49" t="s">
        <v>70</v>
      </c>
      <c r="B58" s="12">
        <v>5</v>
      </c>
      <c r="C58" s="12">
        <v>19</v>
      </c>
      <c r="D58" s="49" t="s">
        <v>299</v>
      </c>
      <c r="J58" s="17"/>
      <c r="K58" s="18"/>
      <c r="L58" s="18"/>
      <c r="M58" s="18"/>
      <c r="N58" s="18"/>
      <c r="O58" s="19"/>
    </row>
    <row r="59" spans="1:15" ht="3" customHeight="1" x14ac:dyDescent="0.2">
      <c r="J59" s="17"/>
      <c r="K59" s="18"/>
      <c r="L59" s="18"/>
      <c r="M59" s="18"/>
      <c r="N59" s="18"/>
      <c r="O59" s="19"/>
    </row>
    <row r="60" spans="1:15" ht="15.95" customHeight="1" thickBot="1" x14ac:dyDescent="0.25">
      <c r="A60" s="49" t="s">
        <v>71</v>
      </c>
      <c r="B60" s="12">
        <v>5</v>
      </c>
      <c r="C60" s="12">
        <v>19</v>
      </c>
      <c r="D60" s="49" t="s">
        <v>300</v>
      </c>
      <c r="J60" s="21"/>
      <c r="K60" s="21"/>
      <c r="L60" s="21"/>
      <c r="M60" s="21"/>
      <c r="N60" s="21"/>
      <c r="O60" s="21"/>
    </row>
    <row r="61" spans="1:15" ht="42" customHeight="1" thickTop="1" x14ac:dyDescent="0.2">
      <c r="A61" s="35" t="s">
        <v>64</v>
      </c>
      <c r="B61" s="12">
        <v>5</v>
      </c>
      <c r="C61" s="12">
        <v>19</v>
      </c>
      <c r="D61" s="49" t="s">
        <v>301</v>
      </c>
      <c r="J61" s="76"/>
      <c r="K61" s="77" t="str">
        <f>INDEX(g_lang_val,MATCH("so_4",g_lang_key,0))</f>
        <v>Regnskabstekniske oplysninger</v>
      </c>
      <c r="L61" s="78"/>
      <c r="M61" s="78"/>
      <c r="N61" s="78"/>
      <c r="O61" s="79"/>
    </row>
    <row r="62" spans="1:15" ht="11.25" hidden="1" customHeight="1" x14ac:dyDescent="0.2">
      <c r="J62" s="17"/>
      <c r="K62" s="18"/>
      <c r="L62" s="18"/>
      <c r="M62" s="18"/>
      <c r="N62" s="18"/>
      <c r="O62" s="19"/>
    </row>
    <row r="63" spans="1:15" ht="36.75" customHeight="1" x14ac:dyDescent="0.2">
      <c r="A63" s="3" t="s">
        <v>65</v>
      </c>
      <c r="B63" s="12">
        <v>5</v>
      </c>
      <c r="C63" s="12">
        <v>19</v>
      </c>
      <c r="D63" s="49" t="s">
        <v>302</v>
      </c>
      <c r="J63" s="17"/>
      <c r="K63" s="80" t="str">
        <f>INDEX(g_lang_val,MATCH("so_4_1",g_lang_key,0))</f>
        <v>pl-år</v>
      </c>
      <c r="L63" s="20"/>
      <c r="M63" s="20"/>
      <c r="N63" s="20"/>
      <c r="O63" s="19"/>
    </row>
    <row r="64" spans="1:15" ht="3" customHeight="1" x14ac:dyDescent="0.2">
      <c r="J64" s="17"/>
      <c r="K64" s="18"/>
      <c r="L64" s="18"/>
      <c r="M64" s="18"/>
      <c r="N64" s="18"/>
      <c r="O64" s="19"/>
    </row>
    <row r="65" spans="1:15" ht="24" customHeight="1" x14ac:dyDescent="0.2">
      <c r="A65" s="3" t="s">
        <v>66</v>
      </c>
      <c r="B65" s="12">
        <v>5</v>
      </c>
      <c r="C65" s="12">
        <v>19</v>
      </c>
      <c r="D65" s="49" t="s">
        <v>303</v>
      </c>
      <c r="J65" s="17"/>
      <c r="K65" s="73" t="str">
        <f>INDEX(g_lang_val,MATCH("so_4_1_1",g_lang_key,0))</f>
        <v>Indtastningsår</v>
      </c>
      <c r="L65" s="234">
        <v>2024</v>
      </c>
      <c r="M65" s="234"/>
      <c r="N65" s="234"/>
      <c r="O65" s="19"/>
    </row>
    <row r="66" spans="1:15" ht="3" customHeight="1" x14ac:dyDescent="0.2">
      <c r="J66" s="17"/>
      <c r="K66" s="18"/>
      <c r="L66" s="18"/>
      <c r="M66" s="18"/>
      <c r="N66" s="18"/>
      <c r="O66" s="19"/>
    </row>
    <row r="67" spans="1:15" ht="35.1" customHeight="1" x14ac:dyDescent="0.2">
      <c r="A67" s="3" t="s">
        <v>67</v>
      </c>
      <c r="B67" s="12">
        <v>5</v>
      </c>
      <c r="C67" s="12">
        <v>19</v>
      </c>
      <c r="D67" s="49" t="s">
        <v>304</v>
      </c>
      <c r="J67" s="17"/>
      <c r="K67" s="231" t="str">
        <f>INDEX(g_lang_val,MATCH("so_4_1_1_1",g_lang_key,0))</f>
        <v>Angiver som basisår det år, som data stammer fra, og hvor priser mv. blev beregnet.
Indtastningsåret stemmer ikke nødvendigvis med indeværende år.</v>
      </c>
      <c r="L67" s="231"/>
      <c r="M67" s="231"/>
      <c r="N67" s="231"/>
      <c r="O67" s="19"/>
    </row>
    <row r="68" spans="1:15" ht="3" customHeight="1" x14ac:dyDescent="0.2">
      <c r="J68" s="17"/>
      <c r="K68" s="18"/>
      <c r="L68" s="18"/>
      <c r="M68" s="18"/>
      <c r="N68" s="18"/>
      <c r="O68" s="19"/>
    </row>
    <row r="69" spans="1:15" ht="24" customHeight="1" x14ac:dyDescent="0.2">
      <c r="A69" s="3" t="s">
        <v>68</v>
      </c>
      <c r="B69" s="12">
        <v>5</v>
      </c>
      <c r="C69" s="12">
        <v>19</v>
      </c>
      <c r="D69" s="49" t="s">
        <v>305</v>
      </c>
      <c r="J69" s="17"/>
      <c r="K69" s="73" t="str">
        <f>INDEX(g_lang_val,MATCH("so_4_1_2",g_lang_key,0))</f>
        <v>Rapporteringsår</v>
      </c>
      <c r="L69" s="234">
        <v>2024</v>
      </c>
      <c r="M69" s="234"/>
      <c r="N69" s="234"/>
      <c r="O69" s="19"/>
    </row>
    <row r="70" spans="1:15" ht="3" customHeight="1" x14ac:dyDescent="0.2">
      <c r="J70" s="17"/>
      <c r="K70" s="18"/>
      <c r="L70" s="18"/>
      <c r="M70" s="18"/>
      <c r="N70" s="18"/>
      <c r="O70" s="19"/>
    </row>
    <row r="71" spans="1:15" ht="35.1" customHeight="1" x14ac:dyDescent="0.2">
      <c r="A71" s="3" t="s">
        <v>69</v>
      </c>
      <c r="B71" s="12">
        <v>5</v>
      </c>
      <c r="C71" s="12">
        <v>19</v>
      </c>
      <c r="D71" s="49" t="s">
        <v>306</v>
      </c>
      <c r="J71" s="17"/>
      <c r="K71" s="231" t="str">
        <f>INDEX(g_lang_val,MATCH("so_4_1_2_1",g_lang_key,0))</f>
        <v>Angiver det år, som data skal fremregnes til (eller undtagelsesvist tilbageregnes til).
Rapporteringsåret vil som regel være indeværende år.</v>
      </c>
      <c r="L71" s="231"/>
      <c r="M71" s="231"/>
      <c r="N71" s="231"/>
      <c r="O71" s="19"/>
    </row>
    <row r="72" spans="1:15" ht="3" customHeight="1" x14ac:dyDescent="0.2">
      <c r="J72" s="17"/>
      <c r="K72" s="18"/>
      <c r="L72" s="18"/>
      <c r="M72" s="18"/>
      <c r="N72" s="18"/>
      <c r="O72" s="19"/>
    </row>
    <row r="73" spans="1:15" ht="13.5" customHeight="1" x14ac:dyDescent="0.2">
      <c r="A73" s="3" t="s">
        <v>70</v>
      </c>
      <c r="B73" s="12">
        <v>5</v>
      </c>
      <c r="C73" s="12">
        <v>19</v>
      </c>
      <c r="D73" s="49" t="s">
        <v>299</v>
      </c>
      <c r="J73" s="17"/>
      <c r="K73" s="18"/>
      <c r="L73" s="18"/>
      <c r="M73" s="18"/>
      <c r="N73" s="18"/>
      <c r="O73" s="19"/>
    </row>
    <row r="74" spans="1:15" ht="3" customHeight="1" x14ac:dyDescent="0.2">
      <c r="J74" s="17"/>
      <c r="K74" s="18"/>
      <c r="L74" s="18"/>
      <c r="M74" s="18"/>
      <c r="N74" s="18"/>
      <c r="O74" s="19"/>
    </row>
    <row r="75" spans="1:15" ht="15.95" customHeight="1" x14ac:dyDescent="0.2">
      <c r="A75" s="49" t="s">
        <v>71</v>
      </c>
      <c r="B75" s="12">
        <v>5</v>
      </c>
      <c r="C75" s="12">
        <v>19</v>
      </c>
      <c r="D75" s="49" t="s">
        <v>300</v>
      </c>
      <c r="J75" s="21"/>
      <c r="K75" s="21"/>
      <c r="L75" s="21"/>
      <c r="M75" s="21"/>
      <c r="N75" s="21"/>
      <c r="O75" s="21"/>
    </row>
  </sheetData>
  <sheetProtection password="CE89" sheet="1" autoFilter="0"/>
  <customSheetViews>
    <customSheetView guid="{CC114306-4468-4F70-9DB6-D54D814D228F}" fitToPage="1" printArea="1" hiddenRows="1" hiddenColumns="1" topLeftCell="I7">
      <selection activeCell="I7" sqref="I7"/>
      <pageMargins left="0.7" right="0.7" top="0.75" bottom="0.75" header="0.3" footer="0.3"/>
      <pageSetup paperSize="9" fitToHeight="0" orientation="portrait" r:id="rId1"/>
    </customSheetView>
  </customSheetViews>
  <mergeCells count="14">
    <mergeCell ref="Q9:R9"/>
    <mergeCell ref="Q10:R14"/>
    <mergeCell ref="K44:N44"/>
    <mergeCell ref="K67:N67"/>
    <mergeCell ref="J9:O9"/>
    <mergeCell ref="K71:N71"/>
    <mergeCell ref="L29:N29"/>
    <mergeCell ref="L36:N36"/>
    <mergeCell ref="L38:N38"/>
    <mergeCell ref="L18:N18"/>
    <mergeCell ref="L20:N20"/>
    <mergeCell ref="L22:N22"/>
    <mergeCell ref="L65:N65"/>
    <mergeCell ref="L69:N69"/>
  </mergeCells>
  <dataValidations count="1">
    <dataValidation type="list" allowBlank="1" showInputMessage="1" showErrorMessage="1" sqref="L65:N65 L69:N69">
      <formula1>g_pl_years</formula1>
    </dataValidation>
  </dataValidations>
  <pageMargins left="0.7" right="0.7" top="0.75" bottom="0.75" header="0.3" footer="0.3"/>
  <pageSetup paperSize="9" fitToHeight="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66B43"/>
    <pageSetUpPr autoPageBreaks="0" fitToPage="1"/>
  </sheetPr>
  <dimension ref="A1:CB103"/>
  <sheetViews>
    <sheetView topLeftCell="AP13" zoomScale="70" zoomScaleNormal="70" workbookViewId="0">
      <selection activeCell="AV134" sqref="AV134"/>
    </sheetView>
  </sheetViews>
  <sheetFormatPr defaultColWidth="9.28515625" defaultRowHeight="12" x14ac:dyDescent="0.2"/>
  <cols>
    <col min="1" max="3" width="1.5703125" style="12" hidden="1" customWidth="1"/>
    <col min="4" max="4" width="51" style="12" hidden="1" customWidth="1"/>
    <col min="5" max="5" width="2.85546875" style="12" hidden="1" customWidth="1"/>
    <col min="6" max="11" width="5.85546875" style="12" hidden="1" customWidth="1"/>
    <col min="12" max="12" width="7.85546875" style="12" hidden="1" customWidth="1"/>
    <col min="13" max="36" width="5.85546875" style="12" hidden="1" customWidth="1"/>
    <col min="37" max="38" width="2.85546875" style="12" hidden="1" customWidth="1"/>
    <col min="39" max="39" width="8.140625" style="12" hidden="1" customWidth="1"/>
    <col min="40" max="41" width="7" style="12" hidden="1" customWidth="1"/>
    <col min="42" max="42" width="4.28515625" style="12" customWidth="1"/>
    <col min="43" max="43" width="1" style="12" customWidth="1"/>
    <col min="44" max="44" width="6.140625" style="12" customWidth="1"/>
    <col min="45" max="45" width="61.140625" style="12" customWidth="1"/>
    <col min="46" max="46" width="25.7109375" style="12" customWidth="1"/>
    <col min="47" max="47" width="15.7109375" style="12" customWidth="1"/>
    <col min="48" max="48" width="15.5703125" style="12" customWidth="1"/>
    <col min="49" max="49" width="35.7109375" style="12" customWidth="1"/>
    <col min="50" max="80" width="11.28515625" style="12" customWidth="1"/>
    <col min="81" max="16384" width="9.28515625" style="12"/>
  </cols>
  <sheetData>
    <row r="1" spans="1:80" s="6" customFormat="1" ht="28.5" hidden="1" customHeight="1" x14ac:dyDescent="0.2">
      <c r="A1" s="5" t="s">
        <v>0</v>
      </c>
      <c r="B1" s="5" t="s">
        <v>1</v>
      </c>
      <c r="C1" s="5" t="s">
        <v>2</v>
      </c>
      <c r="D1" s="5" t="s">
        <v>3</v>
      </c>
      <c r="E1" s="5" t="s">
        <v>4</v>
      </c>
      <c r="F1" s="5" t="s">
        <v>5</v>
      </c>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t="s">
        <v>6</v>
      </c>
      <c r="AL1" s="5" t="s">
        <v>12</v>
      </c>
      <c r="AM1" s="5" t="s">
        <v>13</v>
      </c>
      <c r="AN1" s="5" t="s">
        <v>114</v>
      </c>
      <c r="AO1" s="5" t="s">
        <v>115</v>
      </c>
      <c r="AP1" s="5" t="s">
        <v>116</v>
      </c>
      <c r="AQ1" s="5" t="s">
        <v>117</v>
      </c>
      <c r="AR1" s="5" t="s">
        <v>118</v>
      </c>
      <c r="AS1" s="5" t="s">
        <v>119</v>
      </c>
      <c r="AT1" s="5" t="s">
        <v>125</v>
      </c>
      <c r="AU1" s="5"/>
      <c r="AV1" s="5"/>
      <c r="AW1" s="5" t="s">
        <v>131</v>
      </c>
      <c r="AX1" s="5" t="s">
        <v>136</v>
      </c>
      <c r="AY1" s="5" t="s">
        <v>137</v>
      </c>
      <c r="AZ1" s="5" t="s">
        <v>138</v>
      </c>
      <c r="BA1" s="5" t="s">
        <v>139</v>
      </c>
      <c r="BB1" s="5" t="s">
        <v>140</v>
      </c>
      <c r="BC1" s="5" t="s">
        <v>141</v>
      </c>
      <c r="BD1" s="5" t="s">
        <v>142</v>
      </c>
      <c r="BE1" s="5" t="s">
        <v>143</v>
      </c>
      <c r="BF1" s="5" t="s">
        <v>438</v>
      </c>
      <c r="BG1" s="5" t="s">
        <v>439</v>
      </c>
      <c r="BH1" s="5" t="s">
        <v>440</v>
      </c>
      <c r="BI1" s="5" t="s">
        <v>441</v>
      </c>
      <c r="BJ1" s="5" t="s">
        <v>442</v>
      </c>
      <c r="BK1" s="5" t="s">
        <v>443</v>
      </c>
      <c r="BL1" s="5" t="s">
        <v>444</v>
      </c>
      <c r="BM1" s="5" t="s">
        <v>445</v>
      </c>
      <c r="BN1" s="5" t="s">
        <v>446</v>
      </c>
      <c r="BO1" s="5" t="s">
        <v>447</v>
      </c>
      <c r="BP1" s="5" t="s">
        <v>448</v>
      </c>
      <c r="BQ1" s="5" t="s">
        <v>449</v>
      </c>
      <c r="BR1" s="5" t="s">
        <v>450</v>
      </c>
      <c r="BS1" s="5" t="s">
        <v>457</v>
      </c>
      <c r="BT1" s="5" t="s">
        <v>458</v>
      </c>
      <c r="BU1" s="5" t="s">
        <v>459</v>
      </c>
      <c r="BV1" s="5" t="s">
        <v>460</v>
      </c>
      <c r="BW1" s="5" t="s">
        <v>461</v>
      </c>
      <c r="BX1" s="5" t="s">
        <v>462</v>
      </c>
      <c r="BY1" s="5" t="s">
        <v>463</v>
      </c>
      <c r="BZ1" s="5" t="s">
        <v>464</v>
      </c>
      <c r="CA1" s="5" t="s">
        <v>465</v>
      </c>
      <c r="CB1" s="5"/>
    </row>
    <row r="2" spans="1:80" s="6" customFormat="1" ht="30" hidden="1" customHeight="1" x14ac:dyDescent="0.2">
      <c r="A2" s="6" t="s">
        <v>127</v>
      </c>
      <c r="B2" s="6">
        <v>5</v>
      </c>
      <c r="C2" s="6">
        <v>136</v>
      </c>
      <c r="D2" s="6" t="s">
        <v>7</v>
      </c>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row>
    <row r="3" spans="1:80" s="6" customFormat="1" ht="12" hidden="1" customHeight="1" x14ac:dyDescent="0.2">
      <c r="A3" s="6" t="s">
        <v>127</v>
      </c>
      <c r="B3" s="6">
        <v>5</v>
      </c>
      <c r="C3" s="6">
        <v>136</v>
      </c>
      <c r="D3" s="6" t="s">
        <v>8</v>
      </c>
      <c r="E3" s="9" t="s">
        <v>144</v>
      </c>
      <c r="F3" s="9" t="s">
        <v>17</v>
      </c>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t="s">
        <v>145</v>
      </c>
      <c r="AL3" s="9" t="s">
        <v>146</v>
      </c>
      <c r="AM3" s="9" t="s">
        <v>147</v>
      </c>
      <c r="AN3" s="11" t="s">
        <v>149</v>
      </c>
      <c r="AO3" s="11" t="s">
        <v>149</v>
      </c>
      <c r="AP3" s="11" t="s">
        <v>149</v>
      </c>
      <c r="AQ3" s="11" t="s">
        <v>149</v>
      </c>
      <c r="AR3" s="11" t="s">
        <v>149</v>
      </c>
      <c r="AS3" s="11" t="s">
        <v>149</v>
      </c>
      <c r="AT3" s="11" t="s">
        <v>149</v>
      </c>
      <c r="AU3" s="11"/>
      <c r="AV3" s="11"/>
      <c r="AW3" s="11" t="s">
        <v>149</v>
      </c>
      <c r="AX3" s="12">
        <v>1</v>
      </c>
      <c r="AY3" s="12">
        <v>2</v>
      </c>
      <c r="AZ3" s="12">
        <v>3</v>
      </c>
      <c r="BA3" s="12">
        <v>4</v>
      </c>
      <c r="BB3" s="12">
        <v>5</v>
      </c>
      <c r="BC3" s="12">
        <v>6</v>
      </c>
      <c r="BD3" s="12">
        <v>7</v>
      </c>
      <c r="BE3" s="12">
        <v>8</v>
      </c>
      <c r="BF3" s="12">
        <v>9</v>
      </c>
      <c r="BG3" s="12">
        <v>10</v>
      </c>
      <c r="BH3" s="12">
        <v>11</v>
      </c>
      <c r="BI3" s="12">
        <v>12</v>
      </c>
      <c r="BJ3" s="12">
        <v>13</v>
      </c>
      <c r="BK3" s="12">
        <v>14</v>
      </c>
      <c r="BL3" s="12">
        <v>15</v>
      </c>
      <c r="BM3" s="12">
        <v>16</v>
      </c>
      <c r="BN3" s="12">
        <v>17</v>
      </c>
      <c r="BO3" s="12">
        <v>18</v>
      </c>
      <c r="BP3" s="12">
        <v>19</v>
      </c>
      <c r="BQ3" s="12">
        <v>20</v>
      </c>
      <c r="BR3" s="12">
        <v>21</v>
      </c>
      <c r="BS3" s="12">
        <v>22</v>
      </c>
      <c r="BT3" s="12">
        <v>23</v>
      </c>
      <c r="BU3" s="12">
        <v>24</v>
      </c>
      <c r="BV3" s="12">
        <v>25</v>
      </c>
      <c r="BW3" s="12">
        <v>26</v>
      </c>
      <c r="BX3" s="12">
        <v>27</v>
      </c>
      <c r="BY3" s="12">
        <v>28</v>
      </c>
      <c r="BZ3" s="12">
        <v>29</v>
      </c>
      <c r="CA3" s="12">
        <v>30</v>
      </c>
      <c r="CB3" s="12"/>
    </row>
    <row r="4" spans="1:80" s="6" customFormat="1" ht="12" hidden="1" customHeight="1" x14ac:dyDescent="0.2">
      <c r="A4" s="6" t="s">
        <v>127</v>
      </c>
      <c r="B4" s="6">
        <v>5</v>
      </c>
      <c r="C4" s="6">
        <v>136</v>
      </c>
      <c r="D4" s="6" t="s">
        <v>9</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11">
        <v>-4</v>
      </c>
      <c r="AO4" s="11">
        <v>-3</v>
      </c>
      <c r="AP4" s="11">
        <v>-2</v>
      </c>
      <c r="AQ4" s="11">
        <v>-1</v>
      </c>
      <c r="AR4" s="11">
        <v>0</v>
      </c>
      <c r="AS4" s="11">
        <v>1</v>
      </c>
      <c r="AT4" s="11">
        <v>7</v>
      </c>
      <c r="AU4" s="11"/>
      <c r="AV4" s="11"/>
      <c r="AW4" s="11">
        <v>10</v>
      </c>
      <c r="AX4" s="22" t="s">
        <v>153</v>
      </c>
      <c r="AY4" s="22" t="s">
        <v>153</v>
      </c>
      <c r="AZ4" s="22" t="s">
        <v>153</v>
      </c>
      <c r="BA4" s="22" t="s">
        <v>153</v>
      </c>
      <c r="BB4" s="22" t="s">
        <v>153</v>
      </c>
      <c r="BC4" s="22" t="s">
        <v>153</v>
      </c>
      <c r="BD4" s="22" t="s">
        <v>153</v>
      </c>
      <c r="BE4" s="22" t="s">
        <v>153</v>
      </c>
      <c r="BF4" s="22" t="s">
        <v>153</v>
      </c>
      <c r="BG4" s="22" t="s">
        <v>153</v>
      </c>
      <c r="BH4" s="22" t="s">
        <v>153</v>
      </c>
      <c r="BI4" s="22" t="s">
        <v>153</v>
      </c>
      <c r="BJ4" s="22" t="s">
        <v>153</v>
      </c>
      <c r="BK4" s="22" t="s">
        <v>153</v>
      </c>
      <c r="BL4" s="22" t="s">
        <v>153</v>
      </c>
      <c r="BM4" s="22" t="s">
        <v>153</v>
      </c>
      <c r="BN4" s="22" t="s">
        <v>153</v>
      </c>
      <c r="BO4" s="22" t="s">
        <v>153</v>
      </c>
      <c r="BP4" s="22" t="s">
        <v>153</v>
      </c>
      <c r="BQ4" s="22" t="s">
        <v>153</v>
      </c>
      <c r="BR4" s="22" t="s">
        <v>153</v>
      </c>
      <c r="BS4" s="22" t="s">
        <v>153</v>
      </c>
      <c r="BT4" s="22" t="s">
        <v>153</v>
      </c>
      <c r="BU4" s="22" t="s">
        <v>153</v>
      </c>
      <c r="BV4" s="22" t="s">
        <v>153</v>
      </c>
      <c r="BW4" s="22" t="s">
        <v>153</v>
      </c>
      <c r="BX4" s="22" t="s">
        <v>153</v>
      </c>
      <c r="BY4" s="22" t="s">
        <v>153</v>
      </c>
      <c r="BZ4" s="22" t="s">
        <v>153</v>
      </c>
      <c r="CA4" s="22" t="s">
        <v>153</v>
      </c>
      <c r="CB4" s="22"/>
    </row>
    <row r="5" spans="1:80" hidden="1" x14ac:dyDescent="0.2"/>
    <row r="6" spans="1:80" hidden="1" x14ac:dyDescent="0.2"/>
    <row r="7" spans="1:80" hidden="1" x14ac:dyDescent="0.2"/>
    <row r="8" spans="1:80" hidden="1" x14ac:dyDescent="0.2">
      <c r="AX8" s="12">
        <v>249</v>
      </c>
      <c r="AY8" s="12">
        <v>250</v>
      </c>
      <c r="AZ8" s="12">
        <v>251</v>
      </c>
      <c r="BA8" s="12">
        <v>252</v>
      </c>
      <c r="BB8" s="12">
        <v>253</v>
      </c>
      <c r="BC8" s="12">
        <v>254</v>
      </c>
      <c r="BD8" s="12">
        <v>255</v>
      </c>
      <c r="BE8" s="12">
        <v>256</v>
      </c>
      <c r="BF8" s="12">
        <v>257</v>
      </c>
      <c r="BG8" s="12">
        <v>258</v>
      </c>
      <c r="BH8" s="12">
        <v>259</v>
      </c>
      <c r="BI8" s="12">
        <v>260</v>
      </c>
      <c r="BJ8" s="12">
        <v>261</v>
      </c>
      <c r="BK8" s="12">
        <v>262</v>
      </c>
      <c r="BL8" s="12">
        <v>263</v>
      </c>
      <c r="BM8" s="12">
        <v>264</v>
      </c>
      <c r="BN8" s="12">
        <v>265</v>
      </c>
      <c r="BO8" s="12">
        <v>266</v>
      </c>
      <c r="BP8" s="12">
        <v>267</v>
      </c>
      <c r="BQ8" s="12">
        <v>268</v>
      </c>
      <c r="BR8" s="12">
        <v>269</v>
      </c>
      <c r="BS8" s="12">
        <v>270</v>
      </c>
      <c r="BT8" s="12">
        <v>271</v>
      </c>
      <c r="BU8" s="12">
        <v>272</v>
      </c>
      <c r="BV8" s="12">
        <v>273</v>
      </c>
      <c r="BW8" s="12">
        <v>274</v>
      </c>
      <c r="BX8" s="12">
        <v>275</v>
      </c>
      <c r="BY8" s="12">
        <v>276</v>
      </c>
      <c r="BZ8" s="12">
        <v>277</v>
      </c>
      <c r="CA8" s="12">
        <v>278</v>
      </c>
    </row>
    <row r="9" spans="1:80" hidden="1" x14ac:dyDescent="0.2"/>
    <row r="10" spans="1:80" hidden="1" x14ac:dyDescent="0.2"/>
    <row r="11" spans="1:80" hidden="1" x14ac:dyDescent="0.2"/>
    <row r="12" spans="1:80" ht="12.75" hidden="1" x14ac:dyDescent="0.2">
      <c r="A12" s="39" t="s">
        <v>18</v>
      </c>
      <c r="B12" s="12">
        <v>5</v>
      </c>
      <c r="C12" s="12">
        <v>136</v>
      </c>
      <c r="D12" s="39" t="s">
        <v>11</v>
      </c>
    </row>
    <row r="13" spans="1:80" ht="28.5" customHeight="1" x14ac:dyDescent="0.2">
      <c r="A13" s="39" t="s">
        <v>19</v>
      </c>
      <c r="B13" s="12">
        <v>5</v>
      </c>
      <c r="C13" s="12">
        <v>136</v>
      </c>
      <c r="D13" s="49" t="s">
        <v>202</v>
      </c>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row>
    <row r="14" spans="1:80" ht="5.0999999999999996" customHeight="1" x14ac:dyDescent="0.2">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row>
    <row r="15" spans="1:80" ht="5.0999999999999996" customHeight="1" x14ac:dyDescent="0.2">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row>
    <row r="16" spans="1:80" ht="17.25" customHeight="1" x14ac:dyDescent="0.2">
      <c r="A16" s="39" t="s">
        <v>20</v>
      </c>
      <c r="B16" s="12">
        <v>5</v>
      </c>
      <c r="C16" s="12">
        <v>136</v>
      </c>
      <c r="D16" s="49" t="s">
        <v>203</v>
      </c>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row>
    <row r="17" spans="1:80" ht="4.5" customHeight="1" x14ac:dyDescent="0.2">
      <c r="A17" s="39" t="s">
        <v>22</v>
      </c>
      <c r="B17" s="12">
        <v>5</v>
      </c>
      <c r="C17" s="12">
        <v>136</v>
      </c>
      <c r="D17" s="49" t="s">
        <v>205</v>
      </c>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row>
    <row r="18" spans="1:80" ht="21" customHeight="1" x14ac:dyDescent="0.2">
      <c r="A18" s="39" t="s">
        <v>27</v>
      </c>
      <c r="B18" s="12">
        <v>5</v>
      </c>
      <c r="C18" s="12">
        <v>136</v>
      </c>
      <c r="D18" s="49" t="s">
        <v>206</v>
      </c>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row>
    <row r="19" spans="1:80" ht="9.75" customHeight="1" x14ac:dyDescent="0.2"/>
    <row r="20" spans="1:80" ht="27.75" hidden="1" customHeight="1" x14ac:dyDescent="0.4">
      <c r="A20" s="39" t="s">
        <v>28</v>
      </c>
      <c r="B20" s="12">
        <v>5</v>
      </c>
      <c r="C20" s="12">
        <v>136</v>
      </c>
      <c r="D20" s="49" t="s">
        <v>207</v>
      </c>
      <c r="AQ20" s="26"/>
    </row>
    <row r="21" spans="1:80" ht="29.1" customHeight="1" x14ac:dyDescent="0.2">
      <c r="A21" s="39" t="s">
        <v>29</v>
      </c>
      <c r="B21" s="12">
        <v>5</v>
      </c>
      <c r="C21" s="12">
        <v>136</v>
      </c>
      <c r="D21" s="49" t="s">
        <v>208</v>
      </c>
      <c r="AQ21" s="212" t="str">
        <f>INDEX(g_lang_val,MATCH("le_2_1",g_lang_key,0))</f>
        <v>Projektudgifter i tusinde kroner (t. kr.)</v>
      </c>
      <c r="AR21" s="211"/>
      <c r="AS21" s="211"/>
    </row>
    <row r="22" spans="1:80" ht="4.5" customHeight="1" x14ac:dyDescent="0.2">
      <c r="A22" s="39" t="s">
        <v>33</v>
      </c>
      <c r="B22" s="12">
        <v>5</v>
      </c>
      <c r="C22" s="12">
        <v>136</v>
      </c>
      <c r="D22" s="49" t="s">
        <v>209</v>
      </c>
      <c r="AQ22" s="29"/>
      <c r="AR22" s="24"/>
      <c r="AS22" s="24"/>
      <c r="AT22" s="24"/>
      <c r="AU22" s="24"/>
      <c r="AV22" s="24"/>
      <c r="AW22" s="24"/>
      <c r="AX22" s="36">
        <f t="shared" ref="AX22:CA22" ca="1" si="0">IF(INDEX(g_sc_1_capex,2)+COLUMN()-50&lt;=INDEX(g_sc_1_capex,3),INDEX(g_sc_1_capex,2)+COLUMN()-50,"")</f>
        <v>2024</v>
      </c>
      <c r="AY22" s="36">
        <f t="shared" ca="1" si="0"/>
        <v>2025</v>
      </c>
      <c r="AZ22" s="36">
        <f t="shared" ca="1" si="0"/>
        <v>2026</v>
      </c>
      <c r="BA22" s="36">
        <f t="shared" ca="1" si="0"/>
        <v>2027</v>
      </c>
      <c r="BB22" s="36">
        <f t="shared" ca="1" si="0"/>
        <v>2028</v>
      </c>
      <c r="BC22" s="36" t="str">
        <f t="shared" ca="1" si="0"/>
        <v/>
      </c>
      <c r="BD22" s="36" t="str">
        <f t="shared" ca="1" si="0"/>
        <v/>
      </c>
      <c r="BE22" s="36" t="str">
        <f t="shared" ca="1" si="0"/>
        <v/>
      </c>
      <c r="BF22" s="36" t="str">
        <f t="shared" ca="1" si="0"/>
        <v/>
      </c>
      <c r="BG22" s="36" t="str">
        <f t="shared" ca="1" si="0"/>
        <v/>
      </c>
      <c r="BH22" s="36" t="str">
        <f t="shared" ca="1" si="0"/>
        <v/>
      </c>
      <c r="BI22" s="36" t="str">
        <f t="shared" ca="1" si="0"/>
        <v/>
      </c>
      <c r="BJ22" s="36" t="str">
        <f t="shared" ca="1" si="0"/>
        <v/>
      </c>
      <c r="BK22" s="36" t="str">
        <f t="shared" ca="1" si="0"/>
        <v/>
      </c>
      <c r="BL22" s="36" t="str">
        <f t="shared" ca="1" si="0"/>
        <v/>
      </c>
      <c r="BM22" s="36" t="str">
        <f t="shared" ca="1" si="0"/>
        <v/>
      </c>
      <c r="BN22" s="36" t="str">
        <f t="shared" ca="1" si="0"/>
        <v/>
      </c>
      <c r="BO22" s="36" t="str">
        <f t="shared" ca="1" si="0"/>
        <v/>
      </c>
      <c r="BP22" s="36" t="str">
        <f t="shared" ca="1" si="0"/>
        <v/>
      </c>
      <c r="BQ22" s="36" t="str">
        <f t="shared" ca="1" si="0"/>
        <v/>
      </c>
      <c r="BR22" s="36" t="str">
        <f t="shared" ca="1" si="0"/>
        <v/>
      </c>
      <c r="BS22" s="36" t="str">
        <f t="shared" ca="1" si="0"/>
        <v/>
      </c>
      <c r="BT22" s="36" t="str">
        <f t="shared" ca="1" si="0"/>
        <v/>
      </c>
      <c r="BU22" s="36" t="str">
        <f t="shared" ca="1" si="0"/>
        <v/>
      </c>
      <c r="BV22" s="36" t="str">
        <f t="shared" ca="1" si="0"/>
        <v/>
      </c>
      <c r="BW22" s="36" t="str">
        <f t="shared" ca="1" si="0"/>
        <v/>
      </c>
      <c r="BX22" s="36" t="str">
        <f t="shared" ca="1" si="0"/>
        <v/>
      </c>
      <c r="BY22" s="36" t="str">
        <f t="shared" ca="1" si="0"/>
        <v/>
      </c>
      <c r="BZ22" s="36" t="str">
        <f t="shared" ca="1" si="0"/>
        <v/>
      </c>
      <c r="CA22" s="36" t="str">
        <f t="shared" ca="1" si="0"/>
        <v/>
      </c>
      <c r="CB22" s="36"/>
    </row>
    <row r="23" spans="1:80" ht="17.25" customHeight="1" x14ac:dyDescent="0.2">
      <c r="A23" s="49" t="s">
        <v>20</v>
      </c>
      <c r="B23" s="12">
        <v>5</v>
      </c>
      <c r="C23" s="12">
        <v>136</v>
      </c>
      <c r="D23" s="49" t="s">
        <v>203</v>
      </c>
      <c r="AP23" s="40"/>
      <c r="AQ23" s="29"/>
      <c r="AR23" s="238" t="str">
        <f>INDEX(g_lang_val,MATCH("le_1",g_lang_key,0))</f>
        <v>Vigtigt:</v>
      </c>
      <c r="AS23" s="239"/>
      <c r="AT23" s="239"/>
      <c r="AU23" s="239"/>
      <c r="AV23" s="239"/>
      <c r="AW23" s="239"/>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166"/>
    </row>
    <row r="24" spans="1:80" ht="90" customHeight="1" x14ac:dyDescent="0.2">
      <c r="A24" s="49" t="s">
        <v>21</v>
      </c>
      <c r="B24" s="12">
        <v>5</v>
      </c>
      <c r="C24" s="12">
        <v>136</v>
      </c>
      <c r="D24" s="49" t="s">
        <v>204</v>
      </c>
      <c r="AP24" s="40"/>
      <c r="AQ24" s="29"/>
      <c r="AR24" s="37"/>
      <c r="AS24" s="240" t="str">
        <f>INDEX(g_lang_val,MATCH("le_1_1",g_lang_key,0))</f>
        <v>1) Udgifter er i tusinde kroner.
2) Du kan kun indtaste data i de hvide felter.
3) Du kan bruge klip/kopier+indsæt-funktionen for værdier i de hvide felter.
4) Du kan bruge klip/kopier+indsæt-funktionen for leverancer/releases, men ikke for anlæg, da det kan ødelægge de bagvedliggende formler.</v>
      </c>
      <c r="AT24" s="240"/>
      <c r="AU24" s="240"/>
      <c r="AV24" s="240"/>
      <c r="AW24" s="240"/>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166"/>
    </row>
    <row r="25" spans="1:80" s="55" customFormat="1" ht="51.75" customHeight="1" x14ac:dyDescent="0.2">
      <c r="A25" s="54" t="s">
        <v>34</v>
      </c>
      <c r="B25" s="55">
        <v>5</v>
      </c>
      <c r="C25" s="55">
        <v>136</v>
      </c>
      <c r="D25" s="54" t="s">
        <v>210</v>
      </c>
      <c r="AQ25" s="56"/>
      <c r="AR25" s="243" t="str">
        <f>INDEX(g_lang_val,MATCH("le_2_1_1",g_lang_key,0))</f>
        <v>Leverancer</v>
      </c>
      <c r="AS25" s="244"/>
      <c r="AT25" s="94" t="str">
        <f>INDEX(g_lang_val,MATCH("so_3",g_lang_key,0))</f>
        <v>Anlæg</v>
      </c>
      <c r="AU25" s="65" t="str">
        <f>INDEX(g_lang_val,MATCH("le_2_1_3",g_lang_key,0))</f>
        <v>Procentdel aktiveret (pct.)</v>
      </c>
      <c r="AV25" s="228" t="str">
        <f>INDEX(g_lang_val,MATCH("le_2_1_4",g_lang_key,0))</f>
        <v>Procentdel eksterne (pct.)</v>
      </c>
      <c r="AW25" s="94" t="str">
        <f>INDEX(g_lang_val,MATCH("le_2_1_5",g_lang_key,0))</f>
        <v>Grundlag for estimat</v>
      </c>
      <c r="AX25" s="57">
        <f ca="1">AX22</f>
        <v>2024</v>
      </c>
      <c r="AY25" s="57">
        <f t="shared" ref="AY25:CA25" ca="1" si="1">AY22</f>
        <v>2025</v>
      </c>
      <c r="AZ25" s="57">
        <f t="shared" ca="1" si="1"/>
        <v>2026</v>
      </c>
      <c r="BA25" s="57">
        <f t="shared" ca="1" si="1"/>
        <v>2027</v>
      </c>
      <c r="BB25" s="57">
        <f t="shared" ca="1" si="1"/>
        <v>2028</v>
      </c>
      <c r="BC25" s="57" t="str">
        <f t="shared" ca="1" si="1"/>
        <v/>
      </c>
      <c r="BD25" s="57" t="str">
        <f t="shared" ca="1" si="1"/>
        <v/>
      </c>
      <c r="BE25" s="57" t="str">
        <f t="shared" ca="1" si="1"/>
        <v/>
      </c>
      <c r="BF25" s="57" t="str">
        <f t="shared" ca="1" si="1"/>
        <v/>
      </c>
      <c r="BG25" s="57" t="str">
        <f t="shared" ca="1" si="1"/>
        <v/>
      </c>
      <c r="BH25" s="57" t="str">
        <f t="shared" ca="1" si="1"/>
        <v/>
      </c>
      <c r="BI25" s="57" t="str">
        <f t="shared" ca="1" si="1"/>
        <v/>
      </c>
      <c r="BJ25" s="57" t="str">
        <f t="shared" ca="1" si="1"/>
        <v/>
      </c>
      <c r="BK25" s="57" t="str">
        <f t="shared" ca="1" si="1"/>
        <v/>
      </c>
      <c r="BL25" s="57" t="str">
        <f t="shared" ca="1" si="1"/>
        <v/>
      </c>
      <c r="BM25" s="57" t="str">
        <f t="shared" ca="1" si="1"/>
        <v/>
      </c>
      <c r="BN25" s="57" t="str">
        <f t="shared" ca="1" si="1"/>
        <v/>
      </c>
      <c r="BO25" s="57" t="str">
        <f t="shared" ca="1" si="1"/>
        <v/>
      </c>
      <c r="BP25" s="57" t="str">
        <f t="shared" ca="1" si="1"/>
        <v/>
      </c>
      <c r="BQ25" s="57" t="str">
        <f t="shared" ca="1" si="1"/>
        <v/>
      </c>
      <c r="BR25" s="57" t="str">
        <f t="shared" ca="1" si="1"/>
        <v/>
      </c>
      <c r="BS25" s="57" t="str">
        <f t="shared" ca="1" si="1"/>
        <v/>
      </c>
      <c r="BT25" s="57" t="str">
        <f t="shared" ca="1" si="1"/>
        <v/>
      </c>
      <c r="BU25" s="57" t="str">
        <f t="shared" ca="1" si="1"/>
        <v/>
      </c>
      <c r="BV25" s="57" t="str">
        <f t="shared" ca="1" si="1"/>
        <v/>
      </c>
      <c r="BW25" s="57" t="str">
        <f t="shared" ca="1" si="1"/>
        <v/>
      </c>
      <c r="BX25" s="57" t="str">
        <f t="shared" ca="1" si="1"/>
        <v/>
      </c>
      <c r="BY25" s="57" t="str">
        <f t="shared" ca="1" si="1"/>
        <v/>
      </c>
      <c r="BZ25" s="57" t="str">
        <f t="shared" ca="1" si="1"/>
        <v/>
      </c>
      <c r="CA25" s="57" t="str">
        <f t="shared" ca="1" si="1"/>
        <v/>
      </c>
      <c r="CB25" s="57"/>
    </row>
    <row r="26" spans="1:80" ht="4.5" customHeight="1" x14ac:dyDescent="0.2">
      <c r="A26" s="39" t="s">
        <v>35</v>
      </c>
      <c r="B26" s="12">
        <v>5</v>
      </c>
      <c r="C26" s="12">
        <v>136</v>
      </c>
      <c r="D26" s="49" t="s">
        <v>211</v>
      </c>
      <c r="AQ26" s="29"/>
      <c r="AR26" s="27"/>
      <c r="AS26" s="27"/>
      <c r="AT26" s="27"/>
      <c r="AU26" s="27"/>
      <c r="AV26" s="27"/>
      <c r="AW26" s="27"/>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row>
    <row r="27" spans="1:80" ht="18.75" customHeight="1" x14ac:dyDescent="0.2">
      <c r="A27" s="39" t="s">
        <v>36</v>
      </c>
      <c r="B27" s="12">
        <v>5</v>
      </c>
      <c r="C27" s="12">
        <v>136</v>
      </c>
      <c r="D27" s="49" t="s">
        <v>212</v>
      </c>
      <c r="AN27" s="12" t="str">
        <f>INDEX(g_lang_val,MATCH("le_2_1_3",g_lang_key,0))</f>
        <v>Procentdel aktiveret (pct.)</v>
      </c>
      <c r="AO27" s="12" t="str">
        <f>INDEX(g_lang_val,MATCH("le_2_1_4",g_lang_key,0))</f>
        <v>Procentdel eksterne (pct.)</v>
      </c>
      <c r="AQ27" s="29"/>
      <c r="AR27" s="160" t="str">
        <f>INDEX(g_lang_val,MATCH("so_2_1_2",g_lang_key,0))</f>
        <v>Analysefase</v>
      </c>
      <c r="AS27" s="66"/>
      <c r="AT27" s="66"/>
      <c r="AU27" s="66"/>
      <c r="AV27" s="66"/>
      <c r="AW27" s="66"/>
      <c r="AX27" s="177">
        <f t="shared" ref="AX27:CA27" ca="1" si="2">IF(AX$22="","",SUMIF($D:$D,$D27&amp;"_*",AX:AX))</f>
        <v>0</v>
      </c>
      <c r="AY27" s="177">
        <f t="shared" ca="1" si="2"/>
        <v>0</v>
      </c>
      <c r="AZ27" s="177">
        <f t="shared" ca="1" si="2"/>
        <v>0</v>
      </c>
      <c r="BA27" s="177">
        <f t="shared" ca="1" si="2"/>
        <v>0</v>
      </c>
      <c r="BB27" s="177">
        <f t="shared" ca="1" si="2"/>
        <v>0</v>
      </c>
      <c r="BC27" s="177" t="str">
        <f t="shared" ca="1" si="2"/>
        <v/>
      </c>
      <c r="BD27" s="177" t="str">
        <f t="shared" ca="1" si="2"/>
        <v/>
      </c>
      <c r="BE27" s="177" t="str">
        <f t="shared" ca="1" si="2"/>
        <v/>
      </c>
      <c r="BF27" s="177" t="str">
        <f t="shared" ca="1" si="2"/>
        <v/>
      </c>
      <c r="BG27" s="177" t="str">
        <f t="shared" ca="1" si="2"/>
        <v/>
      </c>
      <c r="BH27" s="177" t="str">
        <f t="shared" ca="1" si="2"/>
        <v/>
      </c>
      <c r="BI27" s="177" t="str">
        <f t="shared" ca="1" si="2"/>
        <v/>
      </c>
      <c r="BJ27" s="177" t="str">
        <f t="shared" ca="1" si="2"/>
        <v/>
      </c>
      <c r="BK27" s="177" t="str">
        <f t="shared" ca="1" si="2"/>
        <v/>
      </c>
      <c r="BL27" s="177" t="str">
        <f t="shared" ca="1" si="2"/>
        <v/>
      </c>
      <c r="BM27" s="177" t="str">
        <f t="shared" ca="1" si="2"/>
        <v/>
      </c>
      <c r="BN27" s="177" t="str">
        <f t="shared" ca="1" si="2"/>
        <v/>
      </c>
      <c r="BO27" s="177" t="str">
        <f t="shared" ca="1" si="2"/>
        <v/>
      </c>
      <c r="BP27" s="177" t="str">
        <f t="shared" ca="1" si="2"/>
        <v/>
      </c>
      <c r="BQ27" s="177" t="str">
        <f t="shared" ca="1" si="2"/>
        <v/>
      </c>
      <c r="BR27" s="177" t="str">
        <f t="shared" ca="1" si="2"/>
        <v/>
      </c>
      <c r="BS27" s="177" t="str">
        <f t="shared" ca="1" si="2"/>
        <v/>
      </c>
      <c r="BT27" s="177" t="str">
        <f t="shared" ca="1" si="2"/>
        <v/>
      </c>
      <c r="BU27" s="177" t="str">
        <f t="shared" ca="1" si="2"/>
        <v/>
      </c>
      <c r="BV27" s="177" t="str">
        <f t="shared" ca="1" si="2"/>
        <v/>
      </c>
      <c r="BW27" s="177" t="str">
        <f t="shared" ca="1" si="2"/>
        <v/>
      </c>
      <c r="BX27" s="177" t="str">
        <f t="shared" ca="1" si="2"/>
        <v/>
      </c>
      <c r="BY27" s="177" t="str">
        <f t="shared" ca="1" si="2"/>
        <v/>
      </c>
      <c r="BZ27" s="177" t="str">
        <f t="shared" ca="1" si="2"/>
        <v/>
      </c>
      <c r="CA27" s="177" t="str">
        <f t="shared" ca="1" si="2"/>
        <v/>
      </c>
      <c r="CB27" s="28"/>
    </row>
    <row r="28" spans="1:80" ht="15.75" customHeight="1" x14ac:dyDescent="0.2">
      <c r="A28" s="39" t="s">
        <v>37</v>
      </c>
      <c r="B28" s="12">
        <v>5</v>
      </c>
      <c r="C28" s="12">
        <v>136</v>
      </c>
      <c r="D28" s="49" t="s">
        <v>213</v>
      </c>
      <c r="F28" s="12" t="str">
        <f>IF(AT28&lt;&gt;"",MATCH(AT28,g_assets_sc_1,0),"")</f>
        <v/>
      </c>
      <c r="G28" s="12" t="str">
        <f t="shared" ref="G28:P32" si="3">IF(AX28="","-",AX28*$AU28*AX$56)</f>
        <v>-</v>
      </c>
      <c r="H28" s="12" t="str">
        <f t="shared" si="3"/>
        <v>-</v>
      </c>
      <c r="I28" s="12" t="str">
        <f t="shared" si="3"/>
        <v>-</v>
      </c>
      <c r="J28" s="12" t="str">
        <f t="shared" si="3"/>
        <v>-</v>
      </c>
      <c r="K28" s="12" t="str">
        <f t="shared" si="3"/>
        <v>-</v>
      </c>
      <c r="L28" s="12" t="str">
        <f t="shared" si="3"/>
        <v>-</v>
      </c>
      <c r="M28" s="12" t="str">
        <f t="shared" si="3"/>
        <v>-</v>
      </c>
      <c r="N28" s="12" t="str">
        <f t="shared" si="3"/>
        <v>-</v>
      </c>
      <c r="O28" s="12" t="str">
        <f t="shared" si="3"/>
        <v>-</v>
      </c>
      <c r="P28" s="12" t="str">
        <f t="shared" si="3"/>
        <v>-</v>
      </c>
      <c r="Q28" s="12" t="str">
        <f t="shared" ref="Q28:Z32" si="4">IF(BH28="","-",BH28*$AU28*BH$56)</f>
        <v>-</v>
      </c>
      <c r="R28" s="12" t="str">
        <f t="shared" si="4"/>
        <v>-</v>
      </c>
      <c r="S28" s="12" t="str">
        <f t="shared" si="4"/>
        <v>-</v>
      </c>
      <c r="T28" s="12" t="str">
        <f t="shared" si="4"/>
        <v>-</v>
      </c>
      <c r="U28" s="12" t="str">
        <f t="shared" si="4"/>
        <v>-</v>
      </c>
      <c r="V28" s="12" t="str">
        <f t="shared" si="4"/>
        <v>-</v>
      </c>
      <c r="W28" s="12" t="str">
        <f t="shared" si="4"/>
        <v>-</v>
      </c>
      <c r="X28" s="12" t="str">
        <f t="shared" si="4"/>
        <v>-</v>
      </c>
      <c r="Y28" s="12" t="str">
        <f t="shared" si="4"/>
        <v>-</v>
      </c>
      <c r="Z28" s="12" t="str">
        <f t="shared" si="4"/>
        <v>-</v>
      </c>
      <c r="AA28" s="12" t="str">
        <f t="shared" ref="AA28:AI32" si="5">IF(BR28="","-",BR28*$AU28*BR$56)</f>
        <v>-</v>
      </c>
      <c r="AB28" s="12" t="str">
        <f t="shared" si="5"/>
        <v>-</v>
      </c>
      <c r="AC28" s="12" t="str">
        <f t="shared" si="5"/>
        <v>-</v>
      </c>
      <c r="AD28" s="12" t="str">
        <f t="shared" si="5"/>
        <v>-</v>
      </c>
      <c r="AE28" s="12" t="str">
        <f t="shared" si="5"/>
        <v>-</v>
      </c>
      <c r="AF28" s="12" t="str">
        <f t="shared" si="5"/>
        <v>-</v>
      </c>
      <c r="AG28" s="12" t="str">
        <f t="shared" si="5"/>
        <v>-</v>
      </c>
      <c r="AH28" s="12" t="str">
        <f t="shared" si="5"/>
        <v>-</v>
      </c>
      <c r="AI28" s="12" t="str">
        <f t="shared" si="5"/>
        <v>-</v>
      </c>
      <c r="AJ28" s="12" t="str">
        <f>IF(BG28="","-",BG28*$AU28*BG$56)</f>
        <v>-</v>
      </c>
      <c r="AM28" s="169">
        <f ca="1">SUMPRODUCT(AX28:BQ28,AX$56:BQ$56)</f>
        <v>0</v>
      </c>
      <c r="AN28" s="12">
        <f ca="1">AM28*AU28</f>
        <v>0</v>
      </c>
      <c r="AO28" s="12">
        <f ca="1">AM28*AV28</f>
        <v>0</v>
      </c>
      <c r="AQ28" s="29"/>
      <c r="AR28" s="52" t="s">
        <v>182</v>
      </c>
      <c r="AS28" s="191"/>
      <c r="AT28" s="193"/>
      <c r="AU28" s="175">
        <v>0</v>
      </c>
      <c r="AV28" s="175">
        <v>0</v>
      </c>
      <c r="AW28" s="190" t="s">
        <v>424</v>
      </c>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6"/>
      <c r="BX28" s="166"/>
      <c r="BY28" s="166"/>
      <c r="BZ28" s="166"/>
      <c r="CA28" s="166"/>
      <c r="CB28" s="40"/>
    </row>
    <row r="29" spans="1:80" ht="15.75" customHeight="1" x14ac:dyDescent="0.2">
      <c r="A29" s="39" t="s">
        <v>37</v>
      </c>
      <c r="B29" s="12">
        <v>5</v>
      </c>
      <c r="C29" s="12">
        <v>136</v>
      </c>
      <c r="D29" s="49" t="s">
        <v>214</v>
      </c>
      <c r="F29" s="12" t="str">
        <f>IF(AT29&lt;&gt;"",MATCH(AT29,g_assets_sc_1,0),"")</f>
        <v/>
      </c>
      <c r="G29" s="12" t="str">
        <f t="shared" si="3"/>
        <v>-</v>
      </c>
      <c r="H29" s="12" t="str">
        <f t="shared" si="3"/>
        <v>-</v>
      </c>
      <c r="I29" s="12" t="str">
        <f t="shared" si="3"/>
        <v>-</v>
      </c>
      <c r="J29" s="12" t="str">
        <f t="shared" si="3"/>
        <v>-</v>
      </c>
      <c r="K29" s="12" t="str">
        <f t="shared" si="3"/>
        <v>-</v>
      </c>
      <c r="L29" s="12" t="str">
        <f t="shared" si="3"/>
        <v>-</v>
      </c>
      <c r="M29" s="12" t="str">
        <f t="shared" si="3"/>
        <v>-</v>
      </c>
      <c r="N29" s="12" t="str">
        <f t="shared" si="3"/>
        <v>-</v>
      </c>
      <c r="O29" s="12" t="str">
        <f t="shared" si="3"/>
        <v>-</v>
      </c>
      <c r="P29" s="12" t="str">
        <f t="shared" si="3"/>
        <v>-</v>
      </c>
      <c r="Q29" s="12" t="str">
        <f t="shared" si="4"/>
        <v>-</v>
      </c>
      <c r="R29" s="12" t="str">
        <f t="shared" si="4"/>
        <v>-</v>
      </c>
      <c r="S29" s="12" t="str">
        <f t="shared" si="4"/>
        <v>-</v>
      </c>
      <c r="T29" s="12" t="str">
        <f t="shared" si="4"/>
        <v>-</v>
      </c>
      <c r="U29" s="12" t="str">
        <f t="shared" si="4"/>
        <v>-</v>
      </c>
      <c r="V29" s="12" t="str">
        <f t="shared" si="4"/>
        <v>-</v>
      </c>
      <c r="W29" s="12" t="str">
        <f t="shared" si="4"/>
        <v>-</v>
      </c>
      <c r="X29" s="12" t="str">
        <f t="shared" si="4"/>
        <v>-</v>
      </c>
      <c r="Y29" s="12" t="str">
        <f t="shared" si="4"/>
        <v>-</v>
      </c>
      <c r="Z29" s="12" t="str">
        <f t="shared" si="4"/>
        <v>-</v>
      </c>
      <c r="AA29" s="12" t="str">
        <f t="shared" si="5"/>
        <v>-</v>
      </c>
      <c r="AB29" s="12" t="str">
        <f t="shared" si="5"/>
        <v>-</v>
      </c>
      <c r="AC29" s="12" t="str">
        <f t="shared" si="5"/>
        <v>-</v>
      </c>
      <c r="AD29" s="12" t="str">
        <f t="shared" si="5"/>
        <v>-</v>
      </c>
      <c r="AE29" s="12" t="str">
        <f t="shared" si="5"/>
        <v>-</v>
      </c>
      <c r="AF29" s="12" t="str">
        <f t="shared" si="5"/>
        <v>-</v>
      </c>
      <c r="AG29" s="12" t="str">
        <f t="shared" si="5"/>
        <v>-</v>
      </c>
      <c r="AH29" s="12" t="str">
        <f t="shared" si="5"/>
        <v>-</v>
      </c>
      <c r="AI29" s="12" t="str">
        <f t="shared" si="5"/>
        <v>-</v>
      </c>
      <c r="AJ29" s="12" t="str">
        <f>IF(BG29="","-",BG29*$AU29*BG$56)</f>
        <v>-</v>
      </c>
      <c r="AM29" s="169">
        <f ca="1">SUMPRODUCT(AX29:BQ29,AX$56:BQ$56)</f>
        <v>0</v>
      </c>
      <c r="AN29" s="12">
        <f t="shared" ref="AN29:AN32" ca="1" si="6">AM29*AU29</f>
        <v>0</v>
      </c>
      <c r="AO29" s="12">
        <f ca="1">AM29*AV29</f>
        <v>0</v>
      </c>
      <c r="AQ29" s="29"/>
      <c r="AR29" s="52" t="s">
        <v>183</v>
      </c>
      <c r="AS29" s="191"/>
      <c r="AT29" s="193"/>
      <c r="AU29" s="175">
        <v>0</v>
      </c>
      <c r="AV29" s="175">
        <v>0</v>
      </c>
      <c r="AW29" s="190" t="s">
        <v>424</v>
      </c>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6"/>
      <c r="BY29" s="166"/>
      <c r="BZ29" s="166"/>
      <c r="CA29" s="166"/>
      <c r="CB29" s="40"/>
    </row>
    <row r="30" spans="1:80" ht="15.75" customHeight="1" x14ac:dyDescent="0.2">
      <c r="A30" s="39" t="s">
        <v>37</v>
      </c>
      <c r="B30" s="12">
        <v>5</v>
      </c>
      <c r="C30" s="12">
        <v>136</v>
      </c>
      <c r="D30" s="49" t="s">
        <v>215</v>
      </c>
      <c r="F30" s="12" t="str">
        <f>IF(AT30&lt;&gt;"",MATCH(AT30,g_assets_sc_1,0),"")</f>
        <v/>
      </c>
      <c r="G30" s="12" t="str">
        <f t="shared" si="3"/>
        <v>-</v>
      </c>
      <c r="H30" s="12" t="str">
        <f t="shared" si="3"/>
        <v>-</v>
      </c>
      <c r="I30" s="12" t="str">
        <f t="shared" si="3"/>
        <v>-</v>
      </c>
      <c r="J30" s="12" t="str">
        <f t="shared" si="3"/>
        <v>-</v>
      </c>
      <c r="K30" s="12" t="str">
        <f t="shared" si="3"/>
        <v>-</v>
      </c>
      <c r="L30" s="12" t="str">
        <f t="shared" si="3"/>
        <v>-</v>
      </c>
      <c r="M30" s="12" t="str">
        <f t="shared" si="3"/>
        <v>-</v>
      </c>
      <c r="N30" s="12" t="str">
        <f t="shared" si="3"/>
        <v>-</v>
      </c>
      <c r="O30" s="12" t="str">
        <f t="shared" si="3"/>
        <v>-</v>
      </c>
      <c r="P30" s="12" t="str">
        <f t="shared" si="3"/>
        <v>-</v>
      </c>
      <c r="Q30" s="12" t="str">
        <f t="shared" si="4"/>
        <v>-</v>
      </c>
      <c r="R30" s="12" t="str">
        <f t="shared" si="4"/>
        <v>-</v>
      </c>
      <c r="S30" s="12" t="str">
        <f t="shared" si="4"/>
        <v>-</v>
      </c>
      <c r="T30" s="12" t="str">
        <f t="shared" si="4"/>
        <v>-</v>
      </c>
      <c r="U30" s="12" t="str">
        <f t="shared" si="4"/>
        <v>-</v>
      </c>
      <c r="V30" s="12" t="str">
        <f t="shared" si="4"/>
        <v>-</v>
      </c>
      <c r="W30" s="12" t="str">
        <f t="shared" si="4"/>
        <v>-</v>
      </c>
      <c r="X30" s="12" t="str">
        <f t="shared" si="4"/>
        <v>-</v>
      </c>
      <c r="Y30" s="12" t="str">
        <f t="shared" si="4"/>
        <v>-</v>
      </c>
      <c r="Z30" s="12" t="str">
        <f t="shared" si="4"/>
        <v>-</v>
      </c>
      <c r="AA30" s="12" t="str">
        <f t="shared" si="5"/>
        <v>-</v>
      </c>
      <c r="AB30" s="12" t="str">
        <f t="shared" si="5"/>
        <v>-</v>
      </c>
      <c r="AC30" s="12" t="str">
        <f t="shared" si="5"/>
        <v>-</v>
      </c>
      <c r="AD30" s="12" t="str">
        <f t="shared" si="5"/>
        <v>-</v>
      </c>
      <c r="AE30" s="12" t="str">
        <f t="shared" si="5"/>
        <v>-</v>
      </c>
      <c r="AF30" s="12" t="str">
        <f t="shared" si="5"/>
        <v>-</v>
      </c>
      <c r="AG30" s="12" t="str">
        <f t="shared" si="5"/>
        <v>-</v>
      </c>
      <c r="AH30" s="12" t="str">
        <f t="shared" si="5"/>
        <v>-</v>
      </c>
      <c r="AI30" s="12" t="str">
        <f t="shared" si="5"/>
        <v>-</v>
      </c>
      <c r="AJ30" s="12" t="str">
        <f>IF(BG30="","-",BG30*$AU30*BG$56)</f>
        <v>-</v>
      </c>
      <c r="AM30" s="169">
        <f ca="1">SUMPRODUCT(AX30:BQ30,AX$56:BQ$56)</f>
        <v>0</v>
      </c>
      <c r="AN30" s="12">
        <f t="shared" ca="1" si="6"/>
        <v>0</v>
      </c>
      <c r="AO30" s="12">
        <f ca="1">AM30*AV30</f>
        <v>0</v>
      </c>
      <c r="AQ30" s="29"/>
      <c r="AR30" s="52" t="s">
        <v>184</v>
      </c>
      <c r="AS30" s="191"/>
      <c r="AT30" s="193"/>
      <c r="AU30" s="175">
        <v>0</v>
      </c>
      <c r="AV30" s="175">
        <v>0</v>
      </c>
      <c r="AW30" s="190" t="s">
        <v>424</v>
      </c>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6"/>
      <c r="CA30" s="166"/>
      <c r="CB30" s="40"/>
    </row>
    <row r="31" spans="1:80" ht="15.75" customHeight="1" x14ac:dyDescent="0.2">
      <c r="A31" s="39" t="s">
        <v>37</v>
      </c>
      <c r="B31" s="12">
        <v>5</v>
      </c>
      <c r="C31" s="12">
        <v>136</v>
      </c>
      <c r="D31" s="49" t="s">
        <v>216</v>
      </c>
      <c r="F31" s="12" t="str">
        <f>IF(AT31&lt;&gt;"",MATCH(AT31,g_assets_sc_1,0),"")</f>
        <v/>
      </c>
      <c r="G31" s="12" t="str">
        <f t="shared" si="3"/>
        <v>-</v>
      </c>
      <c r="H31" s="12" t="str">
        <f t="shared" si="3"/>
        <v>-</v>
      </c>
      <c r="I31" s="12" t="str">
        <f t="shared" si="3"/>
        <v>-</v>
      </c>
      <c r="J31" s="12" t="str">
        <f t="shared" si="3"/>
        <v>-</v>
      </c>
      <c r="K31" s="12" t="str">
        <f t="shared" si="3"/>
        <v>-</v>
      </c>
      <c r="L31" s="12" t="str">
        <f t="shared" si="3"/>
        <v>-</v>
      </c>
      <c r="M31" s="12" t="str">
        <f t="shared" si="3"/>
        <v>-</v>
      </c>
      <c r="N31" s="12" t="str">
        <f t="shared" si="3"/>
        <v>-</v>
      </c>
      <c r="O31" s="12" t="str">
        <f t="shared" si="3"/>
        <v>-</v>
      </c>
      <c r="P31" s="12" t="str">
        <f t="shared" si="3"/>
        <v>-</v>
      </c>
      <c r="Q31" s="12" t="str">
        <f t="shared" si="4"/>
        <v>-</v>
      </c>
      <c r="R31" s="12" t="str">
        <f t="shared" si="4"/>
        <v>-</v>
      </c>
      <c r="S31" s="12" t="str">
        <f t="shared" si="4"/>
        <v>-</v>
      </c>
      <c r="T31" s="12" t="str">
        <f t="shared" si="4"/>
        <v>-</v>
      </c>
      <c r="U31" s="12" t="str">
        <f t="shared" si="4"/>
        <v>-</v>
      </c>
      <c r="V31" s="12" t="str">
        <f t="shared" si="4"/>
        <v>-</v>
      </c>
      <c r="W31" s="12" t="str">
        <f t="shared" si="4"/>
        <v>-</v>
      </c>
      <c r="X31" s="12" t="str">
        <f t="shared" si="4"/>
        <v>-</v>
      </c>
      <c r="Y31" s="12" t="str">
        <f t="shared" si="4"/>
        <v>-</v>
      </c>
      <c r="Z31" s="12" t="str">
        <f t="shared" si="4"/>
        <v>-</v>
      </c>
      <c r="AA31" s="12" t="str">
        <f t="shared" si="5"/>
        <v>-</v>
      </c>
      <c r="AB31" s="12" t="str">
        <f t="shared" si="5"/>
        <v>-</v>
      </c>
      <c r="AC31" s="12" t="str">
        <f t="shared" si="5"/>
        <v>-</v>
      </c>
      <c r="AD31" s="12" t="str">
        <f t="shared" si="5"/>
        <v>-</v>
      </c>
      <c r="AE31" s="12" t="str">
        <f t="shared" si="5"/>
        <v>-</v>
      </c>
      <c r="AF31" s="12" t="str">
        <f t="shared" si="5"/>
        <v>-</v>
      </c>
      <c r="AG31" s="12" t="str">
        <f t="shared" si="5"/>
        <v>-</v>
      </c>
      <c r="AH31" s="12" t="str">
        <f t="shared" si="5"/>
        <v>-</v>
      </c>
      <c r="AI31" s="12" t="str">
        <f t="shared" si="5"/>
        <v>-</v>
      </c>
      <c r="AJ31" s="12" t="str">
        <f>IF(BG31="","-",BG31*$AU31*BG$56)</f>
        <v>-</v>
      </c>
      <c r="AM31" s="169">
        <f ca="1">SUMPRODUCT(AX31:BQ31,AX$56:BQ$56)</f>
        <v>0</v>
      </c>
      <c r="AN31" s="12">
        <f t="shared" ca="1" si="6"/>
        <v>0</v>
      </c>
      <c r="AO31" s="12">
        <f ca="1">AM31*AV31</f>
        <v>0</v>
      </c>
      <c r="AQ31" s="29"/>
      <c r="AR31" s="52" t="s">
        <v>185</v>
      </c>
      <c r="AS31" s="191"/>
      <c r="AT31" s="193"/>
      <c r="AU31" s="175">
        <v>0</v>
      </c>
      <c r="AV31" s="175">
        <v>0</v>
      </c>
      <c r="AW31" s="190" t="s">
        <v>424</v>
      </c>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c r="CB31" s="40"/>
    </row>
    <row r="32" spans="1:80" ht="15.75" customHeight="1" x14ac:dyDescent="0.2">
      <c r="A32" s="39" t="s">
        <v>37</v>
      </c>
      <c r="B32" s="12">
        <v>5</v>
      </c>
      <c r="C32" s="12">
        <v>136</v>
      </c>
      <c r="D32" s="49" t="s">
        <v>269</v>
      </c>
      <c r="F32" s="12" t="str">
        <f>IF(AT32&lt;&gt;"",MATCH(AT32,g_assets_sc_1,0),"")</f>
        <v/>
      </c>
      <c r="G32" s="12" t="str">
        <f t="shared" si="3"/>
        <v>-</v>
      </c>
      <c r="H32" s="12" t="str">
        <f t="shared" si="3"/>
        <v>-</v>
      </c>
      <c r="I32" s="12" t="str">
        <f t="shared" si="3"/>
        <v>-</v>
      </c>
      <c r="J32" s="12" t="str">
        <f t="shared" si="3"/>
        <v>-</v>
      </c>
      <c r="K32" s="12" t="str">
        <f t="shared" si="3"/>
        <v>-</v>
      </c>
      <c r="L32" s="12" t="str">
        <f t="shared" si="3"/>
        <v>-</v>
      </c>
      <c r="M32" s="12" t="str">
        <f t="shared" si="3"/>
        <v>-</v>
      </c>
      <c r="N32" s="12" t="str">
        <f t="shared" si="3"/>
        <v>-</v>
      </c>
      <c r="O32" s="12" t="str">
        <f t="shared" si="3"/>
        <v>-</v>
      </c>
      <c r="P32" s="12" t="str">
        <f t="shared" si="3"/>
        <v>-</v>
      </c>
      <c r="Q32" s="12" t="str">
        <f t="shared" si="4"/>
        <v>-</v>
      </c>
      <c r="R32" s="12" t="str">
        <f t="shared" si="4"/>
        <v>-</v>
      </c>
      <c r="S32" s="12" t="str">
        <f t="shared" si="4"/>
        <v>-</v>
      </c>
      <c r="T32" s="12" t="str">
        <f t="shared" si="4"/>
        <v>-</v>
      </c>
      <c r="U32" s="12" t="str">
        <f t="shared" si="4"/>
        <v>-</v>
      </c>
      <c r="V32" s="12" t="str">
        <f t="shared" si="4"/>
        <v>-</v>
      </c>
      <c r="W32" s="12" t="str">
        <f t="shared" si="4"/>
        <v>-</v>
      </c>
      <c r="X32" s="12" t="str">
        <f t="shared" si="4"/>
        <v>-</v>
      </c>
      <c r="Y32" s="12" t="str">
        <f t="shared" si="4"/>
        <v>-</v>
      </c>
      <c r="Z32" s="12" t="str">
        <f t="shared" si="4"/>
        <v>-</v>
      </c>
      <c r="AA32" s="12" t="str">
        <f t="shared" si="5"/>
        <v>-</v>
      </c>
      <c r="AB32" s="12" t="str">
        <f t="shared" si="5"/>
        <v>-</v>
      </c>
      <c r="AC32" s="12" t="str">
        <f t="shared" si="5"/>
        <v>-</v>
      </c>
      <c r="AD32" s="12" t="str">
        <f t="shared" si="5"/>
        <v>-</v>
      </c>
      <c r="AE32" s="12" t="str">
        <f t="shared" si="5"/>
        <v>-</v>
      </c>
      <c r="AF32" s="12" t="str">
        <f t="shared" si="5"/>
        <v>-</v>
      </c>
      <c r="AG32" s="12" t="str">
        <f t="shared" si="5"/>
        <v>-</v>
      </c>
      <c r="AH32" s="12" t="str">
        <f t="shared" si="5"/>
        <v>-</v>
      </c>
      <c r="AI32" s="12" t="str">
        <f t="shared" si="5"/>
        <v>-</v>
      </c>
      <c r="AJ32" s="12" t="str">
        <f>IF(BG32="","-",BG32*$AU32*BG$56)</f>
        <v>-</v>
      </c>
      <c r="AM32" s="169">
        <f ca="1">SUMPRODUCT(AX32:BQ32,AX$56:BQ$56)</f>
        <v>0</v>
      </c>
      <c r="AN32" s="12">
        <f t="shared" ca="1" si="6"/>
        <v>0</v>
      </c>
      <c r="AO32" s="12">
        <f ca="1">AM32*AV32</f>
        <v>0</v>
      </c>
      <c r="AQ32" s="29"/>
      <c r="AR32" s="52" t="s">
        <v>186</v>
      </c>
      <c r="AS32" s="192"/>
      <c r="AT32" s="193"/>
      <c r="AU32" s="175">
        <v>0</v>
      </c>
      <c r="AV32" s="176">
        <v>0</v>
      </c>
      <c r="AW32" s="190" t="s">
        <v>424</v>
      </c>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row>
    <row r="33" spans="1:80" ht="18.75" customHeight="1" x14ac:dyDescent="0.2">
      <c r="A33" s="39" t="s">
        <v>36</v>
      </c>
      <c r="B33" s="12">
        <v>5</v>
      </c>
      <c r="C33" s="12">
        <v>136</v>
      </c>
      <c r="D33" s="49" t="s">
        <v>218</v>
      </c>
      <c r="AQ33" s="29"/>
      <c r="AR33" s="160" t="str">
        <f>INDEX(g_lang_val,MATCH("so_2_1_3",g_lang_key,0))</f>
        <v>Gennemførelsesfase</v>
      </c>
      <c r="AS33" s="66"/>
      <c r="AT33" s="66"/>
      <c r="AU33" s="93"/>
      <c r="AV33" s="93"/>
      <c r="AW33" s="85"/>
      <c r="AX33" s="177">
        <f t="shared" ref="AX33:CA33" ca="1" si="7">IF(AX$22="","",SUMIF($D:$D,$D33&amp;"_*",AX:AX))</f>
        <v>0</v>
      </c>
      <c r="AY33" s="177">
        <f t="shared" ca="1" si="7"/>
        <v>0</v>
      </c>
      <c r="AZ33" s="177">
        <f t="shared" ca="1" si="7"/>
        <v>0</v>
      </c>
      <c r="BA33" s="177">
        <f t="shared" ca="1" si="7"/>
        <v>0</v>
      </c>
      <c r="BB33" s="177">
        <f t="shared" ca="1" si="7"/>
        <v>0</v>
      </c>
      <c r="BC33" s="177" t="str">
        <f t="shared" ca="1" si="7"/>
        <v/>
      </c>
      <c r="BD33" s="177" t="str">
        <f t="shared" ca="1" si="7"/>
        <v/>
      </c>
      <c r="BE33" s="177" t="str">
        <f t="shared" ca="1" si="7"/>
        <v/>
      </c>
      <c r="BF33" s="177" t="str">
        <f t="shared" ca="1" si="7"/>
        <v/>
      </c>
      <c r="BG33" s="177" t="str">
        <f t="shared" ca="1" si="7"/>
        <v/>
      </c>
      <c r="BH33" s="177" t="str">
        <f t="shared" ca="1" si="7"/>
        <v/>
      </c>
      <c r="BI33" s="177" t="str">
        <f t="shared" ca="1" si="7"/>
        <v/>
      </c>
      <c r="BJ33" s="177" t="str">
        <f t="shared" ca="1" si="7"/>
        <v/>
      </c>
      <c r="BK33" s="177" t="str">
        <f t="shared" ca="1" si="7"/>
        <v/>
      </c>
      <c r="BL33" s="177" t="str">
        <f t="shared" ca="1" si="7"/>
        <v/>
      </c>
      <c r="BM33" s="177" t="str">
        <f t="shared" ca="1" si="7"/>
        <v/>
      </c>
      <c r="BN33" s="177" t="str">
        <f t="shared" ca="1" si="7"/>
        <v/>
      </c>
      <c r="BO33" s="177" t="str">
        <f t="shared" ca="1" si="7"/>
        <v/>
      </c>
      <c r="BP33" s="177" t="str">
        <f t="shared" ca="1" si="7"/>
        <v/>
      </c>
      <c r="BQ33" s="177" t="str">
        <f t="shared" ca="1" si="7"/>
        <v/>
      </c>
      <c r="BR33" s="177" t="str">
        <f t="shared" ca="1" si="7"/>
        <v/>
      </c>
      <c r="BS33" s="177" t="str">
        <f t="shared" ca="1" si="7"/>
        <v/>
      </c>
      <c r="BT33" s="177" t="str">
        <f t="shared" ca="1" si="7"/>
        <v/>
      </c>
      <c r="BU33" s="177" t="str">
        <f t="shared" ca="1" si="7"/>
        <v/>
      </c>
      <c r="BV33" s="177" t="str">
        <f t="shared" ca="1" si="7"/>
        <v/>
      </c>
      <c r="BW33" s="177" t="str">
        <f t="shared" ca="1" si="7"/>
        <v/>
      </c>
      <c r="BX33" s="177" t="str">
        <f t="shared" ca="1" si="7"/>
        <v/>
      </c>
      <c r="BY33" s="177" t="str">
        <f t="shared" ca="1" si="7"/>
        <v/>
      </c>
      <c r="BZ33" s="177" t="str">
        <f t="shared" ca="1" si="7"/>
        <v/>
      </c>
      <c r="CA33" s="177" t="str">
        <f t="shared" ca="1" si="7"/>
        <v/>
      </c>
      <c r="CB33" s="28"/>
    </row>
    <row r="34" spans="1:80" ht="15.75" customHeight="1" x14ac:dyDescent="0.2">
      <c r="A34" s="39" t="s">
        <v>37</v>
      </c>
      <c r="B34" s="12">
        <v>5</v>
      </c>
      <c r="C34" s="12">
        <v>136</v>
      </c>
      <c r="D34" s="49" t="s">
        <v>219</v>
      </c>
      <c r="F34" s="12">
        <f t="shared" ref="F34:F48" si="8">IF(AT34&lt;&gt;"",MATCH(AT34,g_assets_sc_1,0),"")</f>
        <v>1</v>
      </c>
      <c r="G34" s="12" t="str">
        <f t="shared" ref="G34:G48" si="9">IF(AX34="","-",AX34*$AU34*AX$56)</f>
        <v>-</v>
      </c>
      <c r="H34" s="12" t="str">
        <f t="shared" ref="H34:H48" si="10">IF(AY34="","-",AY34*$AU34*AY$56)</f>
        <v>-</v>
      </c>
      <c r="I34" s="12" t="str">
        <f t="shared" ref="I34:I48" si="11">IF(AZ34="","-",AZ34*$AU34*AZ$56)</f>
        <v>-</v>
      </c>
      <c r="J34" s="12" t="str">
        <f t="shared" ref="J34:J48" si="12">IF(BA34="","-",BA34*$AU34*BA$56)</f>
        <v>-</v>
      </c>
      <c r="K34" s="12" t="str">
        <f t="shared" ref="K34:K48" si="13">IF(BB34="","-",BB34*$AU34*BB$56)</f>
        <v>-</v>
      </c>
      <c r="L34" s="12" t="str">
        <f t="shared" ref="L34:L48" si="14">IF(BC34="","-",BC34*$AU34*BC$56)</f>
        <v>-</v>
      </c>
      <c r="M34" s="12" t="str">
        <f t="shared" ref="M34:M48" si="15">IF(BD34="","-",BD34*$AU34*BD$56)</f>
        <v>-</v>
      </c>
      <c r="N34" s="12" t="str">
        <f t="shared" ref="N34:N48" si="16">IF(BE34="","-",BE34*$AU34*BE$56)</f>
        <v>-</v>
      </c>
      <c r="O34" s="12" t="str">
        <f t="shared" ref="O34:O48" si="17">IF(BF34="","-",BF34*$AU34*BF$56)</f>
        <v>-</v>
      </c>
      <c r="P34" s="12" t="str">
        <f t="shared" ref="P34:P48" si="18">IF(BG34="","-",BG34*$AU34*BG$56)</f>
        <v>-</v>
      </c>
      <c r="Q34" s="12" t="str">
        <f t="shared" ref="Q34:Q48" si="19">IF(BH34="","-",BH34*$AU34*BH$56)</f>
        <v>-</v>
      </c>
      <c r="R34" s="12" t="str">
        <f t="shared" ref="R34:R48" si="20">IF(BI34="","-",BI34*$AU34*BI$56)</f>
        <v>-</v>
      </c>
      <c r="S34" s="12" t="str">
        <f t="shared" ref="S34:S48" si="21">IF(BJ34="","-",BJ34*$AU34*BJ$56)</f>
        <v>-</v>
      </c>
      <c r="T34" s="12" t="str">
        <f t="shared" ref="T34:T48" si="22">IF(BK34="","-",BK34*$AU34*BK$56)</f>
        <v>-</v>
      </c>
      <c r="U34" s="12" t="str">
        <f t="shared" ref="U34:U48" si="23">IF(BL34="","-",BL34*$AU34*BL$56)</f>
        <v>-</v>
      </c>
      <c r="V34" s="12" t="str">
        <f t="shared" ref="V34:V48" si="24">IF(BM34="","-",BM34*$AU34*BM$56)</f>
        <v>-</v>
      </c>
      <c r="W34" s="12" t="str">
        <f t="shared" ref="W34:W48" si="25">IF(BN34="","-",BN34*$AU34*BN$56)</f>
        <v>-</v>
      </c>
      <c r="X34" s="12" t="str">
        <f t="shared" ref="X34:X48" si="26">IF(BO34="","-",BO34*$AU34*BO$56)</f>
        <v>-</v>
      </c>
      <c r="Y34" s="12" t="str">
        <f t="shared" ref="Y34:Y48" si="27">IF(BP34="","-",BP34*$AU34*BP$56)</f>
        <v>-</v>
      </c>
      <c r="Z34" s="12" t="str">
        <f t="shared" ref="Z34:Z48" si="28">IF(BQ34="","-",BQ34*$AU34*BQ$56)</f>
        <v>-</v>
      </c>
      <c r="AA34" s="12" t="str">
        <f t="shared" ref="AA34:AA48" si="29">IF(BR34="","-",BR34*$AU34*BR$56)</f>
        <v>-</v>
      </c>
      <c r="AB34" s="12" t="str">
        <f t="shared" ref="AB34:AB48" si="30">IF(BS34="","-",BS34*$AU34*BS$56)</f>
        <v>-</v>
      </c>
      <c r="AC34" s="12" t="str">
        <f t="shared" ref="AC34:AC48" si="31">IF(BT34="","-",BT34*$AU34*BT$56)</f>
        <v>-</v>
      </c>
      <c r="AD34" s="12" t="str">
        <f t="shared" ref="AD34:AD48" si="32">IF(BU34="","-",BU34*$AU34*BU$56)</f>
        <v>-</v>
      </c>
      <c r="AE34" s="12" t="str">
        <f t="shared" ref="AE34:AE48" si="33">IF(BV34="","-",BV34*$AU34*BV$56)</f>
        <v>-</v>
      </c>
      <c r="AF34" s="12" t="str">
        <f t="shared" ref="AF34:AF48" si="34">IF(BW34="","-",BW34*$AU34*BW$56)</f>
        <v>-</v>
      </c>
      <c r="AG34" s="12" t="str">
        <f t="shared" ref="AG34:AG48" si="35">IF(BX34="","-",BX34*$AU34*BX$56)</f>
        <v>-</v>
      </c>
      <c r="AH34" s="12" t="str">
        <f t="shared" ref="AH34:AH48" si="36">IF(BY34="","-",BY34*$AU34*BY$56)</f>
        <v>-</v>
      </c>
      <c r="AI34" s="12" t="str">
        <f t="shared" ref="AI34:AI48" si="37">IF(BZ34="","-",BZ34*$AU34*BZ$56)</f>
        <v>-</v>
      </c>
      <c r="AJ34" s="12" t="str">
        <f t="shared" ref="AJ34:AJ48" si="38">IF(BG34="","-",BG34*$AU34*BG$56)</f>
        <v>-</v>
      </c>
      <c r="AM34" s="169">
        <f t="shared" ref="AM34:AM48" ca="1" si="39">SUMPRODUCT(AX34:BQ34,AX$56:BQ$56)</f>
        <v>0</v>
      </c>
      <c r="AN34" s="12">
        <f t="shared" ref="AN34:AN48" ca="1" si="40">AM34*AU34</f>
        <v>0</v>
      </c>
      <c r="AO34" s="12">
        <f t="shared" ref="AO34:AO48" ca="1" si="41">AM34*AV34</f>
        <v>0</v>
      </c>
      <c r="AQ34" s="29"/>
      <c r="AR34" s="52" t="s">
        <v>187</v>
      </c>
      <c r="AS34" s="191"/>
      <c r="AT34" s="193" t="s">
        <v>93</v>
      </c>
      <c r="AU34" s="175">
        <v>0</v>
      </c>
      <c r="AV34" s="175">
        <v>0</v>
      </c>
      <c r="AW34" s="190" t="s">
        <v>424</v>
      </c>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66"/>
      <c r="BZ34" s="166"/>
      <c r="CA34" s="166"/>
      <c r="CB34" s="40"/>
    </row>
    <row r="35" spans="1:80" ht="15.75" customHeight="1" x14ac:dyDescent="0.2">
      <c r="A35" s="39" t="s">
        <v>37</v>
      </c>
      <c r="B35" s="12">
        <v>5</v>
      </c>
      <c r="C35" s="12">
        <v>136</v>
      </c>
      <c r="D35" s="49" t="s">
        <v>220</v>
      </c>
      <c r="F35" s="12">
        <f t="shared" si="8"/>
        <v>1</v>
      </c>
      <c r="G35" s="12" t="str">
        <f t="shared" si="9"/>
        <v>-</v>
      </c>
      <c r="H35" s="12" t="str">
        <f t="shared" si="10"/>
        <v>-</v>
      </c>
      <c r="I35" s="12" t="str">
        <f t="shared" si="11"/>
        <v>-</v>
      </c>
      <c r="J35" s="12" t="str">
        <f t="shared" si="12"/>
        <v>-</v>
      </c>
      <c r="K35" s="12" t="str">
        <f t="shared" si="13"/>
        <v>-</v>
      </c>
      <c r="L35" s="12" t="str">
        <f t="shared" si="14"/>
        <v>-</v>
      </c>
      <c r="M35" s="12" t="str">
        <f t="shared" si="15"/>
        <v>-</v>
      </c>
      <c r="N35" s="12" t="str">
        <f t="shared" si="16"/>
        <v>-</v>
      </c>
      <c r="O35" s="12" t="str">
        <f t="shared" si="17"/>
        <v>-</v>
      </c>
      <c r="P35" s="12" t="str">
        <f t="shared" si="18"/>
        <v>-</v>
      </c>
      <c r="Q35" s="12" t="str">
        <f t="shared" si="19"/>
        <v>-</v>
      </c>
      <c r="R35" s="12" t="str">
        <f t="shared" si="20"/>
        <v>-</v>
      </c>
      <c r="S35" s="12" t="str">
        <f t="shared" si="21"/>
        <v>-</v>
      </c>
      <c r="T35" s="12" t="str">
        <f t="shared" si="22"/>
        <v>-</v>
      </c>
      <c r="U35" s="12" t="str">
        <f t="shared" si="23"/>
        <v>-</v>
      </c>
      <c r="V35" s="12" t="str">
        <f t="shared" si="24"/>
        <v>-</v>
      </c>
      <c r="W35" s="12" t="str">
        <f t="shared" si="25"/>
        <v>-</v>
      </c>
      <c r="X35" s="12" t="str">
        <f t="shared" si="26"/>
        <v>-</v>
      </c>
      <c r="Y35" s="12" t="str">
        <f t="shared" si="27"/>
        <v>-</v>
      </c>
      <c r="Z35" s="12" t="str">
        <f t="shared" si="28"/>
        <v>-</v>
      </c>
      <c r="AA35" s="12" t="str">
        <f t="shared" si="29"/>
        <v>-</v>
      </c>
      <c r="AB35" s="12" t="str">
        <f t="shared" si="30"/>
        <v>-</v>
      </c>
      <c r="AC35" s="12" t="str">
        <f t="shared" si="31"/>
        <v>-</v>
      </c>
      <c r="AD35" s="12" t="str">
        <f t="shared" si="32"/>
        <v>-</v>
      </c>
      <c r="AE35" s="12" t="str">
        <f t="shared" si="33"/>
        <v>-</v>
      </c>
      <c r="AF35" s="12" t="str">
        <f t="shared" si="34"/>
        <v>-</v>
      </c>
      <c r="AG35" s="12" t="str">
        <f t="shared" si="35"/>
        <v>-</v>
      </c>
      <c r="AH35" s="12" t="str">
        <f t="shared" si="36"/>
        <v>-</v>
      </c>
      <c r="AI35" s="12" t="str">
        <f t="shared" si="37"/>
        <v>-</v>
      </c>
      <c r="AJ35" s="12" t="str">
        <f t="shared" si="38"/>
        <v>-</v>
      </c>
      <c r="AM35" s="169">
        <f t="shared" ca="1" si="39"/>
        <v>0</v>
      </c>
      <c r="AN35" s="12">
        <f t="shared" ca="1" si="40"/>
        <v>0</v>
      </c>
      <c r="AO35" s="12">
        <f t="shared" ca="1" si="41"/>
        <v>0</v>
      </c>
      <c r="AQ35" s="29"/>
      <c r="AR35" s="52" t="s">
        <v>188</v>
      </c>
      <c r="AS35" s="191"/>
      <c r="AT35" s="193" t="s">
        <v>93</v>
      </c>
      <c r="AU35" s="175">
        <v>0</v>
      </c>
      <c r="AV35" s="175">
        <v>0</v>
      </c>
      <c r="AW35" s="190" t="s">
        <v>424</v>
      </c>
      <c r="AX35" s="166"/>
      <c r="AY35" s="166"/>
      <c r="AZ35" s="166"/>
      <c r="BA35" s="166"/>
      <c r="BB35" s="166"/>
      <c r="BC35" s="166"/>
      <c r="BD35" s="166"/>
      <c r="BE35" s="166"/>
      <c r="BF35" s="166"/>
      <c r="BG35" s="166"/>
      <c r="BH35" s="166"/>
      <c r="BI35" s="166"/>
      <c r="BJ35" s="166"/>
      <c r="BK35" s="166"/>
      <c r="BL35" s="166"/>
      <c r="BM35" s="166"/>
      <c r="BN35" s="166"/>
      <c r="BO35" s="166"/>
      <c r="BP35" s="166"/>
      <c r="BQ35" s="166"/>
      <c r="BR35" s="166"/>
      <c r="BS35" s="166"/>
      <c r="BT35" s="166"/>
      <c r="BU35" s="166"/>
      <c r="BV35" s="166"/>
      <c r="BW35" s="166"/>
      <c r="BX35" s="166"/>
      <c r="BY35" s="166"/>
      <c r="BZ35" s="166"/>
      <c r="CA35" s="166"/>
      <c r="CB35" s="40"/>
    </row>
    <row r="36" spans="1:80" ht="15.75" customHeight="1" x14ac:dyDescent="0.2">
      <c r="A36" s="39" t="s">
        <v>37</v>
      </c>
      <c r="B36" s="12">
        <v>5</v>
      </c>
      <c r="C36" s="12">
        <v>136</v>
      </c>
      <c r="D36" s="49" t="s">
        <v>221</v>
      </c>
      <c r="F36" s="12">
        <f t="shared" si="8"/>
        <v>1</v>
      </c>
      <c r="G36" s="12" t="str">
        <f t="shared" si="9"/>
        <v>-</v>
      </c>
      <c r="H36" s="12" t="str">
        <f t="shared" si="10"/>
        <v>-</v>
      </c>
      <c r="I36" s="12" t="str">
        <f t="shared" si="11"/>
        <v>-</v>
      </c>
      <c r="J36" s="12" t="str">
        <f t="shared" si="12"/>
        <v>-</v>
      </c>
      <c r="K36" s="12" t="str">
        <f t="shared" si="13"/>
        <v>-</v>
      </c>
      <c r="L36" s="12" t="str">
        <f t="shared" si="14"/>
        <v>-</v>
      </c>
      <c r="M36" s="12" t="str">
        <f t="shared" si="15"/>
        <v>-</v>
      </c>
      <c r="N36" s="12" t="str">
        <f t="shared" si="16"/>
        <v>-</v>
      </c>
      <c r="O36" s="12" t="str">
        <f t="shared" si="17"/>
        <v>-</v>
      </c>
      <c r="P36" s="12" t="str">
        <f t="shared" si="18"/>
        <v>-</v>
      </c>
      <c r="Q36" s="12" t="str">
        <f t="shared" si="19"/>
        <v>-</v>
      </c>
      <c r="R36" s="12" t="str">
        <f t="shared" si="20"/>
        <v>-</v>
      </c>
      <c r="S36" s="12" t="str">
        <f t="shared" si="21"/>
        <v>-</v>
      </c>
      <c r="T36" s="12" t="str">
        <f t="shared" si="22"/>
        <v>-</v>
      </c>
      <c r="U36" s="12" t="str">
        <f t="shared" si="23"/>
        <v>-</v>
      </c>
      <c r="V36" s="12" t="str">
        <f t="shared" si="24"/>
        <v>-</v>
      </c>
      <c r="W36" s="12" t="str">
        <f t="shared" si="25"/>
        <v>-</v>
      </c>
      <c r="X36" s="12" t="str">
        <f t="shared" si="26"/>
        <v>-</v>
      </c>
      <c r="Y36" s="12" t="str">
        <f t="shared" si="27"/>
        <v>-</v>
      </c>
      <c r="Z36" s="12" t="str">
        <f t="shared" si="28"/>
        <v>-</v>
      </c>
      <c r="AA36" s="12" t="str">
        <f t="shared" si="29"/>
        <v>-</v>
      </c>
      <c r="AB36" s="12" t="str">
        <f t="shared" si="30"/>
        <v>-</v>
      </c>
      <c r="AC36" s="12" t="str">
        <f t="shared" si="31"/>
        <v>-</v>
      </c>
      <c r="AD36" s="12" t="str">
        <f t="shared" si="32"/>
        <v>-</v>
      </c>
      <c r="AE36" s="12" t="str">
        <f t="shared" si="33"/>
        <v>-</v>
      </c>
      <c r="AF36" s="12" t="str">
        <f t="shared" si="34"/>
        <v>-</v>
      </c>
      <c r="AG36" s="12" t="str">
        <f t="shared" si="35"/>
        <v>-</v>
      </c>
      <c r="AH36" s="12" t="str">
        <f t="shared" si="36"/>
        <v>-</v>
      </c>
      <c r="AI36" s="12" t="str">
        <f t="shared" si="37"/>
        <v>-</v>
      </c>
      <c r="AJ36" s="12" t="str">
        <f t="shared" si="38"/>
        <v>-</v>
      </c>
      <c r="AM36" s="169">
        <f t="shared" ca="1" si="39"/>
        <v>0</v>
      </c>
      <c r="AN36" s="12">
        <f t="shared" ca="1" si="40"/>
        <v>0</v>
      </c>
      <c r="AO36" s="12">
        <f t="shared" ca="1" si="41"/>
        <v>0</v>
      </c>
      <c r="AQ36" s="29"/>
      <c r="AR36" s="52" t="s">
        <v>189</v>
      </c>
      <c r="AS36" s="191"/>
      <c r="AT36" s="193" t="s">
        <v>93</v>
      </c>
      <c r="AU36" s="175">
        <v>0</v>
      </c>
      <c r="AV36" s="175">
        <v>0</v>
      </c>
      <c r="AW36" s="190" t="s">
        <v>424</v>
      </c>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6"/>
      <c r="BY36" s="166"/>
      <c r="BZ36" s="166"/>
      <c r="CA36" s="166"/>
      <c r="CB36" s="40"/>
    </row>
    <row r="37" spans="1:80" ht="15.75" customHeight="1" x14ac:dyDescent="0.2">
      <c r="A37" s="39" t="s">
        <v>37</v>
      </c>
      <c r="B37" s="12">
        <v>5</v>
      </c>
      <c r="C37" s="12">
        <v>136</v>
      </c>
      <c r="D37" s="49" t="s">
        <v>222</v>
      </c>
      <c r="F37" s="12">
        <f t="shared" si="8"/>
        <v>1</v>
      </c>
      <c r="G37" s="12" t="str">
        <f t="shared" si="9"/>
        <v>-</v>
      </c>
      <c r="H37" s="12" t="str">
        <f t="shared" si="10"/>
        <v>-</v>
      </c>
      <c r="I37" s="12" t="str">
        <f t="shared" si="11"/>
        <v>-</v>
      </c>
      <c r="J37" s="12" t="str">
        <f t="shared" si="12"/>
        <v>-</v>
      </c>
      <c r="K37" s="12" t="str">
        <f t="shared" si="13"/>
        <v>-</v>
      </c>
      <c r="L37" s="12" t="str">
        <f t="shared" si="14"/>
        <v>-</v>
      </c>
      <c r="M37" s="12" t="str">
        <f t="shared" si="15"/>
        <v>-</v>
      </c>
      <c r="N37" s="12" t="str">
        <f t="shared" si="16"/>
        <v>-</v>
      </c>
      <c r="O37" s="12" t="str">
        <f t="shared" si="17"/>
        <v>-</v>
      </c>
      <c r="P37" s="12" t="str">
        <f t="shared" si="18"/>
        <v>-</v>
      </c>
      <c r="Q37" s="12" t="str">
        <f t="shared" si="19"/>
        <v>-</v>
      </c>
      <c r="R37" s="12" t="str">
        <f t="shared" si="20"/>
        <v>-</v>
      </c>
      <c r="S37" s="12" t="str">
        <f t="shared" si="21"/>
        <v>-</v>
      </c>
      <c r="T37" s="12" t="str">
        <f t="shared" si="22"/>
        <v>-</v>
      </c>
      <c r="U37" s="12" t="str">
        <f t="shared" si="23"/>
        <v>-</v>
      </c>
      <c r="V37" s="12" t="str">
        <f t="shared" si="24"/>
        <v>-</v>
      </c>
      <c r="W37" s="12" t="str">
        <f t="shared" si="25"/>
        <v>-</v>
      </c>
      <c r="X37" s="12" t="str">
        <f t="shared" si="26"/>
        <v>-</v>
      </c>
      <c r="Y37" s="12" t="str">
        <f t="shared" si="27"/>
        <v>-</v>
      </c>
      <c r="Z37" s="12" t="str">
        <f t="shared" si="28"/>
        <v>-</v>
      </c>
      <c r="AA37" s="12" t="str">
        <f t="shared" si="29"/>
        <v>-</v>
      </c>
      <c r="AB37" s="12" t="str">
        <f t="shared" si="30"/>
        <v>-</v>
      </c>
      <c r="AC37" s="12" t="str">
        <f t="shared" si="31"/>
        <v>-</v>
      </c>
      <c r="AD37" s="12" t="str">
        <f t="shared" si="32"/>
        <v>-</v>
      </c>
      <c r="AE37" s="12" t="str">
        <f t="shared" si="33"/>
        <v>-</v>
      </c>
      <c r="AF37" s="12" t="str">
        <f t="shared" si="34"/>
        <v>-</v>
      </c>
      <c r="AG37" s="12" t="str">
        <f t="shared" si="35"/>
        <v>-</v>
      </c>
      <c r="AH37" s="12" t="str">
        <f t="shared" si="36"/>
        <v>-</v>
      </c>
      <c r="AI37" s="12" t="str">
        <f t="shared" si="37"/>
        <v>-</v>
      </c>
      <c r="AJ37" s="12" t="str">
        <f t="shared" si="38"/>
        <v>-</v>
      </c>
      <c r="AM37" s="169">
        <f t="shared" ca="1" si="39"/>
        <v>0</v>
      </c>
      <c r="AN37" s="12">
        <f t="shared" ca="1" si="40"/>
        <v>0</v>
      </c>
      <c r="AO37" s="12">
        <f t="shared" ca="1" si="41"/>
        <v>0</v>
      </c>
      <c r="AQ37" s="29"/>
      <c r="AR37" s="52" t="s">
        <v>190</v>
      </c>
      <c r="AS37" s="191"/>
      <c r="AT37" s="193" t="s">
        <v>93</v>
      </c>
      <c r="AU37" s="175">
        <v>0</v>
      </c>
      <c r="AV37" s="175">
        <v>0</v>
      </c>
      <c r="AW37" s="190" t="s">
        <v>424</v>
      </c>
      <c r="AX37" s="166"/>
      <c r="AY37" s="166"/>
      <c r="AZ37" s="166"/>
      <c r="BA37" s="166"/>
      <c r="BB37" s="166"/>
      <c r="BC37" s="166"/>
      <c r="BD37" s="166"/>
      <c r="BE37" s="166"/>
      <c r="BF37" s="166"/>
      <c r="BG37" s="166"/>
      <c r="BH37" s="166"/>
      <c r="BI37" s="166"/>
      <c r="BJ37" s="166"/>
      <c r="BK37" s="166"/>
      <c r="BL37" s="166"/>
      <c r="BM37" s="166"/>
      <c r="BN37" s="166"/>
      <c r="BO37" s="166"/>
      <c r="BP37" s="166"/>
      <c r="BQ37" s="166"/>
      <c r="BR37" s="166"/>
      <c r="BS37" s="166"/>
      <c r="BT37" s="166"/>
      <c r="BU37" s="166"/>
      <c r="BV37" s="166"/>
      <c r="BW37" s="166"/>
      <c r="BX37" s="166"/>
      <c r="BY37" s="166"/>
      <c r="BZ37" s="166"/>
      <c r="CA37" s="166"/>
      <c r="CB37" s="40"/>
    </row>
    <row r="38" spans="1:80" ht="15.75" customHeight="1" x14ac:dyDescent="0.2">
      <c r="A38" s="39" t="s">
        <v>37</v>
      </c>
      <c r="B38" s="12">
        <v>5</v>
      </c>
      <c r="C38" s="12">
        <v>136</v>
      </c>
      <c r="D38" s="49" t="s">
        <v>223</v>
      </c>
      <c r="F38" s="12">
        <f t="shared" si="8"/>
        <v>1</v>
      </c>
      <c r="G38" s="12" t="str">
        <f t="shared" si="9"/>
        <v>-</v>
      </c>
      <c r="H38" s="12" t="str">
        <f t="shared" si="10"/>
        <v>-</v>
      </c>
      <c r="I38" s="12" t="str">
        <f t="shared" si="11"/>
        <v>-</v>
      </c>
      <c r="J38" s="12" t="str">
        <f t="shared" si="12"/>
        <v>-</v>
      </c>
      <c r="K38" s="12" t="str">
        <f t="shared" si="13"/>
        <v>-</v>
      </c>
      <c r="L38" s="12" t="str">
        <f t="shared" si="14"/>
        <v>-</v>
      </c>
      <c r="M38" s="12" t="str">
        <f t="shared" si="15"/>
        <v>-</v>
      </c>
      <c r="N38" s="12" t="str">
        <f t="shared" si="16"/>
        <v>-</v>
      </c>
      <c r="O38" s="12" t="str">
        <f t="shared" si="17"/>
        <v>-</v>
      </c>
      <c r="P38" s="12" t="str">
        <f t="shared" si="18"/>
        <v>-</v>
      </c>
      <c r="Q38" s="12" t="str">
        <f t="shared" si="19"/>
        <v>-</v>
      </c>
      <c r="R38" s="12" t="str">
        <f t="shared" si="20"/>
        <v>-</v>
      </c>
      <c r="S38" s="12" t="str">
        <f t="shared" si="21"/>
        <v>-</v>
      </c>
      <c r="T38" s="12" t="str">
        <f t="shared" si="22"/>
        <v>-</v>
      </c>
      <c r="U38" s="12" t="str">
        <f t="shared" si="23"/>
        <v>-</v>
      </c>
      <c r="V38" s="12" t="str">
        <f t="shared" si="24"/>
        <v>-</v>
      </c>
      <c r="W38" s="12" t="str">
        <f t="shared" si="25"/>
        <v>-</v>
      </c>
      <c r="X38" s="12" t="str">
        <f t="shared" si="26"/>
        <v>-</v>
      </c>
      <c r="Y38" s="12" t="str">
        <f t="shared" si="27"/>
        <v>-</v>
      </c>
      <c r="Z38" s="12" t="str">
        <f t="shared" si="28"/>
        <v>-</v>
      </c>
      <c r="AA38" s="12" t="str">
        <f t="shared" si="29"/>
        <v>-</v>
      </c>
      <c r="AB38" s="12" t="str">
        <f t="shared" si="30"/>
        <v>-</v>
      </c>
      <c r="AC38" s="12" t="str">
        <f t="shared" si="31"/>
        <v>-</v>
      </c>
      <c r="AD38" s="12" t="str">
        <f t="shared" si="32"/>
        <v>-</v>
      </c>
      <c r="AE38" s="12" t="str">
        <f t="shared" si="33"/>
        <v>-</v>
      </c>
      <c r="AF38" s="12" t="str">
        <f t="shared" si="34"/>
        <v>-</v>
      </c>
      <c r="AG38" s="12" t="str">
        <f t="shared" si="35"/>
        <v>-</v>
      </c>
      <c r="AH38" s="12" t="str">
        <f t="shared" si="36"/>
        <v>-</v>
      </c>
      <c r="AI38" s="12" t="str">
        <f t="shared" si="37"/>
        <v>-</v>
      </c>
      <c r="AJ38" s="12" t="str">
        <f t="shared" si="38"/>
        <v>-</v>
      </c>
      <c r="AM38" s="169">
        <f t="shared" ca="1" si="39"/>
        <v>0</v>
      </c>
      <c r="AN38" s="12">
        <f t="shared" ca="1" si="40"/>
        <v>0</v>
      </c>
      <c r="AO38" s="12">
        <f t="shared" ca="1" si="41"/>
        <v>0</v>
      </c>
      <c r="AQ38" s="29"/>
      <c r="AR38" s="52" t="s">
        <v>191</v>
      </c>
      <c r="AS38" s="191"/>
      <c r="AT38" s="193" t="s">
        <v>93</v>
      </c>
      <c r="AU38" s="175">
        <v>0</v>
      </c>
      <c r="AV38" s="175">
        <v>0</v>
      </c>
      <c r="AW38" s="190" t="s">
        <v>424</v>
      </c>
      <c r="AX38" s="166"/>
      <c r="AY38" s="166"/>
      <c r="AZ38" s="166"/>
      <c r="BA38" s="166"/>
      <c r="BB38" s="166"/>
      <c r="BC38" s="166"/>
      <c r="BD38" s="166"/>
      <c r="BE38" s="166"/>
      <c r="BF38" s="166"/>
      <c r="BG38" s="166"/>
      <c r="BH38" s="166"/>
      <c r="BI38" s="166"/>
      <c r="BJ38" s="166"/>
      <c r="BK38" s="166"/>
      <c r="BL38" s="166"/>
      <c r="BM38" s="166"/>
      <c r="BN38" s="166"/>
      <c r="BO38" s="166"/>
      <c r="BP38" s="166"/>
      <c r="BQ38" s="166"/>
      <c r="BR38" s="166"/>
      <c r="BS38" s="166"/>
      <c r="BT38" s="166"/>
      <c r="BU38" s="166"/>
      <c r="BV38" s="166"/>
      <c r="BW38" s="166"/>
      <c r="BX38" s="166"/>
      <c r="BY38" s="166"/>
      <c r="BZ38" s="166"/>
      <c r="CA38" s="166"/>
      <c r="CB38" s="40"/>
    </row>
    <row r="39" spans="1:80" ht="15.75" customHeight="1" x14ac:dyDescent="0.2">
      <c r="A39" s="39" t="s">
        <v>37</v>
      </c>
      <c r="B39" s="12">
        <v>5</v>
      </c>
      <c r="C39" s="12">
        <v>136</v>
      </c>
      <c r="D39" s="49" t="s">
        <v>224</v>
      </c>
      <c r="F39" s="12">
        <f t="shared" si="8"/>
        <v>1</v>
      </c>
      <c r="G39" s="12" t="str">
        <f t="shared" si="9"/>
        <v>-</v>
      </c>
      <c r="H39" s="12" t="str">
        <f t="shared" si="10"/>
        <v>-</v>
      </c>
      <c r="I39" s="12" t="str">
        <f t="shared" si="11"/>
        <v>-</v>
      </c>
      <c r="J39" s="12" t="str">
        <f t="shared" si="12"/>
        <v>-</v>
      </c>
      <c r="K39" s="12" t="str">
        <f t="shared" si="13"/>
        <v>-</v>
      </c>
      <c r="L39" s="12" t="str">
        <f t="shared" si="14"/>
        <v>-</v>
      </c>
      <c r="M39" s="12" t="str">
        <f t="shared" si="15"/>
        <v>-</v>
      </c>
      <c r="N39" s="12" t="str">
        <f t="shared" si="16"/>
        <v>-</v>
      </c>
      <c r="O39" s="12" t="str">
        <f t="shared" si="17"/>
        <v>-</v>
      </c>
      <c r="P39" s="12" t="str">
        <f t="shared" si="18"/>
        <v>-</v>
      </c>
      <c r="Q39" s="12" t="str">
        <f t="shared" si="19"/>
        <v>-</v>
      </c>
      <c r="R39" s="12" t="str">
        <f t="shared" si="20"/>
        <v>-</v>
      </c>
      <c r="S39" s="12" t="str">
        <f t="shared" si="21"/>
        <v>-</v>
      </c>
      <c r="T39" s="12" t="str">
        <f t="shared" si="22"/>
        <v>-</v>
      </c>
      <c r="U39" s="12" t="str">
        <f t="shared" si="23"/>
        <v>-</v>
      </c>
      <c r="V39" s="12" t="str">
        <f t="shared" si="24"/>
        <v>-</v>
      </c>
      <c r="W39" s="12" t="str">
        <f t="shared" si="25"/>
        <v>-</v>
      </c>
      <c r="X39" s="12" t="str">
        <f t="shared" si="26"/>
        <v>-</v>
      </c>
      <c r="Y39" s="12" t="str">
        <f t="shared" si="27"/>
        <v>-</v>
      </c>
      <c r="Z39" s="12" t="str">
        <f t="shared" si="28"/>
        <v>-</v>
      </c>
      <c r="AA39" s="12" t="str">
        <f t="shared" si="29"/>
        <v>-</v>
      </c>
      <c r="AB39" s="12" t="str">
        <f t="shared" si="30"/>
        <v>-</v>
      </c>
      <c r="AC39" s="12" t="str">
        <f t="shared" si="31"/>
        <v>-</v>
      </c>
      <c r="AD39" s="12" t="str">
        <f t="shared" si="32"/>
        <v>-</v>
      </c>
      <c r="AE39" s="12" t="str">
        <f t="shared" si="33"/>
        <v>-</v>
      </c>
      <c r="AF39" s="12" t="str">
        <f t="shared" si="34"/>
        <v>-</v>
      </c>
      <c r="AG39" s="12" t="str">
        <f t="shared" si="35"/>
        <v>-</v>
      </c>
      <c r="AH39" s="12" t="str">
        <f t="shared" si="36"/>
        <v>-</v>
      </c>
      <c r="AI39" s="12" t="str">
        <f t="shared" si="37"/>
        <v>-</v>
      </c>
      <c r="AJ39" s="12" t="str">
        <f t="shared" si="38"/>
        <v>-</v>
      </c>
      <c r="AM39" s="169">
        <f t="shared" ca="1" si="39"/>
        <v>0</v>
      </c>
      <c r="AN39" s="12">
        <f t="shared" ca="1" si="40"/>
        <v>0</v>
      </c>
      <c r="AO39" s="12">
        <f t="shared" ca="1" si="41"/>
        <v>0</v>
      </c>
      <c r="AQ39" s="29"/>
      <c r="AR39" s="52" t="s">
        <v>192</v>
      </c>
      <c r="AS39" s="191"/>
      <c r="AT39" s="193" t="s">
        <v>93</v>
      </c>
      <c r="AU39" s="175">
        <v>0</v>
      </c>
      <c r="AV39" s="175">
        <v>0</v>
      </c>
      <c r="AW39" s="190" t="s">
        <v>424</v>
      </c>
      <c r="AX39" s="166"/>
      <c r="AY39" s="166"/>
      <c r="AZ39" s="166"/>
      <c r="BA39" s="166"/>
      <c r="BB39" s="166"/>
      <c r="BC39" s="166"/>
      <c r="BD39" s="166"/>
      <c r="BE39" s="166"/>
      <c r="BF39" s="166"/>
      <c r="BG39" s="166"/>
      <c r="BH39" s="166"/>
      <c r="BI39" s="166"/>
      <c r="BJ39" s="166"/>
      <c r="BK39" s="166"/>
      <c r="BL39" s="166"/>
      <c r="BM39" s="166"/>
      <c r="BN39" s="166"/>
      <c r="BO39" s="166"/>
      <c r="BP39" s="166"/>
      <c r="BQ39" s="166"/>
      <c r="BR39" s="166"/>
      <c r="BS39" s="166"/>
      <c r="BT39" s="166"/>
      <c r="BU39" s="166"/>
      <c r="BV39" s="166"/>
      <c r="BW39" s="166"/>
      <c r="BX39" s="166"/>
      <c r="BY39" s="166"/>
      <c r="BZ39" s="166"/>
      <c r="CA39" s="166"/>
      <c r="CB39" s="40"/>
    </row>
    <row r="40" spans="1:80" ht="15.75" customHeight="1" x14ac:dyDescent="0.2">
      <c r="A40" s="39" t="s">
        <v>37</v>
      </c>
      <c r="B40" s="12">
        <v>5</v>
      </c>
      <c r="C40" s="12">
        <v>136</v>
      </c>
      <c r="D40" s="49" t="s">
        <v>225</v>
      </c>
      <c r="F40" s="12">
        <f t="shared" si="8"/>
        <v>1</v>
      </c>
      <c r="G40" s="12" t="str">
        <f t="shared" si="9"/>
        <v>-</v>
      </c>
      <c r="H40" s="12" t="str">
        <f t="shared" si="10"/>
        <v>-</v>
      </c>
      <c r="I40" s="12" t="str">
        <f t="shared" si="11"/>
        <v>-</v>
      </c>
      <c r="J40" s="12" t="str">
        <f t="shared" si="12"/>
        <v>-</v>
      </c>
      <c r="K40" s="12" t="str">
        <f t="shared" si="13"/>
        <v>-</v>
      </c>
      <c r="L40" s="12" t="str">
        <f t="shared" si="14"/>
        <v>-</v>
      </c>
      <c r="M40" s="12" t="str">
        <f t="shared" si="15"/>
        <v>-</v>
      </c>
      <c r="N40" s="12" t="str">
        <f t="shared" si="16"/>
        <v>-</v>
      </c>
      <c r="O40" s="12" t="str">
        <f t="shared" si="17"/>
        <v>-</v>
      </c>
      <c r="P40" s="12" t="str">
        <f t="shared" si="18"/>
        <v>-</v>
      </c>
      <c r="Q40" s="12" t="str">
        <f t="shared" si="19"/>
        <v>-</v>
      </c>
      <c r="R40" s="12" t="str">
        <f t="shared" si="20"/>
        <v>-</v>
      </c>
      <c r="S40" s="12" t="str">
        <f t="shared" si="21"/>
        <v>-</v>
      </c>
      <c r="T40" s="12" t="str">
        <f t="shared" si="22"/>
        <v>-</v>
      </c>
      <c r="U40" s="12" t="str">
        <f t="shared" si="23"/>
        <v>-</v>
      </c>
      <c r="V40" s="12" t="str">
        <f t="shared" si="24"/>
        <v>-</v>
      </c>
      <c r="W40" s="12" t="str">
        <f t="shared" si="25"/>
        <v>-</v>
      </c>
      <c r="X40" s="12" t="str">
        <f t="shared" si="26"/>
        <v>-</v>
      </c>
      <c r="Y40" s="12" t="str">
        <f t="shared" si="27"/>
        <v>-</v>
      </c>
      <c r="Z40" s="12" t="str">
        <f t="shared" si="28"/>
        <v>-</v>
      </c>
      <c r="AA40" s="12" t="str">
        <f t="shared" si="29"/>
        <v>-</v>
      </c>
      <c r="AB40" s="12" t="str">
        <f t="shared" si="30"/>
        <v>-</v>
      </c>
      <c r="AC40" s="12" t="str">
        <f t="shared" si="31"/>
        <v>-</v>
      </c>
      <c r="AD40" s="12" t="str">
        <f t="shared" si="32"/>
        <v>-</v>
      </c>
      <c r="AE40" s="12" t="str">
        <f t="shared" si="33"/>
        <v>-</v>
      </c>
      <c r="AF40" s="12" t="str">
        <f t="shared" si="34"/>
        <v>-</v>
      </c>
      <c r="AG40" s="12" t="str">
        <f t="shared" si="35"/>
        <v>-</v>
      </c>
      <c r="AH40" s="12" t="str">
        <f t="shared" si="36"/>
        <v>-</v>
      </c>
      <c r="AI40" s="12" t="str">
        <f t="shared" si="37"/>
        <v>-</v>
      </c>
      <c r="AJ40" s="12" t="str">
        <f t="shared" si="38"/>
        <v>-</v>
      </c>
      <c r="AM40" s="169">
        <f t="shared" ca="1" si="39"/>
        <v>0</v>
      </c>
      <c r="AN40" s="12">
        <f t="shared" ca="1" si="40"/>
        <v>0</v>
      </c>
      <c r="AO40" s="12">
        <f t="shared" ca="1" si="41"/>
        <v>0</v>
      </c>
      <c r="AQ40" s="29"/>
      <c r="AR40" s="52" t="s">
        <v>193</v>
      </c>
      <c r="AS40" s="191"/>
      <c r="AT40" s="193" t="s">
        <v>93</v>
      </c>
      <c r="AU40" s="175">
        <v>0</v>
      </c>
      <c r="AV40" s="175">
        <v>0</v>
      </c>
      <c r="AW40" s="190" t="s">
        <v>424</v>
      </c>
      <c r="AX40" s="166"/>
      <c r="AY40" s="166"/>
      <c r="AZ40" s="166"/>
      <c r="BA40" s="166"/>
      <c r="BB40" s="166"/>
      <c r="BC40" s="166"/>
      <c r="BD40" s="166"/>
      <c r="BE40" s="166"/>
      <c r="BF40" s="166"/>
      <c r="BG40" s="166"/>
      <c r="BH40" s="166"/>
      <c r="BI40" s="166"/>
      <c r="BJ40" s="166"/>
      <c r="BK40" s="166"/>
      <c r="BL40" s="166"/>
      <c r="BM40" s="166"/>
      <c r="BN40" s="166"/>
      <c r="BO40" s="166"/>
      <c r="BP40" s="166"/>
      <c r="BQ40" s="166"/>
      <c r="BR40" s="166"/>
      <c r="BS40" s="166"/>
      <c r="BT40" s="166"/>
      <c r="BU40" s="166"/>
      <c r="BV40" s="166"/>
      <c r="BW40" s="166"/>
      <c r="BX40" s="166"/>
      <c r="BY40" s="166"/>
      <c r="BZ40" s="166"/>
      <c r="CA40" s="166"/>
      <c r="CB40" s="40"/>
    </row>
    <row r="41" spans="1:80" ht="15.75" customHeight="1" x14ac:dyDescent="0.2">
      <c r="A41" s="39" t="s">
        <v>37</v>
      </c>
      <c r="B41" s="12">
        <v>5</v>
      </c>
      <c r="C41" s="12">
        <v>136</v>
      </c>
      <c r="D41" s="49" t="s">
        <v>226</v>
      </c>
      <c r="F41" s="12">
        <f t="shared" si="8"/>
        <v>1</v>
      </c>
      <c r="G41" s="12" t="str">
        <f t="shared" si="9"/>
        <v>-</v>
      </c>
      <c r="H41" s="12" t="str">
        <f t="shared" si="10"/>
        <v>-</v>
      </c>
      <c r="I41" s="12" t="str">
        <f t="shared" si="11"/>
        <v>-</v>
      </c>
      <c r="J41" s="12" t="str">
        <f t="shared" si="12"/>
        <v>-</v>
      </c>
      <c r="K41" s="12" t="str">
        <f t="shared" si="13"/>
        <v>-</v>
      </c>
      <c r="L41" s="12" t="str">
        <f t="shared" si="14"/>
        <v>-</v>
      </c>
      <c r="M41" s="12" t="str">
        <f t="shared" si="15"/>
        <v>-</v>
      </c>
      <c r="N41" s="12" t="str">
        <f t="shared" si="16"/>
        <v>-</v>
      </c>
      <c r="O41" s="12" t="str">
        <f t="shared" si="17"/>
        <v>-</v>
      </c>
      <c r="P41" s="12" t="str">
        <f t="shared" si="18"/>
        <v>-</v>
      </c>
      <c r="Q41" s="12" t="str">
        <f t="shared" si="19"/>
        <v>-</v>
      </c>
      <c r="R41" s="12" t="str">
        <f t="shared" si="20"/>
        <v>-</v>
      </c>
      <c r="S41" s="12" t="str">
        <f t="shared" si="21"/>
        <v>-</v>
      </c>
      <c r="T41" s="12" t="str">
        <f t="shared" si="22"/>
        <v>-</v>
      </c>
      <c r="U41" s="12" t="str">
        <f t="shared" si="23"/>
        <v>-</v>
      </c>
      <c r="V41" s="12" t="str">
        <f t="shared" si="24"/>
        <v>-</v>
      </c>
      <c r="W41" s="12" t="str">
        <f t="shared" si="25"/>
        <v>-</v>
      </c>
      <c r="X41" s="12" t="str">
        <f t="shared" si="26"/>
        <v>-</v>
      </c>
      <c r="Y41" s="12" t="str">
        <f t="shared" si="27"/>
        <v>-</v>
      </c>
      <c r="Z41" s="12" t="str">
        <f t="shared" si="28"/>
        <v>-</v>
      </c>
      <c r="AA41" s="12" t="str">
        <f t="shared" si="29"/>
        <v>-</v>
      </c>
      <c r="AB41" s="12" t="str">
        <f t="shared" si="30"/>
        <v>-</v>
      </c>
      <c r="AC41" s="12" t="str">
        <f t="shared" si="31"/>
        <v>-</v>
      </c>
      <c r="AD41" s="12" t="str">
        <f t="shared" si="32"/>
        <v>-</v>
      </c>
      <c r="AE41" s="12" t="str">
        <f t="shared" si="33"/>
        <v>-</v>
      </c>
      <c r="AF41" s="12" t="str">
        <f t="shared" si="34"/>
        <v>-</v>
      </c>
      <c r="AG41" s="12" t="str">
        <f t="shared" si="35"/>
        <v>-</v>
      </c>
      <c r="AH41" s="12" t="str">
        <f t="shared" si="36"/>
        <v>-</v>
      </c>
      <c r="AI41" s="12" t="str">
        <f t="shared" si="37"/>
        <v>-</v>
      </c>
      <c r="AJ41" s="12" t="str">
        <f t="shared" si="38"/>
        <v>-</v>
      </c>
      <c r="AM41" s="169">
        <f t="shared" ca="1" si="39"/>
        <v>0</v>
      </c>
      <c r="AN41" s="12">
        <f t="shared" ca="1" si="40"/>
        <v>0</v>
      </c>
      <c r="AO41" s="12">
        <f t="shared" ca="1" si="41"/>
        <v>0</v>
      </c>
      <c r="AQ41" s="29"/>
      <c r="AR41" s="52" t="s">
        <v>194</v>
      </c>
      <c r="AS41" s="191"/>
      <c r="AT41" s="193" t="s">
        <v>93</v>
      </c>
      <c r="AU41" s="175">
        <v>0</v>
      </c>
      <c r="AV41" s="175">
        <v>0</v>
      </c>
      <c r="AW41" s="190" t="s">
        <v>424</v>
      </c>
      <c r="AX41" s="166"/>
      <c r="AY41" s="166"/>
      <c r="AZ41" s="166"/>
      <c r="BA41" s="166"/>
      <c r="BB41" s="166"/>
      <c r="BC41" s="166"/>
      <c r="BD41" s="166"/>
      <c r="BE41" s="166"/>
      <c r="BF41" s="166"/>
      <c r="BG41" s="166"/>
      <c r="BH41" s="166"/>
      <c r="BI41" s="166"/>
      <c r="BJ41" s="166"/>
      <c r="BK41" s="166"/>
      <c r="BL41" s="166"/>
      <c r="BM41" s="166"/>
      <c r="BN41" s="166"/>
      <c r="BO41" s="166"/>
      <c r="BP41" s="166"/>
      <c r="BQ41" s="166"/>
      <c r="BR41" s="166"/>
      <c r="BS41" s="166"/>
      <c r="BT41" s="166"/>
      <c r="BU41" s="166"/>
      <c r="BV41" s="166"/>
      <c r="BW41" s="166"/>
      <c r="BX41" s="166"/>
      <c r="BY41" s="166"/>
      <c r="BZ41" s="166"/>
      <c r="CA41" s="166"/>
      <c r="CB41" s="40"/>
    </row>
    <row r="42" spans="1:80" ht="15.75" customHeight="1" x14ac:dyDescent="0.2">
      <c r="A42" s="39" t="s">
        <v>37</v>
      </c>
      <c r="B42" s="12">
        <v>5</v>
      </c>
      <c r="C42" s="12">
        <v>136</v>
      </c>
      <c r="D42" s="49" t="s">
        <v>227</v>
      </c>
      <c r="F42" s="12">
        <f t="shared" si="8"/>
        <v>1</v>
      </c>
      <c r="G42" s="12" t="str">
        <f t="shared" si="9"/>
        <v>-</v>
      </c>
      <c r="H42" s="12" t="str">
        <f t="shared" si="10"/>
        <v>-</v>
      </c>
      <c r="I42" s="12" t="str">
        <f t="shared" si="11"/>
        <v>-</v>
      </c>
      <c r="J42" s="12" t="str">
        <f t="shared" si="12"/>
        <v>-</v>
      </c>
      <c r="K42" s="12" t="str">
        <f t="shared" si="13"/>
        <v>-</v>
      </c>
      <c r="L42" s="12" t="str">
        <f t="shared" si="14"/>
        <v>-</v>
      </c>
      <c r="M42" s="12" t="str">
        <f t="shared" si="15"/>
        <v>-</v>
      </c>
      <c r="N42" s="12" t="str">
        <f t="shared" si="16"/>
        <v>-</v>
      </c>
      <c r="O42" s="12" t="str">
        <f t="shared" si="17"/>
        <v>-</v>
      </c>
      <c r="P42" s="12" t="str">
        <f t="shared" si="18"/>
        <v>-</v>
      </c>
      <c r="Q42" s="12" t="str">
        <f t="shared" si="19"/>
        <v>-</v>
      </c>
      <c r="R42" s="12" t="str">
        <f t="shared" si="20"/>
        <v>-</v>
      </c>
      <c r="S42" s="12" t="str">
        <f t="shared" si="21"/>
        <v>-</v>
      </c>
      <c r="T42" s="12" t="str">
        <f t="shared" si="22"/>
        <v>-</v>
      </c>
      <c r="U42" s="12" t="str">
        <f t="shared" si="23"/>
        <v>-</v>
      </c>
      <c r="V42" s="12" t="str">
        <f t="shared" si="24"/>
        <v>-</v>
      </c>
      <c r="W42" s="12" t="str">
        <f t="shared" si="25"/>
        <v>-</v>
      </c>
      <c r="X42" s="12" t="str">
        <f t="shared" si="26"/>
        <v>-</v>
      </c>
      <c r="Y42" s="12" t="str">
        <f t="shared" si="27"/>
        <v>-</v>
      </c>
      <c r="Z42" s="12" t="str">
        <f t="shared" si="28"/>
        <v>-</v>
      </c>
      <c r="AA42" s="12" t="str">
        <f t="shared" si="29"/>
        <v>-</v>
      </c>
      <c r="AB42" s="12" t="str">
        <f t="shared" si="30"/>
        <v>-</v>
      </c>
      <c r="AC42" s="12" t="str">
        <f t="shared" si="31"/>
        <v>-</v>
      </c>
      <c r="AD42" s="12" t="str">
        <f t="shared" si="32"/>
        <v>-</v>
      </c>
      <c r="AE42" s="12" t="str">
        <f t="shared" si="33"/>
        <v>-</v>
      </c>
      <c r="AF42" s="12" t="str">
        <f t="shared" si="34"/>
        <v>-</v>
      </c>
      <c r="AG42" s="12" t="str">
        <f t="shared" si="35"/>
        <v>-</v>
      </c>
      <c r="AH42" s="12" t="str">
        <f t="shared" si="36"/>
        <v>-</v>
      </c>
      <c r="AI42" s="12" t="str">
        <f t="shared" si="37"/>
        <v>-</v>
      </c>
      <c r="AJ42" s="12" t="str">
        <f t="shared" si="38"/>
        <v>-</v>
      </c>
      <c r="AM42" s="169">
        <f t="shared" ca="1" si="39"/>
        <v>0</v>
      </c>
      <c r="AN42" s="12">
        <f t="shared" ca="1" si="40"/>
        <v>0</v>
      </c>
      <c r="AO42" s="12">
        <f t="shared" ca="1" si="41"/>
        <v>0</v>
      </c>
      <c r="AQ42" s="29"/>
      <c r="AR42" s="52" t="s">
        <v>195</v>
      </c>
      <c r="AS42" s="191"/>
      <c r="AT42" s="193" t="s">
        <v>93</v>
      </c>
      <c r="AU42" s="175">
        <v>0</v>
      </c>
      <c r="AV42" s="175">
        <v>0</v>
      </c>
      <c r="AW42" s="190" t="s">
        <v>424</v>
      </c>
      <c r="AX42" s="166"/>
      <c r="AY42" s="166"/>
      <c r="AZ42" s="166"/>
      <c r="BA42" s="166"/>
      <c r="BB42" s="166"/>
      <c r="BC42" s="166"/>
      <c r="BD42" s="166"/>
      <c r="BE42" s="166"/>
      <c r="BF42" s="166"/>
      <c r="BG42" s="166"/>
      <c r="BH42" s="166"/>
      <c r="BI42" s="166"/>
      <c r="BJ42" s="166"/>
      <c r="BK42" s="166"/>
      <c r="BL42" s="166"/>
      <c r="BM42" s="166"/>
      <c r="BN42" s="166"/>
      <c r="BO42" s="166"/>
      <c r="BP42" s="166"/>
      <c r="BQ42" s="166"/>
      <c r="BR42" s="166"/>
      <c r="BS42" s="166"/>
      <c r="BT42" s="166"/>
      <c r="BU42" s="166"/>
      <c r="BV42" s="166"/>
      <c r="BW42" s="166"/>
      <c r="BX42" s="166"/>
      <c r="BY42" s="166"/>
      <c r="BZ42" s="166"/>
      <c r="CA42" s="166"/>
      <c r="CB42" s="40"/>
    </row>
    <row r="43" spans="1:80" ht="15.75" customHeight="1" x14ac:dyDescent="0.2">
      <c r="A43" s="39" t="s">
        <v>37</v>
      </c>
      <c r="B43" s="12">
        <v>5</v>
      </c>
      <c r="C43" s="12">
        <v>136</v>
      </c>
      <c r="D43" s="49" t="s">
        <v>228</v>
      </c>
      <c r="F43" s="12">
        <f t="shared" si="8"/>
        <v>1</v>
      </c>
      <c r="G43" s="12" t="str">
        <f t="shared" si="9"/>
        <v>-</v>
      </c>
      <c r="H43" s="12" t="str">
        <f t="shared" si="10"/>
        <v>-</v>
      </c>
      <c r="I43" s="12" t="str">
        <f t="shared" si="11"/>
        <v>-</v>
      </c>
      <c r="J43" s="12" t="str">
        <f t="shared" si="12"/>
        <v>-</v>
      </c>
      <c r="K43" s="12" t="str">
        <f t="shared" si="13"/>
        <v>-</v>
      </c>
      <c r="L43" s="12" t="str">
        <f t="shared" si="14"/>
        <v>-</v>
      </c>
      <c r="M43" s="12" t="str">
        <f t="shared" si="15"/>
        <v>-</v>
      </c>
      <c r="N43" s="12" t="str">
        <f t="shared" si="16"/>
        <v>-</v>
      </c>
      <c r="O43" s="12" t="str">
        <f t="shared" si="17"/>
        <v>-</v>
      </c>
      <c r="P43" s="12" t="str">
        <f t="shared" si="18"/>
        <v>-</v>
      </c>
      <c r="Q43" s="12" t="str">
        <f t="shared" si="19"/>
        <v>-</v>
      </c>
      <c r="R43" s="12" t="str">
        <f t="shared" si="20"/>
        <v>-</v>
      </c>
      <c r="S43" s="12" t="str">
        <f t="shared" si="21"/>
        <v>-</v>
      </c>
      <c r="T43" s="12" t="str">
        <f t="shared" si="22"/>
        <v>-</v>
      </c>
      <c r="U43" s="12" t="str">
        <f t="shared" si="23"/>
        <v>-</v>
      </c>
      <c r="V43" s="12" t="str">
        <f t="shared" si="24"/>
        <v>-</v>
      </c>
      <c r="W43" s="12" t="str">
        <f t="shared" si="25"/>
        <v>-</v>
      </c>
      <c r="X43" s="12" t="str">
        <f t="shared" si="26"/>
        <v>-</v>
      </c>
      <c r="Y43" s="12" t="str">
        <f t="shared" si="27"/>
        <v>-</v>
      </c>
      <c r="Z43" s="12" t="str">
        <f t="shared" si="28"/>
        <v>-</v>
      </c>
      <c r="AA43" s="12" t="str">
        <f t="shared" si="29"/>
        <v>-</v>
      </c>
      <c r="AB43" s="12" t="str">
        <f t="shared" si="30"/>
        <v>-</v>
      </c>
      <c r="AC43" s="12" t="str">
        <f t="shared" si="31"/>
        <v>-</v>
      </c>
      <c r="AD43" s="12" t="str">
        <f t="shared" si="32"/>
        <v>-</v>
      </c>
      <c r="AE43" s="12" t="str">
        <f t="shared" si="33"/>
        <v>-</v>
      </c>
      <c r="AF43" s="12" t="str">
        <f t="shared" si="34"/>
        <v>-</v>
      </c>
      <c r="AG43" s="12" t="str">
        <f t="shared" si="35"/>
        <v>-</v>
      </c>
      <c r="AH43" s="12" t="str">
        <f t="shared" si="36"/>
        <v>-</v>
      </c>
      <c r="AI43" s="12" t="str">
        <f t="shared" si="37"/>
        <v>-</v>
      </c>
      <c r="AJ43" s="12" t="str">
        <f t="shared" si="38"/>
        <v>-</v>
      </c>
      <c r="AM43" s="169">
        <f t="shared" ca="1" si="39"/>
        <v>0</v>
      </c>
      <c r="AN43" s="12">
        <f t="shared" ca="1" si="40"/>
        <v>0</v>
      </c>
      <c r="AO43" s="12">
        <f t="shared" ca="1" si="41"/>
        <v>0</v>
      </c>
      <c r="AQ43" s="29"/>
      <c r="AR43" s="52" t="s">
        <v>196</v>
      </c>
      <c r="AS43" s="191"/>
      <c r="AT43" s="193" t="s">
        <v>93</v>
      </c>
      <c r="AU43" s="175">
        <v>0</v>
      </c>
      <c r="AV43" s="175">
        <v>0</v>
      </c>
      <c r="AW43" s="190" t="s">
        <v>424</v>
      </c>
      <c r="AX43" s="166"/>
      <c r="AY43" s="166"/>
      <c r="AZ43" s="166"/>
      <c r="BA43" s="166"/>
      <c r="BB43" s="166"/>
      <c r="BC43" s="166"/>
      <c r="BD43" s="166"/>
      <c r="BE43" s="166"/>
      <c r="BF43" s="166"/>
      <c r="BG43" s="166"/>
      <c r="BH43" s="166"/>
      <c r="BI43" s="166"/>
      <c r="BJ43" s="166"/>
      <c r="BK43" s="166"/>
      <c r="BL43" s="166"/>
      <c r="BM43" s="166"/>
      <c r="BN43" s="166"/>
      <c r="BO43" s="166"/>
      <c r="BP43" s="166"/>
      <c r="BQ43" s="166"/>
      <c r="BR43" s="166"/>
      <c r="BS43" s="166"/>
      <c r="BT43" s="166"/>
      <c r="BU43" s="166"/>
      <c r="BV43" s="166"/>
      <c r="BW43" s="166"/>
      <c r="BX43" s="166"/>
      <c r="BY43" s="166"/>
      <c r="BZ43" s="166"/>
      <c r="CA43" s="166"/>
      <c r="CB43" s="40"/>
    </row>
    <row r="44" spans="1:80" ht="15.75" customHeight="1" x14ac:dyDescent="0.2">
      <c r="A44" s="39" t="s">
        <v>37</v>
      </c>
      <c r="B44" s="12">
        <v>5</v>
      </c>
      <c r="C44" s="12">
        <v>136</v>
      </c>
      <c r="D44" s="49" t="s">
        <v>229</v>
      </c>
      <c r="F44" s="12">
        <f t="shared" si="8"/>
        <v>1</v>
      </c>
      <c r="G44" s="12" t="str">
        <f t="shared" si="9"/>
        <v>-</v>
      </c>
      <c r="H44" s="12" t="str">
        <f t="shared" si="10"/>
        <v>-</v>
      </c>
      <c r="I44" s="12" t="str">
        <f t="shared" si="11"/>
        <v>-</v>
      </c>
      <c r="J44" s="12" t="str">
        <f t="shared" si="12"/>
        <v>-</v>
      </c>
      <c r="K44" s="12" t="str">
        <f t="shared" si="13"/>
        <v>-</v>
      </c>
      <c r="L44" s="12" t="str">
        <f t="shared" si="14"/>
        <v>-</v>
      </c>
      <c r="M44" s="12" t="str">
        <f t="shared" si="15"/>
        <v>-</v>
      </c>
      <c r="N44" s="12" t="str">
        <f t="shared" si="16"/>
        <v>-</v>
      </c>
      <c r="O44" s="12" t="str">
        <f t="shared" si="17"/>
        <v>-</v>
      </c>
      <c r="P44" s="12" t="str">
        <f t="shared" si="18"/>
        <v>-</v>
      </c>
      <c r="Q44" s="12" t="str">
        <f t="shared" si="19"/>
        <v>-</v>
      </c>
      <c r="R44" s="12" t="str">
        <f t="shared" si="20"/>
        <v>-</v>
      </c>
      <c r="S44" s="12" t="str">
        <f t="shared" si="21"/>
        <v>-</v>
      </c>
      <c r="T44" s="12" t="str">
        <f t="shared" si="22"/>
        <v>-</v>
      </c>
      <c r="U44" s="12" t="str">
        <f t="shared" si="23"/>
        <v>-</v>
      </c>
      <c r="V44" s="12" t="str">
        <f t="shared" si="24"/>
        <v>-</v>
      </c>
      <c r="W44" s="12" t="str">
        <f t="shared" si="25"/>
        <v>-</v>
      </c>
      <c r="X44" s="12" t="str">
        <f t="shared" si="26"/>
        <v>-</v>
      </c>
      <c r="Y44" s="12" t="str">
        <f t="shared" si="27"/>
        <v>-</v>
      </c>
      <c r="Z44" s="12" t="str">
        <f t="shared" si="28"/>
        <v>-</v>
      </c>
      <c r="AA44" s="12" t="str">
        <f t="shared" si="29"/>
        <v>-</v>
      </c>
      <c r="AB44" s="12" t="str">
        <f t="shared" si="30"/>
        <v>-</v>
      </c>
      <c r="AC44" s="12" t="str">
        <f t="shared" si="31"/>
        <v>-</v>
      </c>
      <c r="AD44" s="12" t="str">
        <f t="shared" si="32"/>
        <v>-</v>
      </c>
      <c r="AE44" s="12" t="str">
        <f t="shared" si="33"/>
        <v>-</v>
      </c>
      <c r="AF44" s="12" t="str">
        <f t="shared" si="34"/>
        <v>-</v>
      </c>
      <c r="AG44" s="12" t="str">
        <f t="shared" si="35"/>
        <v>-</v>
      </c>
      <c r="AH44" s="12" t="str">
        <f t="shared" si="36"/>
        <v>-</v>
      </c>
      <c r="AI44" s="12" t="str">
        <f t="shared" si="37"/>
        <v>-</v>
      </c>
      <c r="AJ44" s="12" t="str">
        <f t="shared" si="38"/>
        <v>-</v>
      </c>
      <c r="AM44" s="169">
        <f t="shared" ca="1" si="39"/>
        <v>0</v>
      </c>
      <c r="AN44" s="12">
        <f t="shared" ca="1" si="40"/>
        <v>0</v>
      </c>
      <c r="AO44" s="12">
        <f t="shared" ca="1" si="41"/>
        <v>0</v>
      </c>
      <c r="AQ44" s="29"/>
      <c r="AR44" s="52" t="s">
        <v>197</v>
      </c>
      <c r="AS44" s="191"/>
      <c r="AT44" s="193" t="s">
        <v>93</v>
      </c>
      <c r="AU44" s="175">
        <v>0</v>
      </c>
      <c r="AV44" s="175">
        <v>0</v>
      </c>
      <c r="AW44" s="190" t="s">
        <v>424</v>
      </c>
      <c r="AX44" s="166"/>
      <c r="AY44" s="166"/>
      <c r="AZ44" s="166"/>
      <c r="BA44" s="166"/>
      <c r="BB44" s="166"/>
      <c r="BC44" s="166"/>
      <c r="BD44" s="166"/>
      <c r="BE44" s="166"/>
      <c r="BF44" s="166"/>
      <c r="BG44" s="166"/>
      <c r="BH44" s="166"/>
      <c r="BI44" s="166"/>
      <c r="BJ44" s="166"/>
      <c r="BK44" s="166"/>
      <c r="BL44" s="166"/>
      <c r="BM44" s="166"/>
      <c r="BN44" s="166"/>
      <c r="BO44" s="166"/>
      <c r="BP44" s="166"/>
      <c r="BQ44" s="166"/>
      <c r="BR44" s="166"/>
      <c r="BS44" s="166"/>
      <c r="BT44" s="166"/>
      <c r="BU44" s="166"/>
      <c r="BV44" s="166"/>
      <c r="BW44" s="166"/>
      <c r="BX44" s="166"/>
      <c r="BY44" s="166"/>
      <c r="BZ44" s="166"/>
      <c r="CA44" s="166"/>
      <c r="CB44" s="40"/>
    </row>
    <row r="45" spans="1:80" ht="15.75" customHeight="1" x14ac:dyDescent="0.2">
      <c r="A45" s="39" t="s">
        <v>37</v>
      </c>
      <c r="B45" s="12">
        <v>5</v>
      </c>
      <c r="C45" s="12">
        <v>136</v>
      </c>
      <c r="D45" s="49" t="s">
        <v>230</v>
      </c>
      <c r="F45" s="12">
        <f t="shared" si="8"/>
        <v>1</v>
      </c>
      <c r="G45" s="12" t="str">
        <f t="shared" si="9"/>
        <v>-</v>
      </c>
      <c r="H45" s="12" t="str">
        <f t="shared" si="10"/>
        <v>-</v>
      </c>
      <c r="I45" s="12" t="str">
        <f t="shared" si="11"/>
        <v>-</v>
      </c>
      <c r="J45" s="12" t="str">
        <f t="shared" si="12"/>
        <v>-</v>
      </c>
      <c r="K45" s="12" t="str">
        <f t="shared" si="13"/>
        <v>-</v>
      </c>
      <c r="L45" s="12" t="str">
        <f t="shared" si="14"/>
        <v>-</v>
      </c>
      <c r="M45" s="12" t="str">
        <f t="shared" si="15"/>
        <v>-</v>
      </c>
      <c r="N45" s="12" t="str">
        <f t="shared" si="16"/>
        <v>-</v>
      </c>
      <c r="O45" s="12" t="str">
        <f t="shared" si="17"/>
        <v>-</v>
      </c>
      <c r="P45" s="12" t="str">
        <f t="shared" si="18"/>
        <v>-</v>
      </c>
      <c r="Q45" s="12" t="str">
        <f t="shared" si="19"/>
        <v>-</v>
      </c>
      <c r="R45" s="12" t="str">
        <f t="shared" si="20"/>
        <v>-</v>
      </c>
      <c r="S45" s="12" t="str">
        <f t="shared" si="21"/>
        <v>-</v>
      </c>
      <c r="T45" s="12" t="str">
        <f t="shared" si="22"/>
        <v>-</v>
      </c>
      <c r="U45" s="12" t="str">
        <f t="shared" si="23"/>
        <v>-</v>
      </c>
      <c r="V45" s="12" t="str">
        <f t="shared" si="24"/>
        <v>-</v>
      </c>
      <c r="W45" s="12" t="str">
        <f t="shared" si="25"/>
        <v>-</v>
      </c>
      <c r="X45" s="12" t="str">
        <f t="shared" si="26"/>
        <v>-</v>
      </c>
      <c r="Y45" s="12" t="str">
        <f t="shared" si="27"/>
        <v>-</v>
      </c>
      <c r="Z45" s="12" t="str">
        <f t="shared" si="28"/>
        <v>-</v>
      </c>
      <c r="AA45" s="12" t="str">
        <f t="shared" si="29"/>
        <v>-</v>
      </c>
      <c r="AB45" s="12" t="str">
        <f t="shared" si="30"/>
        <v>-</v>
      </c>
      <c r="AC45" s="12" t="str">
        <f t="shared" si="31"/>
        <v>-</v>
      </c>
      <c r="AD45" s="12" t="str">
        <f t="shared" si="32"/>
        <v>-</v>
      </c>
      <c r="AE45" s="12" t="str">
        <f t="shared" si="33"/>
        <v>-</v>
      </c>
      <c r="AF45" s="12" t="str">
        <f t="shared" si="34"/>
        <v>-</v>
      </c>
      <c r="AG45" s="12" t="str">
        <f t="shared" si="35"/>
        <v>-</v>
      </c>
      <c r="AH45" s="12" t="str">
        <f t="shared" si="36"/>
        <v>-</v>
      </c>
      <c r="AI45" s="12" t="str">
        <f t="shared" si="37"/>
        <v>-</v>
      </c>
      <c r="AJ45" s="12" t="str">
        <f t="shared" si="38"/>
        <v>-</v>
      </c>
      <c r="AM45" s="169">
        <f t="shared" ca="1" si="39"/>
        <v>0</v>
      </c>
      <c r="AN45" s="12">
        <f t="shared" ca="1" si="40"/>
        <v>0</v>
      </c>
      <c r="AO45" s="12">
        <f t="shared" ca="1" si="41"/>
        <v>0</v>
      </c>
      <c r="AQ45" s="29"/>
      <c r="AR45" s="52" t="s">
        <v>198</v>
      </c>
      <c r="AS45" s="191"/>
      <c r="AT45" s="193" t="s">
        <v>93</v>
      </c>
      <c r="AU45" s="175">
        <v>0</v>
      </c>
      <c r="AV45" s="175">
        <v>0</v>
      </c>
      <c r="AW45" s="190" t="s">
        <v>424</v>
      </c>
      <c r="AX45" s="166"/>
      <c r="AY45" s="166"/>
      <c r="AZ45" s="166"/>
      <c r="BA45" s="166"/>
      <c r="BB45" s="166"/>
      <c r="BC45" s="166"/>
      <c r="BD45" s="166"/>
      <c r="BE45" s="166"/>
      <c r="BF45" s="166"/>
      <c r="BG45" s="166"/>
      <c r="BH45" s="166"/>
      <c r="BI45" s="166"/>
      <c r="BJ45" s="166"/>
      <c r="BK45" s="166"/>
      <c r="BL45" s="166"/>
      <c r="BM45" s="166"/>
      <c r="BN45" s="166"/>
      <c r="BO45" s="166"/>
      <c r="BP45" s="166"/>
      <c r="BQ45" s="166"/>
      <c r="BR45" s="166"/>
      <c r="BS45" s="166"/>
      <c r="BT45" s="166"/>
      <c r="BU45" s="166"/>
      <c r="BV45" s="166"/>
      <c r="BW45" s="166"/>
      <c r="BX45" s="166"/>
      <c r="BY45" s="166"/>
      <c r="BZ45" s="166"/>
      <c r="CA45" s="166"/>
      <c r="CB45" s="40"/>
    </row>
    <row r="46" spans="1:80" ht="15.75" customHeight="1" x14ac:dyDescent="0.2">
      <c r="A46" s="39" t="s">
        <v>37</v>
      </c>
      <c r="B46" s="12">
        <v>5</v>
      </c>
      <c r="C46" s="12">
        <v>136</v>
      </c>
      <c r="D46" s="49" t="s">
        <v>231</v>
      </c>
      <c r="F46" s="12">
        <f t="shared" si="8"/>
        <v>1</v>
      </c>
      <c r="G46" s="12" t="str">
        <f t="shared" si="9"/>
        <v>-</v>
      </c>
      <c r="H46" s="12" t="str">
        <f t="shared" si="10"/>
        <v>-</v>
      </c>
      <c r="I46" s="12" t="str">
        <f t="shared" si="11"/>
        <v>-</v>
      </c>
      <c r="J46" s="12" t="str">
        <f t="shared" si="12"/>
        <v>-</v>
      </c>
      <c r="K46" s="12" t="str">
        <f t="shared" si="13"/>
        <v>-</v>
      </c>
      <c r="L46" s="12" t="str">
        <f t="shared" si="14"/>
        <v>-</v>
      </c>
      <c r="M46" s="12" t="str">
        <f t="shared" si="15"/>
        <v>-</v>
      </c>
      <c r="N46" s="12" t="str">
        <f t="shared" si="16"/>
        <v>-</v>
      </c>
      <c r="O46" s="12" t="str">
        <f t="shared" si="17"/>
        <v>-</v>
      </c>
      <c r="P46" s="12" t="str">
        <f t="shared" si="18"/>
        <v>-</v>
      </c>
      <c r="Q46" s="12" t="str">
        <f t="shared" si="19"/>
        <v>-</v>
      </c>
      <c r="R46" s="12" t="str">
        <f t="shared" si="20"/>
        <v>-</v>
      </c>
      <c r="S46" s="12" t="str">
        <f t="shared" si="21"/>
        <v>-</v>
      </c>
      <c r="T46" s="12" t="str">
        <f t="shared" si="22"/>
        <v>-</v>
      </c>
      <c r="U46" s="12" t="str">
        <f t="shared" si="23"/>
        <v>-</v>
      </c>
      <c r="V46" s="12" t="str">
        <f t="shared" si="24"/>
        <v>-</v>
      </c>
      <c r="W46" s="12" t="str">
        <f t="shared" si="25"/>
        <v>-</v>
      </c>
      <c r="X46" s="12" t="str">
        <f t="shared" si="26"/>
        <v>-</v>
      </c>
      <c r="Y46" s="12" t="str">
        <f t="shared" si="27"/>
        <v>-</v>
      </c>
      <c r="Z46" s="12" t="str">
        <f t="shared" si="28"/>
        <v>-</v>
      </c>
      <c r="AA46" s="12" t="str">
        <f t="shared" si="29"/>
        <v>-</v>
      </c>
      <c r="AB46" s="12" t="str">
        <f t="shared" si="30"/>
        <v>-</v>
      </c>
      <c r="AC46" s="12" t="str">
        <f t="shared" si="31"/>
        <v>-</v>
      </c>
      <c r="AD46" s="12" t="str">
        <f t="shared" si="32"/>
        <v>-</v>
      </c>
      <c r="AE46" s="12" t="str">
        <f t="shared" si="33"/>
        <v>-</v>
      </c>
      <c r="AF46" s="12" t="str">
        <f t="shared" si="34"/>
        <v>-</v>
      </c>
      <c r="AG46" s="12" t="str">
        <f t="shared" si="35"/>
        <v>-</v>
      </c>
      <c r="AH46" s="12" t="str">
        <f t="shared" si="36"/>
        <v>-</v>
      </c>
      <c r="AI46" s="12" t="str">
        <f t="shared" si="37"/>
        <v>-</v>
      </c>
      <c r="AJ46" s="12" t="str">
        <f t="shared" si="38"/>
        <v>-</v>
      </c>
      <c r="AM46" s="169">
        <f t="shared" ca="1" si="39"/>
        <v>0</v>
      </c>
      <c r="AN46" s="12">
        <f t="shared" ca="1" si="40"/>
        <v>0</v>
      </c>
      <c r="AO46" s="12">
        <f t="shared" ca="1" si="41"/>
        <v>0</v>
      </c>
      <c r="AQ46" s="29"/>
      <c r="AR46" s="52" t="s">
        <v>199</v>
      </c>
      <c r="AS46" s="191"/>
      <c r="AT46" s="193" t="s">
        <v>93</v>
      </c>
      <c r="AU46" s="175">
        <v>0</v>
      </c>
      <c r="AV46" s="175">
        <v>0</v>
      </c>
      <c r="AW46" s="190" t="s">
        <v>424</v>
      </c>
      <c r="AX46" s="166"/>
      <c r="AY46" s="166"/>
      <c r="AZ46" s="166"/>
      <c r="BA46" s="166"/>
      <c r="BB46" s="166"/>
      <c r="BC46" s="166"/>
      <c r="BD46" s="166"/>
      <c r="BE46" s="166"/>
      <c r="BF46" s="166"/>
      <c r="BG46" s="166"/>
      <c r="BH46" s="166"/>
      <c r="BI46" s="166"/>
      <c r="BJ46" s="166"/>
      <c r="BK46" s="166"/>
      <c r="BL46" s="166"/>
      <c r="BM46" s="166"/>
      <c r="BN46" s="166"/>
      <c r="BO46" s="166"/>
      <c r="BP46" s="166"/>
      <c r="BQ46" s="166"/>
      <c r="BR46" s="166"/>
      <c r="BS46" s="166"/>
      <c r="BT46" s="166"/>
      <c r="BU46" s="166"/>
      <c r="BV46" s="166"/>
      <c r="BW46" s="166"/>
      <c r="BX46" s="166"/>
      <c r="BY46" s="166"/>
      <c r="BZ46" s="166"/>
      <c r="CA46" s="166"/>
      <c r="CB46" s="40"/>
    </row>
    <row r="47" spans="1:80" ht="15.75" customHeight="1" x14ac:dyDescent="0.2">
      <c r="A47" s="39" t="s">
        <v>37</v>
      </c>
      <c r="B47" s="12">
        <v>5</v>
      </c>
      <c r="C47" s="12">
        <v>136</v>
      </c>
      <c r="D47" s="49" t="s">
        <v>232</v>
      </c>
      <c r="F47" s="12">
        <f t="shared" si="8"/>
        <v>1</v>
      </c>
      <c r="G47" s="12" t="str">
        <f t="shared" si="9"/>
        <v>-</v>
      </c>
      <c r="H47" s="12" t="str">
        <f t="shared" si="10"/>
        <v>-</v>
      </c>
      <c r="I47" s="12" t="str">
        <f t="shared" si="11"/>
        <v>-</v>
      </c>
      <c r="J47" s="12" t="str">
        <f t="shared" si="12"/>
        <v>-</v>
      </c>
      <c r="K47" s="12" t="str">
        <f t="shared" si="13"/>
        <v>-</v>
      </c>
      <c r="L47" s="12" t="str">
        <f t="shared" si="14"/>
        <v>-</v>
      </c>
      <c r="M47" s="12" t="str">
        <f t="shared" si="15"/>
        <v>-</v>
      </c>
      <c r="N47" s="12" t="str">
        <f t="shared" si="16"/>
        <v>-</v>
      </c>
      <c r="O47" s="12" t="str">
        <f t="shared" si="17"/>
        <v>-</v>
      </c>
      <c r="P47" s="12" t="str">
        <f t="shared" si="18"/>
        <v>-</v>
      </c>
      <c r="Q47" s="12" t="str">
        <f t="shared" si="19"/>
        <v>-</v>
      </c>
      <c r="R47" s="12" t="str">
        <f t="shared" si="20"/>
        <v>-</v>
      </c>
      <c r="S47" s="12" t="str">
        <f t="shared" si="21"/>
        <v>-</v>
      </c>
      <c r="T47" s="12" t="str">
        <f t="shared" si="22"/>
        <v>-</v>
      </c>
      <c r="U47" s="12" t="str">
        <f t="shared" si="23"/>
        <v>-</v>
      </c>
      <c r="V47" s="12" t="str">
        <f t="shared" si="24"/>
        <v>-</v>
      </c>
      <c r="W47" s="12" t="str">
        <f t="shared" si="25"/>
        <v>-</v>
      </c>
      <c r="X47" s="12" t="str">
        <f t="shared" si="26"/>
        <v>-</v>
      </c>
      <c r="Y47" s="12" t="str">
        <f t="shared" si="27"/>
        <v>-</v>
      </c>
      <c r="Z47" s="12" t="str">
        <f t="shared" si="28"/>
        <v>-</v>
      </c>
      <c r="AA47" s="12" t="str">
        <f t="shared" si="29"/>
        <v>-</v>
      </c>
      <c r="AB47" s="12" t="str">
        <f t="shared" si="30"/>
        <v>-</v>
      </c>
      <c r="AC47" s="12" t="str">
        <f t="shared" si="31"/>
        <v>-</v>
      </c>
      <c r="AD47" s="12" t="str">
        <f t="shared" si="32"/>
        <v>-</v>
      </c>
      <c r="AE47" s="12" t="str">
        <f t="shared" si="33"/>
        <v>-</v>
      </c>
      <c r="AF47" s="12" t="str">
        <f t="shared" si="34"/>
        <v>-</v>
      </c>
      <c r="AG47" s="12" t="str">
        <f t="shared" si="35"/>
        <v>-</v>
      </c>
      <c r="AH47" s="12" t="str">
        <f t="shared" si="36"/>
        <v>-</v>
      </c>
      <c r="AI47" s="12" t="str">
        <f t="shared" si="37"/>
        <v>-</v>
      </c>
      <c r="AJ47" s="12" t="str">
        <f t="shared" si="38"/>
        <v>-</v>
      </c>
      <c r="AM47" s="169">
        <f t="shared" ca="1" si="39"/>
        <v>0</v>
      </c>
      <c r="AN47" s="12">
        <f t="shared" ca="1" si="40"/>
        <v>0</v>
      </c>
      <c r="AO47" s="12">
        <f t="shared" ca="1" si="41"/>
        <v>0</v>
      </c>
      <c r="AQ47" s="29"/>
      <c r="AR47" s="52" t="s">
        <v>200</v>
      </c>
      <c r="AS47" s="191"/>
      <c r="AT47" s="193" t="s">
        <v>93</v>
      </c>
      <c r="AU47" s="175">
        <v>0</v>
      </c>
      <c r="AV47" s="175">
        <v>0</v>
      </c>
      <c r="AW47" s="190" t="s">
        <v>424</v>
      </c>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6"/>
      <c r="BT47" s="166"/>
      <c r="BU47" s="166"/>
      <c r="BV47" s="166"/>
      <c r="BW47" s="166"/>
      <c r="BX47" s="166"/>
      <c r="BY47" s="166"/>
      <c r="BZ47" s="166"/>
      <c r="CA47" s="166"/>
      <c r="CB47" s="40"/>
    </row>
    <row r="48" spans="1:80" ht="15.75" customHeight="1" x14ac:dyDescent="0.2">
      <c r="A48" s="39" t="s">
        <v>37</v>
      </c>
      <c r="B48" s="12">
        <v>5</v>
      </c>
      <c r="C48" s="12">
        <v>136</v>
      </c>
      <c r="D48" s="49" t="s">
        <v>233</v>
      </c>
      <c r="F48" s="12">
        <f t="shared" si="8"/>
        <v>1</v>
      </c>
      <c r="G48" s="12" t="str">
        <f t="shared" si="9"/>
        <v>-</v>
      </c>
      <c r="H48" s="12" t="str">
        <f t="shared" si="10"/>
        <v>-</v>
      </c>
      <c r="I48" s="12" t="str">
        <f t="shared" si="11"/>
        <v>-</v>
      </c>
      <c r="J48" s="12" t="str">
        <f t="shared" si="12"/>
        <v>-</v>
      </c>
      <c r="K48" s="12" t="str">
        <f t="shared" si="13"/>
        <v>-</v>
      </c>
      <c r="L48" s="12" t="str">
        <f t="shared" si="14"/>
        <v>-</v>
      </c>
      <c r="M48" s="12" t="str">
        <f t="shared" si="15"/>
        <v>-</v>
      </c>
      <c r="N48" s="12" t="str">
        <f t="shared" si="16"/>
        <v>-</v>
      </c>
      <c r="O48" s="12" t="str">
        <f t="shared" si="17"/>
        <v>-</v>
      </c>
      <c r="P48" s="12" t="str">
        <f t="shared" si="18"/>
        <v>-</v>
      </c>
      <c r="Q48" s="12" t="str">
        <f t="shared" si="19"/>
        <v>-</v>
      </c>
      <c r="R48" s="12" t="str">
        <f t="shared" si="20"/>
        <v>-</v>
      </c>
      <c r="S48" s="12" t="str">
        <f t="shared" si="21"/>
        <v>-</v>
      </c>
      <c r="T48" s="12" t="str">
        <f t="shared" si="22"/>
        <v>-</v>
      </c>
      <c r="U48" s="12" t="str">
        <f t="shared" si="23"/>
        <v>-</v>
      </c>
      <c r="V48" s="12" t="str">
        <f t="shared" si="24"/>
        <v>-</v>
      </c>
      <c r="W48" s="12" t="str">
        <f t="shared" si="25"/>
        <v>-</v>
      </c>
      <c r="X48" s="12" t="str">
        <f t="shared" si="26"/>
        <v>-</v>
      </c>
      <c r="Y48" s="12" t="str">
        <f t="shared" si="27"/>
        <v>-</v>
      </c>
      <c r="Z48" s="12" t="str">
        <f t="shared" si="28"/>
        <v>-</v>
      </c>
      <c r="AA48" s="12" t="str">
        <f t="shared" si="29"/>
        <v>-</v>
      </c>
      <c r="AB48" s="12" t="str">
        <f t="shared" si="30"/>
        <v>-</v>
      </c>
      <c r="AC48" s="12" t="str">
        <f t="shared" si="31"/>
        <v>-</v>
      </c>
      <c r="AD48" s="12" t="str">
        <f t="shared" si="32"/>
        <v>-</v>
      </c>
      <c r="AE48" s="12" t="str">
        <f t="shared" si="33"/>
        <v>-</v>
      </c>
      <c r="AF48" s="12" t="str">
        <f t="shared" si="34"/>
        <v>-</v>
      </c>
      <c r="AG48" s="12" t="str">
        <f t="shared" si="35"/>
        <v>-</v>
      </c>
      <c r="AH48" s="12" t="str">
        <f t="shared" si="36"/>
        <v>-</v>
      </c>
      <c r="AI48" s="12" t="str">
        <f t="shared" si="37"/>
        <v>-</v>
      </c>
      <c r="AJ48" s="12" t="str">
        <f t="shared" si="38"/>
        <v>-</v>
      </c>
      <c r="AM48" s="169">
        <f t="shared" ca="1" si="39"/>
        <v>0</v>
      </c>
      <c r="AN48" s="12">
        <f t="shared" ca="1" si="40"/>
        <v>0</v>
      </c>
      <c r="AO48" s="12">
        <f t="shared" ca="1" si="41"/>
        <v>0</v>
      </c>
      <c r="AQ48" s="29"/>
      <c r="AR48" s="52" t="s">
        <v>201</v>
      </c>
      <c r="AS48" s="191"/>
      <c r="AT48" s="193" t="s">
        <v>93</v>
      </c>
      <c r="AU48" s="175">
        <v>0</v>
      </c>
      <c r="AV48" s="175">
        <v>0</v>
      </c>
      <c r="AW48" s="190" t="s">
        <v>424</v>
      </c>
      <c r="AX48" s="166"/>
      <c r="AY48" s="166"/>
      <c r="AZ48" s="166"/>
      <c r="BA48" s="166"/>
      <c r="BB48" s="166"/>
      <c r="BC48" s="166"/>
      <c r="BD48" s="166"/>
      <c r="BE48" s="166"/>
      <c r="BF48" s="166"/>
      <c r="BG48" s="166"/>
      <c r="BH48" s="166"/>
      <c r="BI48" s="166"/>
      <c r="BJ48" s="166"/>
      <c r="BK48" s="166"/>
      <c r="BL48" s="166"/>
      <c r="BM48" s="166"/>
      <c r="BN48" s="166"/>
      <c r="BO48" s="166"/>
      <c r="BP48" s="166"/>
      <c r="BQ48" s="166"/>
      <c r="BR48" s="166"/>
      <c r="BS48" s="166"/>
      <c r="BT48" s="166"/>
      <c r="BU48" s="166"/>
      <c r="BV48" s="166"/>
      <c r="BW48" s="166"/>
      <c r="BX48" s="166"/>
      <c r="BY48" s="166"/>
      <c r="BZ48" s="166"/>
      <c r="CA48" s="166"/>
      <c r="CB48" s="40"/>
    </row>
    <row r="49" spans="1:80" ht="4.5" customHeight="1" x14ac:dyDescent="0.2">
      <c r="A49" s="47" t="s">
        <v>39</v>
      </c>
      <c r="B49" s="12">
        <v>5</v>
      </c>
      <c r="C49" s="12">
        <v>136</v>
      </c>
      <c r="D49" s="49" t="s">
        <v>234</v>
      </c>
      <c r="AQ49" s="29"/>
      <c r="AR49" s="27"/>
      <c r="AS49" s="27"/>
      <c r="AT49" s="27"/>
      <c r="AU49" s="27"/>
      <c r="AV49" s="27"/>
      <c r="AW49" s="27"/>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ht="15.75" customHeight="1" x14ac:dyDescent="0.2">
      <c r="A50" s="39" t="s">
        <v>25</v>
      </c>
      <c r="B50" s="12">
        <v>5</v>
      </c>
      <c r="C50" s="12">
        <v>136</v>
      </c>
      <c r="D50" s="49" t="s">
        <v>235</v>
      </c>
      <c r="AM50" s="169">
        <f ca="1">SUM(AM28:AM48)</f>
        <v>0</v>
      </c>
      <c r="AN50" s="12">
        <f ca="1">SUM(AN28:AN48)</f>
        <v>0</v>
      </c>
      <c r="AO50" s="12">
        <f ca="1">SUM(AO28:AO48)</f>
        <v>0</v>
      </c>
      <c r="AQ50" s="29"/>
      <c r="AR50" s="162" t="str">
        <f>INDEX(g_lang_val,MATCH("le_2_2",g_lang_key,0))</f>
        <v xml:space="preserve">Total </v>
      </c>
      <c r="AS50" s="38"/>
      <c r="AT50" s="38"/>
      <c r="AU50" s="50"/>
      <c r="AV50" s="50"/>
      <c r="AW50" s="38"/>
      <c r="AX50" s="74">
        <f t="shared" ref="AX50:CA50" ca="1" si="42">IF(AX$22="","",AX27+AX33)</f>
        <v>0</v>
      </c>
      <c r="AY50" s="74">
        <f t="shared" ca="1" si="42"/>
        <v>0</v>
      </c>
      <c r="AZ50" s="74">
        <f t="shared" ca="1" si="42"/>
        <v>0</v>
      </c>
      <c r="BA50" s="74">
        <f t="shared" ca="1" si="42"/>
        <v>0</v>
      </c>
      <c r="BB50" s="74">
        <f t="shared" ca="1" si="42"/>
        <v>0</v>
      </c>
      <c r="BC50" s="74" t="str">
        <f t="shared" ca="1" si="42"/>
        <v/>
      </c>
      <c r="BD50" s="74" t="str">
        <f t="shared" ca="1" si="42"/>
        <v/>
      </c>
      <c r="BE50" s="74" t="str">
        <f t="shared" ca="1" si="42"/>
        <v/>
      </c>
      <c r="BF50" s="74" t="str">
        <f t="shared" ca="1" si="42"/>
        <v/>
      </c>
      <c r="BG50" s="74" t="str">
        <f t="shared" ca="1" si="42"/>
        <v/>
      </c>
      <c r="BH50" s="74" t="str">
        <f t="shared" ca="1" si="42"/>
        <v/>
      </c>
      <c r="BI50" s="74" t="str">
        <f t="shared" ca="1" si="42"/>
        <v/>
      </c>
      <c r="BJ50" s="74" t="str">
        <f t="shared" ca="1" si="42"/>
        <v/>
      </c>
      <c r="BK50" s="74" t="str">
        <f t="shared" ca="1" si="42"/>
        <v/>
      </c>
      <c r="BL50" s="74" t="str">
        <f t="shared" ca="1" si="42"/>
        <v/>
      </c>
      <c r="BM50" s="74" t="str">
        <f t="shared" ca="1" si="42"/>
        <v/>
      </c>
      <c r="BN50" s="74" t="str">
        <f t="shared" ca="1" si="42"/>
        <v/>
      </c>
      <c r="BO50" s="74" t="str">
        <f t="shared" ca="1" si="42"/>
        <v/>
      </c>
      <c r="BP50" s="74" t="str">
        <f t="shared" ca="1" si="42"/>
        <v/>
      </c>
      <c r="BQ50" s="74" t="str">
        <f t="shared" ca="1" si="42"/>
        <v/>
      </c>
      <c r="BR50" s="74" t="str">
        <f t="shared" ca="1" si="42"/>
        <v/>
      </c>
      <c r="BS50" s="74" t="str">
        <f t="shared" ca="1" si="42"/>
        <v/>
      </c>
      <c r="BT50" s="74" t="str">
        <f t="shared" ca="1" si="42"/>
        <v/>
      </c>
      <c r="BU50" s="74" t="str">
        <f t="shared" ca="1" si="42"/>
        <v/>
      </c>
      <c r="BV50" s="74" t="str">
        <f t="shared" ca="1" si="42"/>
        <v/>
      </c>
      <c r="BW50" s="74" t="str">
        <f t="shared" ca="1" si="42"/>
        <v/>
      </c>
      <c r="BX50" s="74" t="str">
        <f t="shared" ca="1" si="42"/>
        <v/>
      </c>
      <c r="BY50" s="74" t="str">
        <f t="shared" ca="1" si="42"/>
        <v/>
      </c>
      <c r="BZ50" s="74" t="str">
        <f t="shared" ca="1" si="42"/>
        <v/>
      </c>
      <c r="CA50" s="74" t="str">
        <f t="shared" ca="1" si="42"/>
        <v/>
      </c>
      <c r="CB50" s="74"/>
    </row>
    <row r="51" spans="1:80" ht="4.5" customHeight="1" x14ac:dyDescent="0.2">
      <c r="A51" s="39" t="s">
        <v>26</v>
      </c>
      <c r="B51" s="12">
        <v>5</v>
      </c>
      <c r="C51" s="12">
        <v>136</v>
      </c>
      <c r="D51" s="49" t="s">
        <v>236</v>
      </c>
      <c r="AQ51" s="29"/>
      <c r="AR51" s="27"/>
      <c r="AS51" s="27"/>
      <c r="AT51" s="27"/>
      <c r="AU51" s="27"/>
      <c r="AV51" s="27"/>
      <c r="AW51" s="27"/>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ht="4.5" customHeight="1" x14ac:dyDescent="0.2">
      <c r="A52" s="49" t="s">
        <v>26</v>
      </c>
      <c r="B52" s="12">
        <v>5</v>
      </c>
      <c r="C52" s="12">
        <v>136</v>
      </c>
      <c r="D52" s="49" t="s">
        <v>237</v>
      </c>
      <c r="AQ52" s="29"/>
      <c r="AR52" s="24"/>
      <c r="AS52" s="24"/>
      <c r="AT52" s="24"/>
      <c r="AU52" s="24"/>
      <c r="AV52" s="24"/>
      <c r="AW52" s="24"/>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row>
    <row r="53" spans="1:80" ht="4.5" customHeight="1" x14ac:dyDescent="0.2">
      <c r="A53" s="39" t="s">
        <v>30</v>
      </c>
      <c r="B53" s="12">
        <v>5</v>
      </c>
      <c r="C53" s="12">
        <v>136</v>
      </c>
      <c r="D53" s="49" t="s">
        <v>238</v>
      </c>
      <c r="AQ53" s="29"/>
      <c r="AR53" s="247"/>
      <c r="AS53" s="247"/>
      <c r="AT53" s="247"/>
      <c r="AU53" s="247"/>
      <c r="AV53" s="247"/>
      <c r="AW53" s="242"/>
      <c r="AX53" s="199"/>
      <c r="AY53" s="199"/>
      <c r="AZ53" s="199"/>
      <c r="BA53" s="199"/>
      <c r="BB53" s="199"/>
      <c r="BC53" s="199"/>
      <c r="BD53" s="199"/>
      <c r="BE53" s="199"/>
      <c r="BF53" s="199"/>
      <c r="BG53" s="199"/>
      <c r="BH53" s="199"/>
      <c r="BI53" s="199"/>
      <c r="BJ53" s="199"/>
      <c r="BK53" s="199"/>
      <c r="BL53" s="199"/>
      <c r="BM53" s="199"/>
      <c r="BN53" s="199"/>
      <c r="BO53" s="199"/>
      <c r="BP53" s="199"/>
      <c r="BQ53" s="199"/>
      <c r="BR53" s="199"/>
      <c r="BS53" s="199"/>
      <c r="BT53" s="199"/>
      <c r="BU53" s="199"/>
      <c r="BV53" s="199"/>
      <c r="BW53" s="199"/>
      <c r="BX53" s="199"/>
      <c r="BY53" s="199"/>
      <c r="BZ53" s="199"/>
      <c r="CA53" s="199"/>
      <c r="CB53" s="82"/>
    </row>
    <row r="54" spans="1:80" ht="15.75" x14ac:dyDescent="0.2">
      <c r="A54" s="39" t="s">
        <v>31</v>
      </c>
      <c r="B54" s="12">
        <v>5</v>
      </c>
      <c r="C54" s="12">
        <v>136</v>
      </c>
      <c r="D54" s="49" t="s">
        <v>239</v>
      </c>
      <c r="AQ54" s="29"/>
      <c r="AR54" s="46" t="str">
        <f>INDEX(g_lang_val,MATCH("so_4_1_1",g_lang_key,0))</f>
        <v>Indtastningsår</v>
      </c>
      <c r="AS54" s="30"/>
      <c r="AT54" s="30"/>
      <c r="AU54" s="30"/>
      <c r="AV54" s="30"/>
      <c r="AW54" s="30"/>
      <c r="AX54" s="200">
        <v>2024</v>
      </c>
      <c r="AY54" s="200">
        <v>2024</v>
      </c>
      <c r="AZ54" s="200">
        <v>2024</v>
      </c>
      <c r="BA54" s="200">
        <v>2024</v>
      </c>
      <c r="BB54" s="200">
        <v>2024</v>
      </c>
      <c r="BC54" s="200">
        <v>2024</v>
      </c>
      <c r="BD54" s="200">
        <v>2024</v>
      </c>
      <c r="BE54" s="200">
        <v>2024</v>
      </c>
      <c r="BF54" s="200">
        <v>2024</v>
      </c>
      <c r="BG54" s="200">
        <v>2024</v>
      </c>
      <c r="BH54" s="200">
        <v>2024</v>
      </c>
      <c r="BI54" s="200">
        <v>2024</v>
      </c>
      <c r="BJ54" s="200">
        <v>2024</v>
      </c>
      <c r="BK54" s="200">
        <v>2024</v>
      </c>
      <c r="BL54" s="200">
        <v>2024</v>
      </c>
      <c r="BM54" s="200">
        <v>2024</v>
      </c>
      <c r="BN54" s="200">
        <v>2024</v>
      </c>
      <c r="BO54" s="200">
        <v>2024</v>
      </c>
      <c r="BP54" s="200">
        <v>2024</v>
      </c>
      <c r="BQ54" s="200">
        <v>2024</v>
      </c>
      <c r="BR54" s="200">
        <v>2024</v>
      </c>
      <c r="BS54" s="200">
        <v>2024</v>
      </c>
      <c r="BT54" s="200">
        <v>2024</v>
      </c>
      <c r="BU54" s="200">
        <v>2024</v>
      </c>
      <c r="BV54" s="200">
        <v>2024</v>
      </c>
      <c r="BW54" s="200">
        <v>2024</v>
      </c>
      <c r="BX54" s="200">
        <v>2024</v>
      </c>
      <c r="BY54" s="200">
        <v>2024</v>
      </c>
      <c r="BZ54" s="200">
        <v>2024</v>
      </c>
      <c r="CA54" s="200">
        <v>2024</v>
      </c>
      <c r="CB54" s="187"/>
    </row>
    <row r="55" spans="1:80" ht="4.5" customHeight="1" x14ac:dyDescent="0.2">
      <c r="A55" s="39" t="s">
        <v>32</v>
      </c>
      <c r="B55" s="12">
        <v>5</v>
      </c>
      <c r="C55" s="12">
        <v>136</v>
      </c>
      <c r="D55" s="49" t="s">
        <v>240</v>
      </c>
      <c r="AQ55" s="29"/>
      <c r="AR55" s="241"/>
      <c r="AS55" s="242"/>
      <c r="AT55" s="242"/>
      <c r="AU55" s="242"/>
      <c r="AV55" s="242"/>
      <c r="AW55" s="242"/>
      <c r="AX55" s="198">
        <f t="shared" ref="AX55" ca="1" si="43">IF(AX$22="","",IF(INDEX(AX53:AX55,2,1)&lt;&gt;0,INDEX(AX53:AX55,2,1),g_pl_year))</f>
        <v>2024</v>
      </c>
      <c r="AY55" s="198">
        <f t="shared" ref="AY55:CA55" ca="1" si="44">IF(AY$22="","",IF(INDEX(AY53:AY55,2,1)&lt;&gt;0,INDEX(AY53:AY55,2,1),g_pl_year))</f>
        <v>2024</v>
      </c>
      <c r="AZ55" s="198">
        <f t="shared" ca="1" si="44"/>
        <v>2024</v>
      </c>
      <c r="BA55" s="198">
        <f t="shared" ca="1" si="44"/>
        <v>2024</v>
      </c>
      <c r="BB55" s="198">
        <f t="shared" ca="1" si="44"/>
        <v>2024</v>
      </c>
      <c r="BC55" s="198" t="str">
        <f t="shared" ca="1" si="44"/>
        <v/>
      </c>
      <c r="BD55" s="198" t="str">
        <f t="shared" ca="1" si="44"/>
        <v/>
      </c>
      <c r="BE55" s="198" t="str">
        <f t="shared" ca="1" si="44"/>
        <v/>
      </c>
      <c r="BF55" s="198" t="str">
        <f t="shared" ca="1" si="44"/>
        <v/>
      </c>
      <c r="BG55" s="198" t="str">
        <f t="shared" ca="1" si="44"/>
        <v/>
      </c>
      <c r="BH55" s="198" t="str">
        <f t="shared" ca="1" si="44"/>
        <v/>
      </c>
      <c r="BI55" s="198" t="str">
        <f t="shared" ca="1" si="44"/>
        <v/>
      </c>
      <c r="BJ55" s="198" t="str">
        <f t="shared" ca="1" si="44"/>
        <v/>
      </c>
      <c r="BK55" s="198" t="str">
        <f t="shared" ca="1" si="44"/>
        <v/>
      </c>
      <c r="BL55" s="198" t="str">
        <f t="shared" ca="1" si="44"/>
        <v/>
      </c>
      <c r="BM55" s="198" t="str">
        <f t="shared" ca="1" si="44"/>
        <v/>
      </c>
      <c r="BN55" s="198" t="str">
        <f t="shared" ca="1" si="44"/>
        <v/>
      </c>
      <c r="BO55" s="198" t="str">
        <f t="shared" ca="1" si="44"/>
        <v/>
      </c>
      <c r="BP55" s="198" t="str">
        <f t="shared" ca="1" si="44"/>
        <v/>
      </c>
      <c r="BQ55" s="198" t="str">
        <f t="shared" ca="1" si="44"/>
        <v/>
      </c>
      <c r="BR55" s="198" t="str">
        <f t="shared" ca="1" si="44"/>
        <v/>
      </c>
      <c r="BS55" s="198" t="str">
        <f t="shared" ca="1" si="44"/>
        <v/>
      </c>
      <c r="BT55" s="198" t="str">
        <f t="shared" ca="1" si="44"/>
        <v/>
      </c>
      <c r="BU55" s="198" t="str">
        <f t="shared" ca="1" si="44"/>
        <v/>
      </c>
      <c r="BV55" s="198" t="str">
        <f t="shared" ca="1" si="44"/>
        <v/>
      </c>
      <c r="BW55" s="198" t="str">
        <f t="shared" ca="1" si="44"/>
        <v/>
      </c>
      <c r="BX55" s="198" t="str">
        <f t="shared" ca="1" si="44"/>
        <v/>
      </c>
      <c r="BY55" s="198" t="str">
        <f t="shared" ca="1" si="44"/>
        <v/>
      </c>
      <c r="BZ55" s="198" t="str">
        <f t="shared" ca="1" si="44"/>
        <v/>
      </c>
      <c r="CA55" s="198" t="str">
        <f t="shared" ca="1" si="44"/>
        <v/>
      </c>
      <c r="CB55" s="83"/>
    </row>
    <row r="56" spans="1:80" s="42" customFormat="1" ht="21" customHeight="1" x14ac:dyDescent="0.2">
      <c r="A56" s="41" t="s">
        <v>25</v>
      </c>
      <c r="B56" s="42">
        <v>5</v>
      </c>
      <c r="C56" s="42">
        <v>136</v>
      </c>
      <c r="D56" s="41" t="s">
        <v>241</v>
      </c>
      <c r="AN56" s="12"/>
      <c r="AQ56" s="29"/>
      <c r="AR56" s="43"/>
      <c r="AS56" s="44"/>
      <c r="AT56" s="44"/>
      <c r="AU56" s="44"/>
      <c r="AV56" s="44"/>
      <c r="AW56" s="152" t="str">
        <f>INDEX(g_lang_val,MATCH("le_2_3",g_lang_key,0))</f>
        <v>pl-faktor:</v>
      </c>
      <c r="AX56" s="230">
        <f t="shared" ref="AX56:CA56" ca="1" si="45">IF(AX22="","",INDEX(g_pl_factors,(g_reporting_year-g_pl_years_start)*(g_pl_years_end-g_pl_years_start+1)+(AX55-g_pl_years_start+1)))</f>
        <v>1</v>
      </c>
      <c r="AY56" s="230">
        <f t="shared" ca="1" si="45"/>
        <v>1</v>
      </c>
      <c r="AZ56" s="230">
        <f t="shared" ca="1" si="45"/>
        <v>1</v>
      </c>
      <c r="BA56" s="230">
        <f t="shared" ca="1" si="45"/>
        <v>1</v>
      </c>
      <c r="BB56" s="230">
        <f t="shared" ca="1" si="45"/>
        <v>1</v>
      </c>
      <c r="BC56" s="230" t="str">
        <f t="shared" ca="1" si="45"/>
        <v/>
      </c>
      <c r="BD56" s="230" t="str">
        <f t="shared" ca="1" si="45"/>
        <v/>
      </c>
      <c r="BE56" s="230" t="str">
        <f t="shared" ca="1" si="45"/>
        <v/>
      </c>
      <c r="BF56" s="230" t="str">
        <f t="shared" ca="1" si="45"/>
        <v/>
      </c>
      <c r="BG56" s="230" t="str">
        <f t="shared" ca="1" si="45"/>
        <v/>
      </c>
      <c r="BH56" s="230" t="str">
        <f t="shared" ca="1" si="45"/>
        <v/>
      </c>
      <c r="BI56" s="230" t="str">
        <f t="shared" ca="1" si="45"/>
        <v/>
      </c>
      <c r="BJ56" s="230" t="str">
        <f t="shared" ca="1" si="45"/>
        <v/>
      </c>
      <c r="BK56" s="230" t="str">
        <f t="shared" ca="1" si="45"/>
        <v/>
      </c>
      <c r="BL56" s="230" t="str">
        <f t="shared" ca="1" si="45"/>
        <v/>
      </c>
      <c r="BM56" s="230" t="str">
        <f t="shared" ca="1" si="45"/>
        <v/>
      </c>
      <c r="BN56" s="230" t="str">
        <f t="shared" ca="1" si="45"/>
        <v/>
      </c>
      <c r="BO56" s="230" t="str">
        <f t="shared" ca="1" si="45"/>
        <v/>
      </c>
      <c r="BP56" s="230" t="str">
        <f t="shared" ca="1" si="45"/>
        <v/>
      </c>
      <c r="BQ56" s="230" t="str">
        <f t="shared" ca="1" si="45"/>
        <v/>
      </c>
      <c r="BR56" s="230" t="str">
        <f t="shared" ca="1" si="45"/>
        <v/>
      </c>
      <c r="BS56" s="230" t="str">
        <f t="shared" ca="1" si="45"/>
        <v/>
      </c>
      <c r="BT56" s="230" t="str">
        <f t="shared" ca="1" si="45"/>
        <v/>
      </c>
      <c r="BU56" s="230" t="str">
        <f t="shared" ca="1" si="45"/>
        <v/>
      </c>
      <c r="BV56" s="230" t="str">
        <f t="shared" ca="1" si="45"/>
        <v/>
      </c>
      <c r="BW56" s="230" t="str">
        <f t="shared" ca="1" si="45"/>
        <v/>
      </c>
      <c r="BX56" s="230" t="str">
        <f t="shared" ca="1" si="45"/>
        <v/>
      </c>
      <c r="BY56" s="230" t="str">
        <f t="shared" ca="1" si="45"/>
        <v/>
      </c>
      <c r="BZ56" s="230" t="str">
        <f t="shared" ca="1" si="45"/>
        <v/>
      </c>
      <c r="CA56" s="230" t="str">
        <f t="shared" ca="1" si="45"/>
        <v/>
      </c>
      <c r="CB56" s="189"/>
    </row>
    <row r="57" spans="1:80" ht="15.75" customHeight="1" x14ac:dyDescent="0.2">
      <c r="A57" s="47" t="s">
        <v>25</v>
      </c>
      <c r="B57" s="12">
        <v>5</v>
      </c>
      <c r="C57" s="12">
        <v>136</v>
      </c>
      <c r="D57" s="49" t="s">
        <v>242</v>
      </c>
      <c r="AQ57" s="29"/>
      <c r="AR57" s="162" t="str">
        <f>INDEX(g_lang_val,MATCH("le_2_2",g_lang_key,0))&amp;INDEX(g_lang_val,MATCH("le_2_6_1",g_lang_key,0))</f>
        <v xml:space="preserve">Total pl-justeret </v>
      </c>
      <c r="AS57" s="45"/>
      <c r="AT57" s="45"/>
      <c r="AU57" s="50"/>
      <c r="AV57" s="50"/>
      <c r="AW57" s="45"/>
      <c r="AX57" s="74">
        <f ca="1">IF(AX$22="","",AX50*AX56)</f>
        <v>0</v>
      </c>
      <c r="AY57" s="74">
        <f t="shared" ref="AY57:CA57" ca="1" si="46">IF(AY$22="","",AY50*AY56)</f>
        <v>0</v>
      </c>
      <c r="AZ57" s="74">
        <f t="shared" ca="1" si="46"/>
        <v>0</v>
      </c>
      <c r="BA57" s="74">
        <f t="shared" ca="1" si="46"/>
        <v>0</v>
      </c>
      <c r="BB57" s="74">
        <f t="shared" ca="1" si="46"/>
        <v>0</v>
      </c>
      <c r="BC57" s="74" t="str">
        <f t="shared" ca="1" si="46"/>
        <v/>
      </c>
      <c r="BD57" s="74" t="str">
        <f t="shared" ca="1" si="46"/>
        <v/>
      </c>
      <c r="BE57" s="74" t="str">
        <f t="shared" ca="1" si="46"/>
        <v/>
      </c>
      <c r="BF57" s="74" t="str">
        <f t="shared" ca="1" si="46"/>
        <v/>
      </c>
      <c r="BG57" s="74" t="str">
        <f t="shared" ca="1" si="46"/>
        <v/>
      </c>
      <c r="BH57" s="74" t="str">
        <f t="shared" ca="1" si="46"/>
        <v/>
      </c>
      <c r="BI57" s="74" t="str">
        <f t="shared" ca="1" si="46"/>
        <v/>
      </c>
      <c r="BJ57" s="74" t="str">
        <f t="shared" ca="1" si="46"/>
        <v/>
      </c>
      <c r="BK57" s="74" t="str">
        <f t="shared" ca="1" si="46"/>
        <v/>
      </c>
      <c r="BL57" s="74" t="str">
        <f t="shared" ca="1" si="46"/>
        <v/>
      </c>
      <c r="BM57" s="74" t="str">
        <f t="shared" ca="1" si="46"/>
        <v/>
      </c>
      <c r="BN57" s="74" t="str">
        <f t="shared" ca="1" si="46"/>
        <v/>
      </c>
      <c r="BO57" s="74" t="str">
        <f t="shared" ca="1" si="46"/>
        <v/>
      </c>
      <c r="BP57" s="74" t="str">
        <f t="shared" ca="1" si="46"/>
        <v/>
      </c>
      <c r="BQ57" s="74" t="str">
        <f t="shared" ca="1" si="46"/>
        <v/>
      </c>
      <c r="BR57" s="74" t="str">
        <f t="shared" ca="1" si="46"/>
        <v/>
      </c>
      <c r="BS57" s="74" t="str">
        <f t="shared" ca="1" si="46"/>
        <v/>
      </c>
      <c r="BT57" s="74" t="str">
        <f t="shared" ca="1" si="46"/>
        <v/>
      </c>
      <c r="BU57" s="74" t="str">
        <f t="shared" ca="1" si="46"/>
        <v/>
      </c>
      <c r="BV57" s="74" t="str">
        <f t="shared" ca="1" si="46"/>
        <v/>
      </c>
      <c r="BW57" s="74" t="str">
        <f t="shared" ca="1" si="46"/>
        <v/>
      </c>
      <c r="BX57" s="74" t="str">
        <f t="shared" ca="1" si="46"/>
        <v/>
      </c>
      <c r="BY57" s="74" t="str">
        <f t="shared" ca="1" si="46"/>
        <v/>
      </c>
      <c r="BZ57" s="74" t="str">
        <f t="shared" ca="1" si="46"/>
        <v/>
      </c>
      <c r="CA57" s="74" t="str">
        <f t="shared" ca="1" si="46"/>
        <v/>
      </c>
      <c r="CB57" s="74"/>
    </row>
    <row r="58" spans="1:80" ht="4.5" customHeight="1" x14ac:dyDescent="0.2">
      <c r="A58" s="47" t="s">
        <v>26</v>
      </c>
      <c r="B58" s="12">
        <v>5</v>
      </c>
      <c r="C58" s="12">
        <v>136</v>
      </c>
      <c r="D58" s="49" t="s">
        <v>243</v>
      </c>
      <c r="AQ58" s="29"/>
      <c r="AR58" s="27"/>
      <c r="AS58" s="27"/>
      <c r="AT58" s="27"/>
      <c r="AU58" s="27"/>
      <c r="AV58" s="27"/>
      <c r="AW58" s="27"/>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ht="4.5" customHeight="1" x14ac:dyDescent="0.2">
      <c r="A59" s="47" t="s">
        <v>24</v>
      </c>
      <c r="B59" s="12">
        <v>5</v>
      </c>
      <c r="C59" s="12">
        <v>136</v>
      </c>
      <c r="D59" s="49" t="s">
        <v>244</v>
      </c>
      <c r="AQ59" s="29"/>
      <c r="AR59" s="24"/>
      <c r="AS59" s="24"/>
      <c r="AT59" s="24"/>
      <c r="AU59" s="24"/>
      <c r="AV59" s="24"/>
      <c r="AW59" s="24"/>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row>
    <row r="60" spans="1:80" ht="4.5" customHeight="1" x14ac:dyDescent="0.2">
      <c r="A60" s="49" t="s">
        <v>26</v>
      </c>
      <c r="B60" s="12">
        <v>5</v>
      </c>
      <c r="C60" s="12">
        <v>136</v>
      </c>
      <c r="D60" s="49" t="s">
        <v>245</v>
      </c>
      <c r="AQ60" s="29"/>
      <c r="AR60" s="241"/>
      <c r="AS60" s="242"/>
      <c r="AT60" s="242"/>
      <c r="AU60" s="242"/>
      <c r="AV60" s="242"/>
      <c r="AW60" s="242"/>
      <c r="AX60" s="196"/>
      <c r="AY60" s="196"/>
      <c r="AZ60" s="196"/>
      <c r="BA60" s="196"/>
      <c r="BB60" s="196"/>
      <c r="BC60" s="196"/>
      <c r="BD60" s="196"/>
      <c r="BE60" s="196"/>
      <c r="BF60" s="196"/>
      <c r="BG60" s="196"/>
      <c r="BH60" s="196"/>
      <c r="BI60" s="196"/>
      <c r="BJ60" s="196"/>
      <c r="BK60" s="196"/>
      <c r="BL60" s="196"/>
      <c r="BM60" s="196"/>
      <c r="BN60" s="196"/>
      <c r="BO60" s="196"/>
      <c r="BP60" s="196"/>
      <c r="BQ60" s="196"/>
      <c r="BR60" s="196"/>
      <c r="BS60" s="196"/>
      <c r="BT60" s="196"/>
      <c r="BU60" s="196"/>
      <c r="BV60" s="196"/>
      <c r="BW60" s="196"/>
      <c r="BX60" s="196"/>
      <c r="BY60" s="196"/>
      <c r="BZ60" s="196"/>
      <c r="CA60" s="196"/>
      <c r="CB60" s="48"/>
    </row>
    <row r="61" spans="1:80" ht="15.75" customHeight="1" x14ac:dyDescent="0.2">
      <c r="A61" s="49" t="s">
        <v>40</v>
      </c>
      <c r="B61" s="12">
        <v>5</v>
      </c>
      <c r="C61" s="12">
        <v>136</v>
      </c>
      <c r="D61" s="49" t="s">
        <v>246</v>
      </c>
      <c r="AQ61" s="29"/>
      <c r="AR61" s="53" t="str">
        <f>INDEX(g_lang_val,MATCH("le_2_5",g_lang_key,0))</f>
        <v>Risikopulje</v>
      </c>
      <c r="AS61" s="30"/>
      <c r="AT61" s="30"/>
      <c r="AU61" s="30"/>
      <c r="AV61" s="217"/>
      <c r="AW61" s="95" t="str">
        <f>INDEX(g_lang_val,MATCH("le_2_5_1",g_lang_key,0))</f>
        <v>Indplacering af risikopuljen (pct.):</v>
      </c>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c r="BX61" s="197"/>
      <c r="BY61" s="197"/>
      <c r="BZ61" s="197"/>
      <c r="CA61" s="197"/>
      <c r="CB61" s="151"/>
    </row>
    <row r="62" spans="1:80" ht="4.5" customHeight="1" x14ac:dyDescent="0.2">
      <c r="A62" s="49" t="s">
        <v>41</v>
      </c>
      <c r="B62" s="12">
        <v>5</v>
      </c>
      <c r="C62" s="12">
        <v>136</v>
      </c>
      <c r="D62" s="49" t="s">
        <v>247</v>
      </c>
      <c r="AQ62" s="29"/>
      <c r="AR62" s="241"/>
      <c r="AS62" s="242"/>
      <c r="AT62" s="242"/>
      <c r="AU62" s="242"/>
      <c r="AV62" s="242"/>
      <c r="AW62" s="242"/>
      <c r="AX62" s="196"/>
      <c r="AY62" s="196"/>
      <c r="AZ62" s="196"/>
      <c r="BA62" s="196"/>
      <c r="BB62" s="196"/>
      <c r="BC62" s="196"/>
      <c r="BD62" s="196"/>
      <c r="BE62" s="196"/>
      <c r="BF62" s="196"/>
      <c r="BG62" s="196"/>
      <c r="BH62" s="196"/>
      <c r="BI62" s="196"/>
      <c r="BJ62" s="196"/>
      <c r="BK62" s="196"/>
      <c r="BL62" s="196"/>
      <c r="BM62" s="196"/>
      <c r="BN62" s="196"/>
      <c r="BO62" s="196"/>
      <c r="BP62" s="196"/>
      <c r="BQ62" s="196"/>
      <c r="BR62" s="196"/>
      <c r="BS62" s="196"/>
      <c r="BT62" s="196"/>
      <c r="BU62" s="196"/>
      <c r="BV62" s="196"/>
      <c r="BW62" s="196"/>
      <c r="BX62" s="196"/>
      <c r="BY62" s="196"/>
      <c r="BZ62" s="196"/>
      <c r="CA62" s="196"/>
      <c r="CB62" s="48"/>
    </row>
    <row r="63" spans="1:80" ht="4.5" customHeight="1" x14ac:dyDescent="0.2">
      <c r="A63" s="49" t="s">
        <v>38</v>
      </c>
      <c r="B63" s="12">
        <v>5</v>
      </c>
      <c r="C63" s="12">
        <v>136</v>
      </c>
      <c r="D63" s="49" t="s">
        <v>217</v>
      </c>
      <c r="AQ63" s="29"/>
      <c r="AR63" s="27"/>
      <c r="AS63" s="27"/>
      <c r="AT63" s="27"/>
      <c r="AU63" s="27"/>
      <c r="AV63" s="27"/>
      <c r="AW63" s="27"/>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row>
    <row r="64" spans="1:80" ht="15.75" customHeight="1" x14ac:dyDescent="0.2">
      <c r="A64" s="47" t="s">
        <v>40</v>
      </c>
      <c r="B64" s="12">
        <v>5</v>
      </c>
      <c r="C64" s="12">
        <v>136</v>
      </c>
      <c r="D64" s="49" t="s">
        <v>246</v>
      </c>
      <c r="AQ64" s="29"/>
      <c r="AR64" s="161" t="str">
        <f>INDEX(g_lang_val,MATCH("le_2_6",g_lang_key,0))&amp;INDEX(g_lang_val,MATCH("le_2_6_1",g_lang_key,0))</f>
        <v xml:space="preserve">Riskopulje pl-justeret </v>
      </c>
      <c r="AS64" s="32"/>
      <c r="AT64" s="31"/>
      <c r="AU64" s="32"/>
      <c r="AV64" s="51"/>
      <c r="AW64" s="32"/>
      <c r="AX64" s="216">
        <f t="shared" ref="AX64:CA64" ca="1" si="47">IF(AX$22="","",($AV$61*AX61)*AX56)</f>
        <v>0</v>
      </c>
      <c r="AY64" s="216">
        <f t="shared" ca="1" si="47"/>
        <v>0</v>
      </c>
      <c r="AZ64" s="216">
        <f t="shared" ca="1" si="47"/>
        <v>0</v>
      </c>
      <c r="BA64" s="216">
        <f t="shared" ca="1" si="47"/>
        <v>0</v>
      </c>
      <c r="BB64" s="216">
        <f t="shared" ca="1" si="47"/>
        <v>0</v>
      </c>
      <c r="BC64" s="216" t="str">
        <f t="shared" ca="1" si="47"/>
        <v/>
      </c>
      <c r="BD64" s="216" t="str">
        <f t="shared" ca="1" si="47"/>
        <v/>
      </c>
      <c r="BE64" s="216" t="str">
        <f t="shared" ca="1" si="47"/>
        <v/>
      </c>
      <c r="BF64" s="216" t="str">
        <f t="shared" ca="1" si="47"/>
        <v/>
      </c>
      <c r="BG64" s="216" t="str">
        <f t="shared" ca="1" si="47"/>
        <v/>
      </c>
      <c r="BH64" s="216" t="str">
        <f t="shared" ca="1" si="47"/>
        <v/>
      </c>
      <c r="BI64" s="216" t="str">
        <f t="shared" ca="1" si="47"/>
        <v/>
      </c>
      <c r="BJ64" s="216" t="str">
        <f t="shared" ca="1" si="47"/>
        <v/>
      </c>
      <c r="BK64" s="216" t="str">
        <f t="shared" ca="1" si="47"/>
        <v/>
      </c>
      <c r="BL64" s="216" t="str">
        <f t="shared" ca="1" si="47"/>
        <v/>
      </c>
      <c r="BM64" s="216" t="str">
        <f t="shared" ca="1" si="47"/>
        <v/>
      </c>
      <c r="BN64" s="216" t="str">
        <f t="shared" ca="1" si="47"/>
        <v/>
      </c>
      <c r="BO64" s="216" t="str">
        <f t="shared" ca="1" si="47"/>
        <v/>
      </c>
      <c r="BP64" s="216" t="str">
        <f t="shared" ca="1" si="47"/>
        <v/>
      </c>
      <c r="BQ64" s="216" t="str">
        <f t="shared" ca="1" si="47"/>
        <v/>
      </c>
      <c r="BR64" s="216" t="str">
        <f t="shared" ca="1" si="47"/>
        <v/>
      </c>
      <c r="BS64" s="216" t="str">
        <f t="shared" ca="1" si="47"/>
        <v/>
      </c>
      <c r="BT64" s="216" t="str">
        <f t="shared" ca="1" si="47"/>
        <v/>
      </c>
      <c r="BU64" s="216" t="str">
        <f t="shared" ca="1" si="47"/>
        <v/>
      </c>
      <c r="BV64" s="216" t="str">
        <f t="shared" ca="1" si="47"/>
        <v/>
      </c>
      <c r="BW64" s="216" t="str">
        <f t="shared" ca="1" si="47"/>
        <v/>
      </c>
      <c r="BX64" s="216" t="str">
        <f t="shared" ca="1" si="47"/>
        <v/>
      </c>
      <c r="BY64" s="216" t="str">
        <f t="shared" ca="1" si="47"/>
        <v/>
      </c>
      <c r="BZ64" s="216" t="str">
        <f t="shared" ca="1" si="47"/>
        <v/>
      </c>
      <c r="CA64" s="216" t="str">
        <f t="shared" ca="1" si="47"/>
        <v/>
      </c>
      <c r="CB64" s="74"/>
    </row>
    <row r="65" spans="1:80" ht="4.5" customHeight="1" thickBot="1" x14ac:dyDescent="0.25">
      <c r="A65" s="47" t="s">
        <v>41</v>
      </c>
      <c r="B65" s="12">
        <v>5</v>
      </c>
      <c r="C65" s="12">
        <v>136</v>
      </c>
      <c r="D65" s="49" t="s">
        <v>247</v>
      </c>
      <c r="AQ65" s="29"/>
      <c r="AR65" s="27"/>
      <c r="AS65" s="27"/>
      <c r="AT65" s="27"/>
      <c r="AU65" s="27"/>
      <c r="AV65" s="27"/>
      <c r="AW65" s="27"/>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row>
    <row r="66" spans="1:80" ht="15.75" customHeight="1" thickTop="1" x14ac:dyDescent="0.2">
      <c r="A66" s="39" t="s">
        <v>42</v>
      </c>
      <c r="B66" s="12">
        <v>5</v>
      </c>
      <c r="C66" s="12">
        <v>136</v>
      </c>
      <c r="D66" s="49" t="s">
        <v>248</v>
      </c>
      <c r="AQ66" s="29"/>
      <c r="AR66" s="162" t="str">
        <f>INDEX(g_lang_val,MATCH("le_2_2",g_lang_key,0))&amp;INDEX(g_lang_val,MATCH("le_2_7",g_lang_key,0))</f>
        <v>Total pl-justeret, inkl. risikopulje</v>
      </c>
      <c r="AS66" s="38"/>
      <c r="AT66" s="38"/>
      <c r="AU66" s="50"/>
      <c r="AV66" s="50"/>
      <c r="AW66" s="38"/>
      <c r="AX66" s="67">
        <f ca="1">IF(AX$22="","",AX57+AX64)</f>
        <v>0</v>
      </c>
      <c r="AY66" s="67">
        <f t="shared" ref="AY66:CA66" ca="1" si="48">IF(AY$22="","",AY57+AY64)</f>
        <v>0</v>
      </c>
      <c r="AZ66" s="67">
        <f t="shared" ca="1" si="48"/>
        <v>0</v>
      </c>
      <c r="BA66" s="67">
        <f t="shared" ca="1" si="48"/>
        <v>0</v>
      </c>
      <c r="BB66" s="67">
        <f t="shared" ca="1" si="48"/>
        <v>0</v>
      </c>
      <c r="BC66" s="67" t="str">
        <f t="shared" ca="1" si="48"/>
        <v/>
      </c>
      <c r="BD66" s="67" t="str">
        <f t="shared" ca="1" si="48"/>
        <v/>
      </c>
      <c r="BE66" s="67" t="str">
        <f t="shared" ca="1" si="48"/>
        <v/>
      </c>
      <c r="BF66" s="67" t="str">
        <f t="shared" ca="1" si="48"/>
        <v/>
      </c>
      <c r="BG66" s="67" t="str">
        <f t="shared" ca="1" si="48"/>
        <v/>
      </c>
      <c r="BH66" s="67" t="str">
        <f t="shared" ca="1" si="48"/>
        <v/>
      </c>
      <c r="BI66" s="67" t="str">
        <f t="shared" ca="1" si="48"/>
        <v/>
      </c>
      <c r="BJ66" s="67" t="str">
        <f t="shared" ca="1" si="48"/>
        <v/>
      </c>
      <c r="BK66" s="67" t="str">
        <f t="shared" ca="1" si="48"/>
        <v/>
      </c>
      <c r="BL66" s="67" t="str">
        <f t="shared" ca="1" si="48"/>
        <v/>
      </c>
      <c r="BM66" s="67" t="str">
        <f t="shared" ca="1" si="48"/>
        <v/>
      </c>
      <c r="BN66" s="67" t="str">
        <f t="shared" ca="1" si="48"/>
        <v/>
      </c>
      <c r="BO66" s="67" t="str">
        <f t="shared" ca="1" si="48"/>
        <v/>
      </c>
      <c r="BP66" s="67" t="str">
        <f t="shared" ca="1" si="48"/>
        <v/>
      </c>
      <c r="BQ66" s="67" t="str">
        <f t="shared" ca="1" si="48"/>
        <v/>
      </c>
      <c r="BR66" s="67" t="str">
        <f t="shared" ca="1" si="48"/>
        <v/>
      </c>
      <c r="BS66" s="67" t="str">
        <f t="shared" ca="1" si="48"/>
        <v/>
      </c>
      <c r="BT66" s="67" t="str">
        <f t="shared" ca="1" si="48"/>
        <v/>
      </c>
      <c r="BU66" s="67" t="str">
        <f t="shared" ca="1" si="48"/>
        <v/>
      </c>
      <c r="BV66" s="67" t="str">
        <f t="shared" ca="1" si="48"/>
        <v/>
      </c>
      <c r="BW66" s="67" t="str">
        <f t="shared" ca="1" si="48"/>
        <v/>
      </c>
      <c r="BX66" s="67" t="str">
        <f t="shared" ca="1" si="48"/>
        <v/>
      </c>
      <c r="BY66" s="67" t="str">
        <f t="shared" ca="1" si="48"/>
        <v/>
      </c>
      <c r="BZ66" s="67" t="str">
        <f t="shared" ca="1" si="48"/>
        <v/>
      </c>
      <c r="CA66" s="67" t="str">
        <f t="shared" ca="1" si="48"/>
        <v/>
      </c>
      <c r="CB66" s="67"/>
    </row>
    <row r="67" spans="1:80" ht="4.5" customHeight="1" x14ac:dyDescent="0.2">
      <c r="A67" s="39" t="s">
        <v>43</v>
      </c>
      <c r="B67" s="12">
        <v>5</v>
      </c>
      <c r="C67" s="12">
        <v>136</v>
      </c>
      <c r="D67" s="49" t="s">
        <v>249</v>
      </c>
      <c r="AQ67" s="29"/>
      <c r="AR67" s="27"/>
      <c r="AS67" s="27"/>
      <c r="AT67" s="27"/>
      <c r="AU67" s="27"/>
      <c r="AV67" s="27"/>
      <c r="AW67" s="27"/>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row>
    <row r="68" spans="1:80" ht="4.5" customHeight="1" x14ac:dyDescent="0.2">
      <c r="A68" s="49" t="s">
        <v>33</v>
      </c>
      <c r="B68" s="12">
        <v>5</v>
      </c>
      <c r="C68" s="12">
        <v>136</v>
      </c>
      <c r="D68" s="49" t="s">
        <v>209</v>
      </c>
      <c r="AQ68" s="29"/>
      <c r="AR68" s="24"/>
      <c r="AS68" s="24"/>
      <c r="AT68" s="24"/>
      <c r="AU68" s="24"/>
      <c r="AV68" s="24"/>
      <c r="AW68" s="24"/>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row>
    <row r="70" spans="1:80" s="13" customFormat="1" ht="29.1" customHeight="1" x14ac:dyDescent="0.2">
      <c r="A70" s="39" t="s">
        <v>44</v>
      </c>
      <c r="B70" s="12">
        <v>5</v>
      </c>
      <c r="C70" s="12">
        <v>136</v>
      </c>
      <c r="D70" s="49" t="s">
        <v>250</v>
      </c>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212" t="str">
        <f>INDEX(g_lang_val,MATCH("le_3",g_lang_key,0))</f>
        <v>Afledte økonomiske omkostninger i tusinde kroner (t. kr.)</v>
      </c>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row>
    <row r="71" spans="1:80" ht="4.5" customHeight="1" x14ac:dyDescent="0.2">
      <c r="A71" s="39" t="s">
        <v>23</v>
      </c>
      <c r="B71" s="12">
        <v>5</v>
      </c>
      <c r="C71" s="12">
        <v>136</v>
      </c>
      <c r="D71" s="49" t="s">
        <v>251</v>
      </c>
      <c r="AQ71" s="209"/>
      <c r="AR71" s="24"/>
      <c r="AS71" s="24"/>
      <c r="AT71" s="24"/>
      <c r="AU71" s="24"/>
      <c r="AV71" s="24"/>
      <c r="AW71" s="24"/>
      <c r="AX71" s="36">
        <f t="shared" ref="AX71:CA71" ca="1" si="49">IF(INDEX(g_sc_1_opex,2)+COLUMN()-50&lt;=INDEX(g_sc_1_opex,3),INDEX(g_sc_1_opex,2)+COLUMN()-50,"")</f>
        <v>2024</v>
      </c>
      <c r="AY71" s="36">
        <f t="shared" ca="1" si="49"/>
        <v>2025</v>
      </c>
      <c r="AZ71" s="36">
        <f t="shared" ca="1" si="49"/>
        <v>2026</v>
      </c>
      <c r="BA71" s="36">
        <f t="shared" ca="1" si="49"/>
        <v>2027</v>
      </c>
      <c r="BB71" s="36">
        <f t="shared" ca="1" si="49"/>
        <v>2028</v>
      </c>
      <c r="BC71" s="36" t="str">
        <f t="shared" ca="1" si="49"/>
        <v/>
      </c>
      <c r="BD71" s="36" t="str">
        <f t="shared" ca="1" si="49"/>
        <v/>
      </c>
      <c r="BE71" s="36" t="str">
        <f t="shared" ca="1" si="49"/>
        <v/>
      </c>
      <c r="BF71" s="36" t="str">
        <f t="shared" ca="1" si="49"/>
        <v/>
      </c>
      <c r="BG71" s="36" t="str">
        <f t="shared" ca="1" si="49"/>
        <v/>
      </c>
      <c r="BH71" s="36" t="str">
        <f t="shared" ca="1" si="49"/>
        <v/>
      </c>
      <c r="BI71" s="36" t="str">
        <f t="shared" ca="1" si="49"/>
        <v/>
      </c>
      <c r="BJ71" s="36" t="str">
        <f t="shared" ca="1" si="49"/>
        <v/>
      </c>
      <c r="BK71" s="36" t="str">
        <f t="shared" ca="1" si="49"/>
        <v/>
      </c>
      <c r="BL71" s="36" t="str">
        <f t="shared" ca="1" si="49"/>
        <v/>
      </c>
      <c r="BM71" s="36" t="str">
        <f t="shared" ca="1" si="49"/>
        <v/>
      </c>
      <c r="BN71" s="36" t="str">
        <f t="shared" ca="1" si="49"/>
        <v/>
      </c>
      <c r="BO71" s="36" t="str">
        <f t="shared" ca="1" si="49"/>
        <v/>
      </c>
      <c r="BP71" s="36" t="str">
        <f t="shared" ca="1" si="49"/>
        <v/>
      </c>
      <c r="BQ71" s="36" t="str">
        <f t="shared" ca="1" si="49"/>
        <v/>
      </c>
      <c r="BR71" s="36" t="str">
        <f t="shared" ca="1" si="49"/>
        <v/>
      </c>
      <c r="BS71" s="36" t="str">
        <f t="shared" ca="1" si="49"/>
        <v/>
      </c>
      <c r="BT71" s="36" t="str">
        <f t="shared" ca="1" si="49"/>
        <v/>
      </c>
      <c r="BU71" s="36" t="str">
        <f t="shared" ca="1" si="49"/>
        <v/>
      </c>
      <c r="BV71" s="36" t="str">
        <f t="shared" ca="1" si="49"/>
        <v/>
      </c>
      <c r="BW71" s="36" t="str">
        <f t="shared" ca="1" si="49"/>
        <v/>
      </c>
      <c r="BX71" s="36" t="str">
        <f t="shared" ca="1" si="49"/>
        <v/>
      </c>
      <c r="BY71" s="36" t="str">
        <f t="shared" ca="1" si="49"/>
        <v/>
      </c>
      <c r="BZ71" s="36" t="str">
        <f t="shared" ca="1" si="49"/>
        <v/>
      </c>
      <c r="CA71" s="36" t="str">
        <f t="shared" ca="1" si="49"/>
        <v/>
      </c>
      <c r="CB71" s="36"/>
    </row>
    <row r="72" spans="1:80" ht="17.25" customHeight="1" x14ac:dyDescent="0.2">
      <c r="A72" s="49" t="s">
        <v>20</v>
      </c>
      <c r="B72" s="12">
        <v>5</v>
      </c>
      <c r="C72" s="12">
        <v>136</v>
      </c>
      <c r="D72" s="49" t="s">
        <v>203</v>
      </c>
      <c r="AQ72" s="209"/>
      <c r="AR72" s="246" t="str">
        <f>INDEX(g_lang_val,MATCH("le_1",g_lang_key,0))</f>
        <v>Vigtigt:</v>
      </c>
      <c r="AS72" s="238"/>
      <c r="AT72" s="238"/>
      <c r="AU72" s="238"/>
      <c r="AV72" s="238"/>
      <c r="AW72" s="238"/>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row>
    <row r="73" spans="1:80" ht="50.1" customHeight="1" x14ac:dyDescent="0.2">
      <c r="A73" s="49" t="s">
        <v>21</v>
      </c>
      <c r="B73" s="12">
        <v>5</v>
      </c>
      <c r="C73" s="12">
        <v>136</v>
      </c>
      <c r="D73" s="49" t="s">
        <v>204</v>
      </c>
      <c r="AQ73" s="209"/>
      <c r="AR73" s="37"/>
      <c r="AS73" s="240" t="str">
        <f>INDEX(g_lang_val,MATCH("le_3_1",g_lang_key,0))</f>
        <v>1) I denne tabel indtastes alene de kommende drifts-, vedligeholds- og udviklingsomkostninger.
2) Der henvises til Model for porteføljestyring af statslige it-systemer for definition af drifts-, vedligeholds- og udviklingsomkostninger, som kan findes på Økonomistyrelsens hjemmeside oes.dk.</v>
      </c>
      <c r="AT73" s="240"/>
      <c r="AU73" s="240"/>
      <c r="AV73" s="240"/>
      <c r="AW73" s="240"/>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row>
    <row r="74" spans="1:80" s="13" customFormat="1" ht="51.75" customHeight="1" x14ac:dyDescent="0.2">
      <c r="A74" s="39" t="s">
        <v>45</v>
      </c>
      <c r="B74" s="12">
        <v>5</v>
      </c>
      <c r="C74" s="12">
        <v>136</v>
      </c>
      <c r="D74" s="49" t="s">
        <v>252</v>
      </c>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209"/>
      <c r="AR74" s="245" t="str">
        <f>INDEX(g_lang_val,MATCH("le_3_2",g_lang_key,0))</f>
        <v>Drifts-, vedligeholds- og udviklingsomkostninger</v>
      </c>
      <c r="AS74" s="245"/>
      <c r="AT74" s="245"/>
      <c r="AU74" s="245"/>
      <c r="AV74" s="245"/>
      <c r="AW74" s="207" t="str">
        <f>INDEX(g_lang_val,MATCH("le_2_1_5",g_lang_key,0))</f>
        <v>Grundlag for estimat</v>
      </c>
      <c r="AX74" s="208">
        <f t="shared" ref="AX74:CA74" ca="1" si="50">AX71</f>
        <v>2024</v>
      </c>
      <c r="AY74" s="208">
        <f t="shared" ca="1" si="50"/>
        <v>2025</v>
      </c>
      <c r="AZ74" s="208">
        <f t="shared" ca="1" si="50"/>
        <v>2026</v>
      </c>
      <c r="BA74" s="208">
        <f t="shared" ca="1" si="50"/>
        <v>2027</v>
      </c>
      <c r="BB74" s="208">
        <f t="shared" ca="1" si="50"/>
        <v>2028</v>
      </c>
      <c r="BC74" s="208" t="str">
        <f t="shared" ca="1" si="50"/>
        <v/>
      </c>
      <c r="BD74" s="208" t="str">
        <f t="shared" ca="1" si="50"/>
        <v/>
      </c>
      <c r="BE74" s="208" t="str">
        <f t="shared" ca="1" si="50"/>
        <v/>
      </c>
      <c r="BF74" s="208" t="str">
        <f t="shared" ca="1" si="50"/>
        <v/>
      </c>
      <c r="BG74" s="208" t="str">
        <f t="shared" ca="1" si="50"/>
        <v/>
      </c>
      <c r="BH74" s="208" t="str">
        <f t="shared" ca="1" si="50"/>
        <v/>
      </c>
      <c r="BI74" s="208" t="str">
        <f t="shared" ca="1" si="50"/>
        <v/>
      </c>
      <c r="BJ74" s="208" t="str">
        <f t="shared" ca="1" si="50"/>
        <v/>
      </c>
      <c r="BK74" s="208" t="str">
        <f t="shared" ca="1" si="50"/>
        <v/>
      </c>
      <c r="BL74" s="208" t="str">
        <f t="shared" ca="1" si="50"/>
        <v/>
      </c>
      <c r="BM74" s="208" t="str">
        <f t="shared" ca="1" si="50"/>
        <v/>
      </c>
      <c r="BN74" s="208" t="str">
        <f t="shared" ca="1" si="50"/>
        <v/>
      </c>
      <c r="BO74" s="208" t="str">
        <f t="shared" ca="1" si="50"/>
        <v/>
      </c>
      <c r="BP74" s="208" t="str">
        <f t="shared" ca="1" si="50"/>
        <v/>
      </c>
      <c r="BQ74" s="208" t="str">
        <f t="shared" ca="1" si="50"/>
        <v/>
      </c>
      <c r="BR74" s="208" t="str">
        <f t="shared" ca="1" si="50"/>
        <v/>
      </c>
      <c r="BS74" s="208" t="str">
        <f t="shared" ca="1" si="50"/>
        <v/>
      </c>
      <c r="BT74" s="208" t="str">
        <f t="shared" ca="1" si="50"/>
        <v/>
      </c>
      <c r="BU74" s="208" t="str">
        <f t="shared" ca="1" si="50"/>
        <v/>
      </c>
      <c r="BV74" s="208" t="str">
        <f t="shared" ca="1" si="50"/>
        <v/>
      </c>
      <c r="BW74" s="208" t="str">
        <f t="shared" ca="1" si="50"/>
        <v/>
      </c>
      <c r="BX74" s="208" t="str">
        <f t="shared" ca="1" si="50"/>
        <v/>
      </c>
      <c r="BY74" s="208" t="str">
        <f t="shared" ca="1" si="50"/>
        <v/>
      </c>
      <c r="BZ74" s="208" t="str">
        <f t="shared" ca="1" si="50"/>
        <v/>
      </c>
      <c r="CA74" s="208" t="str">
        <f t="shared" ca="1" si="50"/>
        <v/>
      </c>
      <c r="CB74" s="208"/>
    </row>
    <row r="75" spans="1:80" s="13" customFormat="1" ht="4.5" customHeight="1" x14ac:dyDescent="0.2">
      <c r="A75" s="39" t="s">
        <v>46</v>
      </c>
      <c r="B75" s="12">
        <v>5</v>
      </c>
      <c r="C75" s="12">
        <v>136</v>
      </c>
      <c r="D75" s="49" t="s">
        <v>253</v>
      </c>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209"/>
      <c r="AR75" s="27"/>
      <c r="AS75" s="27"/>
      <c r="AT75" s="27"/>
      <c r="AU75" s="27"/>
      <c r="AV75" s="27"/>
      <c r="AW75" s="27"/>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row>
    <row r="76" spans="1:80" s="13" customFormat="1" ht="15.75" customHeight="1" x14ac:dyDescent="0.2">
      <c r="A76" s="39" t="s">
        <v>47</v>
      </c>
      <c r="B76" s="12">
        <v>5</v>
      </c>
      <c r="C76" s="12">
        <v>136</v>
      </c>
      <c r="D76" s="49" t="s">
        <v>254</v>
      </c>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209"/>
      <c r="AR76" s="84" t="s">
        <v>262</v>
      </c>
      <c r="AS76" s="194"/>
      <c r="AT76" s="66"/>
      <c r="AU76" s="66"/>
      <c r="AV76" s="66"/>
      <c r="AW76" s="190" t="s">
        <v>424</v>
      </c>
      <c r="AX76" s="166"/>
      <c r="AY76" s="166"/>
      <c r="AZ76" s="166"/>
      <c r="BA76" s="166"/>
      <c r="BB76" s="166"/>
      <c r="BC76" s="166"/>
      <c r="BD76" s="166"/>
      <c r="BE76" s="166"/>
      <c r="BF76" s="166"/>
      <c r="BG76" s="166"/>
      <c r="BH76" s="166"/>
      <c r="BI76" s="166"/>
      <c r="BJ76" s="166"/>
      <c r="BK76" s="166"/>
      <c r="BL76" s="166"/>
      <c r="BM76" s="166"/>
      <c r="BN76" s="166"/>
      <c r="BO76" s="166"/>
      <c r="BP76" s="166"/>
      <c r="BQ76" s="166"/>
      <c r="BR76" s="166"/>
      <c r="BS76" s="166"/>
      <c r="BT76" s="166"/>
      <c r="BU76" s="166"/>
      <c r="BV76" s="166"/>
      <c r="BW76" s="166"/>
      <c r="BX76" s="166"/>
      <c r="BY76" s="166"/>
      <c r="BZ76" s="166"/>
      <c r="CA76" s="166"/>
      <c r="CB76" s="166"/>
    </row>
    <row r="77" spans="1:80" s="13" customFormat="1" ht="15.75" customHeight="1" x14ac:dyDescent="0.2">
      <c r="A77" s="39" t="s">
        <v>47</v>
      </c>
      <c r="B77" s="12">
        <v>5</v>
      </c>
      <c r="C77" s="12">
        <v>136</v>
      </c>
      <c r="D77" s="49" t="s">
        <v>255</v>
      </c>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209"/>
      <c r="AR77" s="84" t="s">
        <v>263</v>
      </c>
      <c r="AS77" s="194"/>
      <c r="AT77" s="66"/>
      <c r="AU77" s="66"/>
      <c r="AV77" s="66"/>
      <c r="AW77" s="190" t="s">
        <v>424</v>
      </c>
      <c r="AX77" s="166"/>
      <c r="AY77" s="166"/>
      <c r="AZ77" s="166"/>
      <c r="BA77" s="166"/>
      <c r="BB77" s="166"/>
      <c r="BC77" s="166"/>
      <c r="BD77" s="166"/>
      <c r="BE77" s="166"/>
      <c r="BF77" s="166"/>
      <c r="BG77" s="166"/>
      <c r="BH77" s="166"/>
      <c r="BI77" s="166"/>
      <c r="BJ77" s="166"/>
      <c r="BK77" s="166"/>
      <c r="BL77" s="166"/>
      <c r="BM77" s="166"/>
      <c r="BN77" s="166"/>
      <c r="BO77" s="166"/>
      <c r="BP77" s="166"/>
      <c r="BQ77" s="166"/>
      <c r="BR77" s="166"/>
      <c r="BS77" s="166"/>
      <c r="BT77" s="166"/>
      <c r="BU77" s="166"/>
      <c r="BV77" s="166"/>
      <c r="BW77" s="166"/>
      <c r="BX77" s="166"/>
      <c r="BY77" s="166"/>
      <c r="BZ77" s="166"/>
      <c r="CA77" s="166"/>
      <c r="CB77" s="166"/>
    </row>
    <row r="78" spans="1:80" s="13" customFormat="1" ht="15.75" customHeight="1" x14ac:dyDescent="0.2">
      <c r="A78" s="39" t="s">
        <v>47</v>
      </c>
      <c r="B78" s="12">
        <v>5</v>
      </c>
      <c r="C78" s="12">
        <v>136</v>
      </c>
      <c r="D78" s="49" t="s">
        <v>256</v>
      </c>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209"/>
      <c r="AR78" s="84" t="s">
        <v>264</v>
      </c>
      <c r="AS78" s="194"/>
      <c r="AT78" s="66"/>
      <c r="AU78" s="66"/>
      <c r="AV78" s="66"/>
      <c r="AW78" s="190" t="s">
        <v>424</v>
      </c>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6"/>
      <c r="CB78" s="166"/>
    </row>
    <row r="79" spans="1:80" s="13" customFormat="1" ht="15.75" customHeight="1" x14ac:dyDescent="0.2">
      <c r="A79" s="39" t="s">
        <v>47</v>
      </c>
      <c r="B79" s="12">
        <v>5</v>
      </c>
      <c r="C79" s="12">
        <v>136</v>
      </c>
      <c r="D79" s="49" t="s">
        <v>257</v>
      </c>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209"/>
      <c r="AR79" s="84" t="s">
        <v>265</v>
      </c>
      <c r="AS79" s="194"/>
      <c r="AT79" s="66"/>
      <c r="AU79" s="66"/>
      <c r="AV79" s="66"/>
      <c r="AW79" s="190" t="s">
        <v>424</v>
      </c>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row>
    <row r="80" spans="1:80" s="13" customFormat="1" ht="15.75" customHeight="1" x14ac:dyDescent="0.2">
      <c r="A80" s="39" t="s">
        <v>47</v>
      </c>
      <c r="B80" s="12">
        <v>5</v>
      </c>
      <c r="C80" s="12">
        <v>136</v>
      </c>
      <c r="D80" s="49" t="s">
        <v>258</v>
      </c>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209"/>
      <c r="AR80" s="84" t="s">
        <v>266</v>
      </c>
      <c r="AS80" s="194"/>
      <c r="AT80" s="66"/>
      <c r="AU80" s="66"/>
      <c r="AV80" s="66"/>
      <c r="AW80" s="190" t="s">
        <v>424</v>
      </c>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row>
    <row r="81" spans="1:80" s="13" customFormat="1" ht="4.5" customHeight="1" x14ac:dyDescent="0.2">
      <c r="A81" s="39" t="s">
        <v>48</v>
      </c>
      <c r="B81" s="12">
        <v>5</v>
      </c>
      <c r="C81" s="12">
        <v>136</v>
      </c>
      <c r="D81" s="49" t="s">
        <v>259</v>
      </c>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209"/>
      <c r="AR81" s="27"/>
      <c r="AS81" s="27"/>
      <c r="AT81" s="27"/>
      <c r="AU81" s="27"/>
      <c r="AV81" s="27"/>
      <c r="AW81" s="27"/>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row>
    <row r="82" spans="1:80" s="13" customFormat="1" ht="15.75" customHeight="1" x14ac:dyDescent="0.2">
      <c r="A82" s="39" t="s">
        <v>49</v>
      </c>
      <c r="B82" s="12">
        <v>5</v>
      </c>
      <c r="C82" s="12">
        <v>136</v>
      </c>
      <c r="D82" s="49" t="s">
        <v>260</v>
      </c>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209"/>
      <c r="AR82" s="162" t="str">
        <f>INDEX(g_lang_val,MATCH("le_2_2",g_lang_key,0))</f>
        <v xml:space="preserve">Total </v>
      </c>
      <c r="AS82" s="163"/>
      <c r="AT82" s="163"/>
      <c r="AU82" s="163"/>
      <c r="AV82" s="163"/>
      <c r="AW82" s="163"/>
      <c r="AX82" s="210">
        <f t="shared" ref="AX82:CA82" ca="1" si="51">IF(AX71="","",SUM(AX75:AX81))</f>
        <v>0</v>
      </c>
      <c r="AY82" s="210">
        <f t="shared" ca="1" si="51"/>
        <v>0</v>
      </c>
      <c r="AZ82" s="210">
        <f t="shared" ca="1" si="51"/>
        <v>0</v>
      </c>
      <c r="BA82" s="210">
        <f t="shared" ca="1" si="51"/>
        <v>0</v>
      </c>
      <c r="BB82" s="210">
        <f t="shared" ca="1" si="51"/>
        <v>0</v>
      </c>
      <c r="BC82" s="210" t="str">
        <f t="shared" ca="1" si="51"/>
        <v/>
      </c>
      <c r="BD82" s="210" t="str">
        <f t="shared" ca="1" si="51"/>
        <v/>
      </c>
      <c r="BE82" s="210" t="str">
        <f t="shared" ca="1" si="51"/>
        <v/>
      </c>
      <c r="BF82" s="210" t="str">
        <f t="shared" ca="1" si="51"/>
        <v/>
      </c>
      <c r="BG82" s="210" t="str">
        <f t="shared" ca="1" si="51"/>
        <v/>
      </c>
      <c r="BH82" s="210" t="str">
        <f t="shared" ca="1" si="51"/>
        <v/>
      </c>
      <c r="BI82" s="210" t="str">
        <f t="shared" ca="1" si="51"/>
        <v/>
      </c>
      <c r="BJ82" s="210" t="str">
        <f t="shared" ca="1" si="51"/>
        <v/>
      </c>
      <c r="BK82" s="210" t="str">
        <f t="shared" ca="1" si="51"/>
        <v/>
      </c>
      <c r="BL82" s="210" t="str">
        <f t="shared" ca="1" si="51"/>
        <v/>
      </c>
      <c r="BM82" s="210" t="str">
        <f t="shared" ca="1" si="51"/>
        <v/>
      </c>
      <c r="BN82" s="210" t="str">
        <f t="shared" ca="1" si="51"/>
        <v/>
      </c>
      <c r="BO82" s="210" t="str">
        <f t="shared" ca="1" si="51"/>
        <v/>
      </c>
      <c r="BP82" s="210" t="str">
        <f t="shared" ca="1" si="51"/>
        <v/>
      </c>
      <c r="BQ82" s="210" t="str">
        <f t="shared" ca="1" si="51"/>
        <v/>
      </c>
      <c r="BR82" s="210" t="str">
        <f t="shared" ca="1" si="51"/>
        <v/>
      </c>
      <c r="BS82" s="210" t="str">
        <f t="shared" ca="1" si="51"/>
        <v/>
      </c>
      <c r="BT82" s="210" t="str">
        <f t="shared" ca="1" si="51"/>
        <v/>
      </c>
      <c r="BU82" s="210" t="str">
        <f t="shared" ca="1" si="51"/>
        <v/>
      </c>
      <c r="BV82" s="210" t="str">
        <f t="shared" ca="1" si="51"/>
        <v/>
      </c>
      <c r="BW82" s="210" t="str">
        <f t="shared" ca="1" si="51"/>
        <v/>
      </c>
      <c r="BX82" s="210" t="str">
        <f t="shared" ca="1" si="51"/>
        <v/>
      </c>
      <c r="BY82" s="210" t="str">
        <f t="shared" ca="1" si="51"/>
        <v/>
      </c>
      <c r="BZ82" s="210" t="str">
        <f t="shared" ca="1" si="51"/>
        <v/>
      </c>
      <c r="CA82" s="210" t="str">
        <f t="shared" ca="1" si="51"/>
        <v/>
      </c>
      <c r="CB82" s="210"/>
    </row>
    <row r="83" spans="1:80" s="13" customFormat="1" ht="4.5" customHeight="1" x14ac:dyDescent="0.2">
      <c r="A83" s="39" t="s">
        <v>50</v>
      </c>
      <c r="B83" s="12">
        <v>5</v>
      </c>
      <c r="C83" s="12">
        <v>136</v>
      </c>
      <c r="D83" s="49" t="s">
        <v>261</v>
      </c>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209"/>
      <c r="AR83" s="27"/>
      <c r="AS83" s="27"/>
      <c r="AT83" s="27"/>
      <c r="AU83" s="27"/>
      <c r="AV83" s="27"/>
      <c r="AW83" s="27"/>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row>
    <row r="84" spans="1:80" ht="4.5" customHeight="1" x14ac:dyDescent="0.2">
      <c r="A84" s="49" t="s">
        <v>26</v>
      </c>
      <c r="B84" s="12">
        <v>5</v>
      </c>
      <c r="C84" s="12">
        <v>136</v>
      </c>
      <c r="D84" s="49" t="s">
        <v>237</v>
      </c>
      <c r="AQ84" s="209"/>
      <c r="AR84" s="24"/>
      <c r="AS84" s="24"/>
      <c r="AT84" s="24"/>
      <c r="AU84" s="24"/>
      <c r="AV84" s="24"/>
      <c r="AW84" s="24"/>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row>
    <row r="85" spans="1:80" ht="4.5" customHeight="1" x14ac:dyDescent="0.2">
      <c r="A85" s="49" t="s">
        <v>30</v>
      </c>
      <c r="B85" s="12">
        <v>5</v>
      </c>
      <c r="C85" s="12">
        <v>136</v>
      </c>
      <c r="D85" s="49" t="s">
        <v>238</v>
      </c>
      <c r="AQ85" s="209"/>
      <c r="AR85" s="249"/>
      <c r="AS85" s="249"/>
      <c r="AT85" s="249"/>
      <c r="AU85" s="249"/>
      <c r="AV85" s="249"/>
      <c r="AW85" s="250"/>
      <c r="AX85" s="206"/>
      <c r="AY85" s="229"/>
      <c r="AZ85" s="229"/>
      <c r="BA85" s="229"/>
      <c r="BB85" s="229"/>
      <c r="BC85" s="229"/>
      <c r="BD85" s="229"/>
      <c r="BE85" s="229"/>
      <c r="BF85" s="229"/>
      <c r="BG85" s="229"/>
      <c r="BH85" s="229"/>
      <c r="BI85" s="229"/>
      <c r="BJ85" s="229"/>
      <c r="BK85" s="229"/>
      <c r="BL85" s="229"/>
      <c r="BM85" s="229"/>
      <c r="BN85" s="229"/>
      <c r="BO85" s="229"/>
      <c r="BP85" s="229"/>
      <c r="BQ85" s="229"/>
      <c r="BR85" s="229"/>
      <c r="BS85" s="229"/>
      <c r="BT85" s="229"/>
      <c r="BU85" s="229"/>
      <c r="BV85" s="229"/>
      <c r="BW85" s="229"/>
      <c r="BX85" s="229"/>
      <c r="BY85" s="229"/>
      <c r="BZ85" s="229"/>
      <c r="CA85" s="229"/>
      <c r="CB85" s="215"/>
    </row>
    <row r="86" spans="1:80" ht="15.75" x14ac:dyDescent="0.2">
      <c r="A86" s="49" t="s">
        <v>31</v>
      </c>
      <c r="B86" s="12">
        <v>5</v>
      </c>
      <c r="C86" s="12">
        <v>136</v>
      </c>
      <c r="D86" s="49" t="s">
        <v>239</v>
      </c>
      <c r="AQ86" s="209"/>
      <c r="AR86" s="249" t="str">
        <f>INDEX(g_lang_val,MATCH("so_4_1_1",g_lang_key,0))</f>
        <v>Indtastningsår</v>
      </c>
      <c r="AS86" s="249"/>
      <c r="AT86" s="249"/>
      <c r="AU86" s="249"/>
      <c r="AV86" s="249"/>
      <c r="AW86" s="249"/>
      <c r="AX86" s="195">
        <v>2024</v>
      </c>
      <c r="AY86" s="195">
        <v>2024</v>
      </c>
      <c r="AZ86" s="195">
        <v>2024</v>
      </c>
      <c r="BA86" s="195">
        <v>2024</v>
      </c>
      <c r="BB86" s="195">
        <v>2024</v>
      </c>
      <c r="BC86" s="195">
        <v>2024</v>
      </c>
      <c r="BD86" s="195">
        <v>2024</v>
      </c>
      <c r="BE86" s="195">
        <v>2024</v>
      </c>
      <c r="BF86" s="195">
        <v>2024</v>
      </c>
      <c r="BG86" s="195">
        <v>2024</v>
      </c>
      <c r="BH86" s="195">
        <v>2024</v>
      </c>
      <c r="BI86" s="195">
        <v>2024</v>
      </c>
      <c r="BJ86" s="195">
        <v>2024</v>
      </c>
      <c r="BK86" s="195">
        <v>2024</v>
      </c>
      <c r="BL86" s="195">
        <v>2024</v>
      </c>
      <c r="BM86" s="195">
        <v>2024</v>
      </c>
      <c r="BN86" s="195">
        <v>2024</v>
      </c>
      <c r="BO86" s="195">
        <v>2024</v>
      </c>
      <c r="BP86" s="195">
        <v>2024</v>
      </c>
      <c r="BQ86" s="195">
        <v>2024</v>
      </c>
      <c r="BR86" s="195">
        <v>2024</v>
      </c>
      <c r="BS86" s="195">
        <v>2024</v>
      </c>
      <c r="BT86" s="195">
        <v>2024</v>
      </c>
      <c r="BU86" s="195">
        <v>2024</v>
      </c>
      <c r="BV86" s="195">
        <v>2024</v>
      </c>
      <c r="BW86" s="195">
        <v>2024</v>
      </c>
      <c r="BX86" s="195">
        <v>2024</v>
      </c>
      <c r="BY86" s="195">
        <v>2024</v>
      </c>
      <c r="BZ86" s="195">
        <v>2024</v>
      </c>
      <c r="CA86" s="195">
        <v>2024</v>
      </c>
      <c r="CB86" s="188"/>
    </row>
    <row r="87" spans="1:80" ht="4.5" customHeight="1" x14ac:dyDescent="0.2">
      <c r="A87" s="49" t="s">
        <v>32</v>
      </c>
      <c r="B87" s="12">
        <v>5</v>
      </c>
      <c r="C87" s="12">
        <v>136</v>
      </c>
      <c r="D87" s="49" t="s">
        <v>240</v>
      </c>
      <c r="AQ87" s="209"/>
      <c r="AR87" s="251"/>
      <c r="AS87" s="251"/>
      <c r="AT87" s="251"/>
      <c r="AU87" s="251"/>
      <c r="AV87" s="251"/>
      <c r="AW87" s="252"/>
      <c r="AX87" s="218">
        <f t="shared" ref="AX87:CA87" ca="1" si="52">IF(AX$71="","",IF(INDEX(AX85:AX87,2,1)&lt;&gt;0,INDEX(AX85:AX87,2,1),g_pl_year))</f>
        <v>2024</v>
      </c>
      <c r="AY87" s="218">
        <f t="shared" ca="1" si="52"/>
        <v>2024</v>
      </c>
      <c r="AZ87" s="218">
        <f t="shared" ca="1" si="52"/>
        <v>2024</v>
      </c>
      <c r="BA87" s="218">
        <f t="shared" ca="1" si="52"/>
        <v>2024</v>
      </c>
      <c r="BB87" s="218">
        <f t="shared" ca="1" si="52"/>
        <v>2024</v>
      </c>
      <c r="BC87" s="218" t="str">
        <f t="shared" ca="1" si="52"/>
        <v/>
      </c>
      <c r="BD87" s="218" t="str">
        <f t="shared" ca="1" si="52"/>
        <v/>
      </c>
      <c r="BE87" s="218" t="str">
        <f t="shared" ca="1" si="52"/>
        <v/>
      </c>
      <c r="BF87" s="218" t="str">
        <f t="shared" ca="1" si="52"/>
        <v/>
      </c>
      <c r="BG87" s="218" t="str">
        <f t="shared" ca="1" si="52"/>
        <v/>
      </c>
      <c r="BH87" s="218" t="str">
        <f t="shared" ca="1" si="52"/>
        <v/>
      </c>
      <c r="BI87" s="218" t="str">
        <f t="shared" ca="1" si="52"/>
        <v/>
      </c>
      <c r="BJ87" s="218" t="str">
        <f t="shared" ca="1" si="52"/>
        <v/>
      </c>
      <c r="BK87" s="218" t="str">
        <f t="shared" ca="1" si="52"/>
        <v/>
      </c>
      <c r="BL87" s="218" t="str">
        <f t="shared" ca="1" si="52"/>
        <v/>
      </c>
      <c r="BM87" s="218" t="str">
        <f t="shared" ca="1" si="52"/>
        <v/>
      </c>
      <c r="BN87" s="218" t="str">
        <f t="shared" ca="1" si="52"/>
        <v/>
      </c>
      <c r="BO87" s="218" t="str">
        <f t="shared" ca="1" si="52"/>
        <v/>
      </c>
      <c r="BP87" s="218" t="str">
        <f t="shared" ca="1" si="52"/>
        <v/>
      </c>
      <c r="BQ87" s="218" t="str">
        <f t="shared" ca="1" si="52"/>
        <v/>
      </c>
      <c r="BR87" s="218" t="str">
        <f t="shared" ca="1" si="52"/>
        <v/>
      </c>
      <c r="BS87" s="218" t="str">
        <f t="shared" ca="1" si="52"/>
        <v/>
      </c>
      <c r="BT87" s="218" t="str">
        <f t="shared" ca="1" si="52"/>
        <v/>
      </c>
      <c r="BU87" s="218" t="str">
        <f t="shared" ca="1" si="52"/>
        <v/>
      </c>
      <c r="BV87" s="218" t="str">
        <f t="shared" ca="1" si="52"/>
        <v/>
      </c>
      <c r="BW87" s="218" t="str">
        <f t="shared" ca="1" si="52"/>
        <v/>
      </c>
      <c r="BX87" s="218" t="str">
        <f t="shared" ca="1" si="52"/>
        <v/>
      </c>
      <c r="BY87" s="218" t="str">
        <f t="shared" ca="1" si="52"/>
        <v/>
      </c>
      <c r="BZ87" s="218" t="str">
        <f t="shared" ca="1" si="52"/>
        <v/>
      </c>
      <c r="CA87" s="218" t="str">
        <f t="shared" ca="1" si="52"/>
        <v/>
      </c>
      <c r="CB87" s="218"/>
    </row>
    <row r="88" spans="1:80" s="42" customFormat="1" ht="21" customHeight="1" x14ac:dyDescent="0.2">
      <c r="A88" s="41" t="s">
        <v>25</v>
      </c>
      <c r="B88" s="42">
        <v>5</v>
      </c>
      <c r="C88" s="42">
        <v>136</v>
      </c>
      <c r="D88" s="41" t="s">
        <v>241</v>
      </c>
      <c r="AN88" s="12"/>
      <c r="AQ88" s="209"/>
      <c r="AR88" s="43"/>
      <c r="AS88" s="44"/>
      <c r="AT88" s="44"/>
      <c r="AU88" s="44"/>
      <c r="AV88" s="44"/>
      <c r="AW88" s="152" t="str">
        <f>INDEX(g_lang_val,MATCH("le_2_3",g_lang_key,0))</f>
        <v>pl-faktor:</v>
      </c>
      <c r="AX88" s="230">
        <f t="shared" ref="AX88:CA88" ca="1" si="53">IF(AX$71="","",INDEX(g_pl_factors,(g_reporting_year-g_pl_years_start)*(g_pl_years_end-g_pl_years_start+1)+(AX87-g_pl_years_start+1)))</f>
        <v>1</v>
      </c>
      <c r="AY88" s="230">
        <f t="shared" ca="1" si="53"/>
        <v>1</v>
      </c>
      <c r="AZ88" s="230">
        <f t="shared" ca="1" si="53"/>
        <v>1</v>
      </c>
      <c r="BA88" s="230">
        <f t="shared" ca="1" si="53"/>
        <v>1</v>
      </c>
      <c r="BB88" s="230">
        <f t="shared" ca="1" si="53"/>
        <v>1</v>
      </c>
      <c r="BC88" s="230" t="str">
        <f t="shared" ca="1" si="53"/>
        <v/>
      </c>
      <c r="BD88" s="230" t="str">
        <f t="shared" ca="1" si="53"/>
        <v/>
      </c>
      <c r="BE88" s="230" t="str">
        <f t="shared" ca="1" si="53"/>
        <v/>
      </c>
      <c r="BF88" s="230" t="str">
        <f t="shared" ca="1" si="53"/>
        <v/>
      </c>
      <c r="BG88" s="230" t="str">
        <f t="shared" ca="1" si="53"/>
        <v/>
      </c>
      <c r="BH88" s="230" t="str">
        <f t="shared" ca="1" si="53"/>
        <v/>
      </c>
      <c r="BI88" s="230" t="str">
        <f t="shared" ca="1" si="53"/>
        <v/>
      </c>
      <c r="BJ88" s="230" t="str">
        <f t="shared" ca="1" si="53"/>
        <v/>
      </c>
      <c r="BK88" s="230" t="str">
        <f t="shared" ca="1" si="53"/>
        <v/>
      </c>
      <c r="BL88" s="230" t="str">
        <f t="shared" ca="1" si="53"/>
        <v/>
      </c>
      <c r="BM88" s="230" t="str">
        <f t="shared" ca="1" si="53"/>
        <v/>
      </c>
      <c r="BN88" s="230" t="str">
        <f t="shared" ca="1" si="53"/>
        <v/>
      </c>
      <c r="BO88" s="230" t="str">
        <f t="shared" ca="1" si="53"/>
        <v/>
      </c>
      <c r="BP88" s="230" t="str">
        <f t="shared" ca="1" si="53"/>
        <v/>
      </c>
      <c r="BQ88" s="230" t="str">
        <f t="shared" ca="1" si="53"/>
        <v/>
      </c>
      <c r="BR88" s="230" t="str">
        <f t="shared" ca="1" si="53"/>
        <v/>
      </c>
      <c r="BS88" s="230" t="str">
        <f t="shared" ca="1" si="53"/>
        <v/>
      </c>
      <c r="BT88" s="230" t="str">
        <f t="shared" ca="1" si="53"/>
        <v/>
      </c>
      <c r="BU88" s="230" t="str">
        <f t="shared" ca="1" si="53"/>
        <v/>
      </c>
      <c r="BV88" s="230" t="str">
        <f t="shared" ca="1" si="53"/>
        <v/>
      </c>
      <c r="BW88" s="230" t="str">
        <f t="shared" ca="1" si="53"/>
        <v/>
      </c>
      <c r="BX88" s="230" t="str">
        <f t="shared" ca="1" si="53"/>
        <v/>
      </c>
      <c r="BY88" s="230" t="str">
        <f t="shared" ca="1" si="53"/>
        <v/>
      </c>
      <c r="BZ88" s="230" t="str">
        <f t="shared" ca="1" si="53"/>
        <v/>
      </c>
      <c r="CA88" s="230" t="str">
        <f t="shared" ca="1" si="53"/>
        <v/>
      </c>
      <c r="CB88" s="189"/>
    </row>
    <row r="89" spans="1:80" ht="15.75" customHeight="1" x14ac:dyDescent="0.2">
      <c r="A89" s="49" t="s">
        <v>25</v>
      </c>
      <c r="B89" s="12">
        <v>5</v>
      </c>
      <c r="C89" s="12">
        <v>136</v>
      </c>
      <c r="D89" s="49" t="s">
        <v>242</v>
      </c>
      <c r="AQ89" s="209"/>
      <c r="AR89" s="162" t="str">
        <f>INDEX(g_lang_val,MATCH("le_2_2",g_lang_key,0))&amp;INDEX(g_lang_val,MATCH("le_2_6_1",g_lang_key,0))</f>
        <v xml:space="preserve">Total pl-justeret </v>
      </c>
      <c r="AS89" s="96"/>
      <c r="AT89" s="96"/>
      <c r="AU89" s="96"/>
      <c r="AV89" s="96"/>
      <c r="AW89" s="96"/>
      <c r="AX89" s="210">
        <f ca="1">IF(AX$71="","",AX82*AX88)</f>
        <v>0</v>
      </c>
      <c r="AY89" s="210">
        <f t="shared" ref="AY89:CA89" ca="1" si="54">IF(AY$71="","",AY82*AY88)</f>
        <v>0</v>
      </c>
      <c r="AZ89" s="210">
        <f t="shared" ca="1" si="54"/>
        <v>0</v>
      </c>
      <c r="BA89" s="210">
        <f t="shared" ca="1" si="54"/>
        <v>0</v>
      </c>
      <c r="BB89" s="210">
        <f t="shared" ca="1" si="54"/>
        <v>0</v>
      </c>
      <c r="BC89" s="210" t="str">
        <f t="shared" ca="1" si="54"/>
        <v/>
      </c>
      <c r="BD89" s="210" t="str">
        <f t="shared" ca="1" si="54"/>
        <v/>
      </c>
      <c r="BE89" s="210" t="str">
        <f t="shared" ca="1" si="54"/>
        <v/>
      </c>
      <c r="BF89" s="210" t="str">
        <f t="shared" ca="1" si="54"/>
        <v/>
      </c>
      <c r="BG89" s="210" t="str">
        <f t="shared" ca="1" si="54"/>
        <v/>
      </c>
      <c r="BH89" s="210" t="str">
        <f t="shared" ca="1" si="54"/>
        <v/>
      </c>
      <c r="BI89" s="210" t="str">
        <f t="shared" ca="1" si="54"/>
        <v/>
      </c>
      <c r="BJ89" s="210" t="str">
        <f t="shared" ca="1" si="54"/>
        <v/>
      </c>
      <c r="BK89" s="210" t="str">
        <f t="shared" ca="1" si="54"/>
        <v/>
      </c>
      <c r="BL89" s="210" t="str">
        <f t="shared" ca="1" si="54"/>
        <v/>
      </c>
      <c r="BM89" s="210" t="str">
        <f t="shared" ca="1" si="54"/>
        <v/>
      </c>
      <c r="BN89" s="210" t="str">
        <f t="shared" ca="1" si="54"/>
        <v/>
      </c>
      <c r="BO89" s="210" t="str">
        <f t="shared" ca="1" si="54"/>
        <v/>
      </c>
      <c r="BP89" s="210" t="str">
        <f t="shared" ca="1" si="54"/>
        <v/>
      </c>
      <c r="BQ89" s="210" t="str">
        <f t="shared" ca="1" si="54"/>
        <v/>
      </c>
      <c r="BR89" s="210" t="str">
        <f t="shared" ca="1" si="54"/>
        <v/>
      </c>
      <c r="BS89" s="210" t="str">
        <f t="shared" ca="1" si="54"/>
        <v/>
      </c>
      <c r="BT89" s="210" t="str">
        <f t="shared" ca="1" si="54"/>
        <v/>
      </c>
      <c r="BU89" s="210" t="str">
        <f t="shared" ca="1" si="54"/>
        <v/>
      </c>
      <c r="BV89" s="210" t="str">
        <f t="shared" ca="1" si="54"/>
        <v/>
      </c>
      <c r="BW89" s="210" t="str">
        <f t="shared" ca="1" si="54"/>
        <v/>
      </c>
      <c r="BX89" s="210" t="str">
        <f t="shared" ca="1" si="54"/>
        <v/>
      </c>
      <c r="BY89" s="210" t="str">
        <f t="shared" ca="1" si="54"/>
        <v/>
      </c>
      <c r="BZ89" s="210" t="str">
        <f t="shared" ca="1" si="54"/>
        <v/>
      </c>
      <c r="CA89" s="210" t="str">
        <f t="shared" ca="1" si="54"/>
        <v/>
      </c>
      <c r="CB89" s="210"/>
    </row>
    <row r="90" spans="1:80" ht="4.5" customHeight="1" x14ac:dyDescent="0.2">
      <c r="A90" s="49" t="s">
        <v>26</v>
      </c>
      <c r="B90" s="12">
        <v>5</v>
      </c>
      <c r="C90" s="12">
        <v>136</v>
      </c>
      <c r="D90" s="49" t="s">
        <v>243</v>
      </c>
      <c r="AQ90" s="209"/>
      <c r="AR90" s="27"/>
      <c r="AS90" s="27"/>
      <c r="AT90" s="27"/>
      <c r="AU90" s="27"/>
      <c r="AV90" s="27"/>
      <c r="AW90" s="27"/>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row>
    <row r="91" spans="1:80" ht="4.5" customHeight="1" x14ac:dyDescent="0.2">
      <c r="A91" s="49" t="s">
        <v>24</v>
      </c>
      <c r="B91" s="12">
        <v>5</v>
      </c>
      <c r="C91" s="12">
        <v>136</v>
      </c>
      <c r="D91" s="49" t="s">
        <v>244</v>
      </c>
      <c r="AQ91" s="209"/>
      <c r="AR91" s="24"/>
      <c r="AS91" s="24"/>
      <c r="AT91" s="24"/>
      <c r="AU91" s="24"/>
      <c r="AV91" s="24"/>
      <c r="AW91" s="24"/>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row>
    <row r="93" spans="1:80" s="13" customFormat="1" ht="28.5" customHeight="1" x14ac:dyDescent="0.2">
      <c r="A93" s="49"/>
      <c r="B93" s="12"/>
      <c r="C93" s="12"/>
      <c r="D93" s="49"/>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204"/>
      <c r="AQ93" s="213" t="str">
        <f>INDEX(g_lang_val,MATCH("le_4",g_lang_key,0))</f>
        <v>Afledt driftseffekt i tusinde kroner (t. kr.)</v>
      </c>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row>
    <row r="94" spans="1:80" ht="4.5" customHeight="1" x14ac:dyDescent="0.2">
      <c r="A94" s="49"/>
      <c r="D94" s="49"/>
      <c r="AQ94" s="214"/>
      <c r="AR94" s="24"/>
      <c r="AS94" s="24"/>
      <c r="AT94" s="24"/>
      <c r="AU94" s="24"/>
      <c r="AV94" s="24"/>
      <c r="AW94" s="24"/>
      <c r="AX94" s="36">
        <f t="shared" ref="AX94:CA94" ca="1" si="55">IF(INDEX(g_sc_1_opex,2)+COLUMN()-50&lt;=INDEX(g_sc_1_opex,3),INDEX(g_sc_1_opex,2)+COLUMN()-50,"")</f>
        <v>2024</v>
      </c>
      <c r="AY94" s="36">
        <f t="shared" ca="1" si="55"/>
        <v>2025</v>
      </c>
      <c r="AZ94" s="36">
        <f t="shared" ca="1" si="55"/>
        <v>2026</v>
      </c>
      <c r="BA94" s="36">
        <f t="shared" ca="1" si="55"/>
        <v>2027</v>
      </c>
      <c r="BB94" s="36">
        <f t="shared" ca="1" si="55"/>
        <v>2028</v>
      </c>
      <c r="BC94" s="36" t="str">
        <f t="shared" ca="1" si="55"/>
        <v/>
      </c>
      <c r="BD94" s="36" t="str">
        <f t="shared" ca="1" si="55"/>
        <v/>
      </c>
      <c r="BE94" s="36" t="str">
        <f t="shared" ca="1" si="55"/>
        <v/>
      </c>
      <c r="BF94" s="36" t="str">
        <f t="shared" ca="1" si="55"/>
        <v/>
      </c>
      <c r="BG94" s="36" t="str">
        <f t="shared" ca="1" si="55"/>
        <v/>
      </c>
      <c r="BH94" s="36" t="str">
        <f t="shared" ca="1" si="55"/>
        <v/>
      </c>
      <c r="BI94" s="36" t="str">
        <f t="shared" ca="1" si="55"/>
        <v/>
      </c>
      <c r="BJ94" s="36" t="str">
        <f t="shared" ca="1" si="55"/>
        <v/>
      </c>
      <c r="BK94" s="36" t="str">
        <f t="shared" ca="1" si="55"/>
        <v/>
      </c>
      <c r="BL94" s="36" t="str">
        <f t="shared" ca="1" si="55"/>
        <v/>
      </c>
      <c r="BM94" s="36" t="str">
        <f t="shared" ca="1" si="55"/>
        <v/>
      </c>
      <c r="BN94" s="36" t="str">
        <f t="shared" ca="1" si="55"/>
        <v/>
      </c>
      <c r="BO94" s="36" t="str">
        <f t="shared" ca="1" si="55"/>
        <v/>
      </c>
      <c r="BP94" s="36" t="str">
        <f t="shared" ca="1" si="55"/>
        <v/>
      </c>
      <c r="BQ94" s="36" t="str">
        <f t="shared" ca="1" si="55"/>
        <v/>
      </c>
      <c r="BR94" s="36" t="str">
        <f t="shared" ca="1" si="55"/>
        <v/>
      </c>
      <c r="BS94" s="36" t="str">
        <f t="shared" ca="1" si="55"/>
        <v/>
      </c>
      <c r="BT94" s="36" t="str">
        <f t="shared" ca="1" si="55"/>
        <v/>
      </c>
      <c r="BU94" s="36" t="str">
        <f t="shared" ca="1" si="55"/>
        <v/>
      </c>
      <c r="BV94" s="36" t="str">
        <f t="shared" ca="1" si="55"/>
        <v/>
      </c>
      <c r="BW94" s="36" t="str">
        <f t="shared" ca="1" si="55"/>
        <v/>
      </c>
      <c r="BX94" s="36" t="str">
        <f t="shared" ca="1" si="55"/>
        <v/>
      </c>
      <c r="BY94" s="36" t="str">
        <f t="shared" ca="1" si="55"/>
        <v/>
      </c>
      <c r="BZ94" s="36" t="str">
        <f t="shared" ca="1" si="55"/>
        <v/>
      </c>
      <c r="CA94" s="36" t="str">
        <f t="shared" ca="1" si="55"/>
        <v/>
      </c>
      <c r="CB94" s="36"/>
    </row>
    <row r="95" spans="1:80" ht="17.25" customHeight="1" x14ac:dyDescent="0.2">
      <c r="A95" s="49" t="s">
        <v>20</v>
      </c>
      <c r="B95" s="12">
        <v>5</v>
      </c>
      <c r="C95" s="12">
        <v>136</v>
      </c>
      <c r="D95" s="49" t="s">
        <v>203</v>
      </c>
      <c r="AQ95" s="214"/>
      <c r="AR95" s="246" t="str">
        <f>INDEX(g_lang_val,MATCH("le_1",g_lang_key,0))</f>
        <v>Vigtigt:</v>
      </c>
      <c r="AS95" s="238"/>
      <c r="AT95" s="238"/>
      <c r="AU95" s="238"/>
      <c r="AV95" s="238"/>
      <c r="AW95" s="238"/>
      <c r="AX95" s="81"/>
      <c r="AY95" s="81"/>
      <c r="AZ95" s="81"/>
      <c r="BA95" s="81"/>
      <c r="BB95" s="81"/>
      <c r="BC95" s="81"/>
      <c r="BD95" s="81"/>
      <c r="BE95" s="81"/>
      <c r="BF95" s="81"/>
      <c r="BG95" s="81"/>
      <c r="BH95" s="81"/>
      <c r="BI95" s="81"/>
      <c r="BJ95" s="81"/>
      <c r="BK95" s="81"/>
      <c r="BL95" s="81"/>
      <c r="BM95" s="81"/>
      <c r="BN95" s="81"/>
      <c r="BO95" s="81"/>
      <c r="BP95" s="81"/>
      <c r="BQ95" s="81"/>
      <c r="BR95" s="81"/>
      <c r="BS95" s="81"/>
      <c r="BT95" s="81"/>
      <c r="BU95" s="81"/>
      <c r="BV95" s="81"/>
      <c r="BW95" s="81"/>
      <c r="BX95" s="81"/>
      <c r="BY95" s="81"/>
      <c r="BZ95" s="81"/>
      <c r="CA95" s="81"/>
      <c r="CB95" s="81"/>
    </row>
    <row r="96" spans="1:80" ht="69" customHeight="1" x14ac:dyDescent="0.2">
      <c r="A96" s="49" t="s">
        <v>21</v>
      </c>
      <c r="B96" s="12">
        <v>5</v>
      </c>
      <c r="C96" s="12">
        <v>136</v>
      </c>
      <c r="D96" s="49" t="s">
        <v>204</v>
      </c>
      <c r="AQ96" s="214"/>
      <c r="AR96" s="37"/>
      <c r="AS96" s="240" t="str">
        <f>INDEX(g_lang_val,MATCH("le_4_2",g_lang_key,0))</f>
        <v>1) Driftseffekten er lig med forskellen mellem kommende (A) og eksisterende (B) drifts, vedligeholds- og udviklingsomkostninger (A - B = driftseffekten).
2) En positiv driftseffekt betyder en stigning i budgettet, mens en negativ driftseffekt vil betyde en gevinst / besparelse / effektivisering.
3) Det er gennem driftseffekten økonomiske gevinster synliggøres. I projektgrundlaget kan den samlede driftseffekt fordeles på de konkrete økonomiske gevinster.
4) Tabel for den afledte driftseffekt har samme pl-justering som tabel for afledte økonomiske omkostninger.</v>
      </c>
      <c r="AT96" s="240"/>
      <c r="AU96" s="240"/>
      <c r="AV96" s="240"/>
      <c r="AW96" s="240"/>
      <c r="AX96" s="81"/>
      <c r="AY96" s="81"/>
      <c r="AZ96" s="81"/>
      <c r="BA96" s="81"/>
      <c r="BB96" s="81"/>
      <c r="BC96" s="81"/>
      <c r="BD96" s="81"/>
      <c r="BE96" s="81"/>
      <c r="BF96" s="81"/>
      <c r="BG96" s="81"/>
      <c r="BH96" s="81"/>
      <c r="BI96" s="81"/>
      <c r="BJ96" s="81"/>
      <c r="BK96" s="81"/>
      <c r="BL96" s="81"/>
      <c r="BM96" s="81"/>
      <c r="BN96" s="81"/>
      <c r="BO96" s="81"/>
      <c r="BP96" s="81"/>
      <c r="BQ96" s="81"/>
      <c r="BR96" s="81"/>
      <c r="BS96" s="81"/>
      <c r="BT96" s="81"/>
      <c r="BU96" s="81"/>
      <c r="BV96" s="81"/>
      <c r="BW96" s="81"/>
      <c r="BX96" s="81"/>
      <c r="BY96" s="81"/>
      <c r="BZ96" s="81"/>
      <c r="CA96" s="81"/>
      <c r="CB96" s="81"/>
    </row>
    <row r="97" spans="1:80" s="13" customFormat="1" ht="51.75" customHeight="1" x14ac:dyDescent="0.2">
      <c r="A97" s="49" t="s">
        <v>31</v>
      </c>
      <c r="B97" s="12">
        <v>5</v>
      </c>
      <c r="C97" s="12">
        <v>136</v>
      </c>
      <c r="D97" s="49" t="s">
        <v>239</v>
      </c>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205"/>
      <c r="AR97" s="248" t="str">
        <f>INDEX(g_lang_val,MATCH("le_4_1",g_lang_key,0))</f>
        <v xml:space="preserve">Driftseffekt </v>
      </c>
      <c r="AS97" s="248"/>
      <c r="AT97" s="248"/>
      <c r="AU97" s="248"/>
      <c r="AV97" s="248"/>
      <c r="AW97" s="173"/>
      <c r="AX97" s="203">
        <f ca="1">AX94</f>
        <v>2024</v>
      </c>
      <c r="AY97" s="203">
        <f t="shared" ref="AY97:CA97" ca="1" si="56">AY94</f>
        <v>2025</v>
      </c>
      <c r="AZ97" s="203">
        <f t="shared" ca="1" si="56"/>
        <v>2026</v>
      </c>
      <c r="BA97" s="203">
        <f t="shared" ca="1" si="56"/>
        <v>2027</v>
      </c>
      <c r="BB97" s="203">
        <f t="shared" ca="1" si="56"/>
        <v>2028</v>
      </c>
      <c r="BC97" s="203" t="str">
        <f t="shared" ca="1" si="56"/>
        <v/>
      </c>
      <c r="BD97" s="203" t="str">
        <f t="shared" ca="1" si="56"/>
        <v/>
      </c>
      <c r="BE97" s="203" t="str">
        <f t="shared" ca="1" si="56"/>
        <v/>
      </c>
      <c r="BF97" s="203" t="str">
        <f t="shared" ca="1" si="56"/>
        <v/>
      </c>
      <c r="BG97" s="203" t="str">
        <f t="shared" ca="1" si="56"/>
        <v/>
      </c>
      <c r="BH97" s="203" t="str">
        <f t="shared" ca="1" si="56"/>
        <v/>
      </c>
      <c r="BI97" s="203" t="str">
        <f t="shared" ca="1" si="56"/>
        <v/>
      </c>
      <c r="BJ97" s="203" t="str">
        <f t="shared" ca="1" si="56"/>
        <v/>
      </c>
      <c r="BK97" s="203" t="str">
        <f t="shared" ca="1" si="56"/>
        <v/>
      </c>
      <c r="BL97" s="203" t="str">
        <f t="shared" ca="1" si="56"/>
        <v/>
      </c>
      <c r="BM97" s="203" t="str">
        <f t="shared" ca="1" si="56"/>
        <v/>
      </c>
      <c r="BN97" s="203" t="str">
        <f t="shared" ca="1" si="56"/>
        <v/>
      </c>
      <c r="BO97" s="203" t="str">
        <f t="shared" ca="1" si="56"/>
        <v/>
      </c>
      <c r="BP97" s="203" t="str">
        <f t="shared" ca="1" si="56"/>
        <v/>
      </c>
      <c r="BQ97" s="203" t="str">
        <f t="shared" ca="1" si="56"/>
        <v/>
      </c>
      <c r="BR97" s="203" t="str">
        <f t="shared" ca="1" si="56"/>
        <v/>
      </c>
      <c r="BS97" s="203" t="str">
        <f t="shared" ca="1" si="56"/>
        <v/>
      </c>
      <c r="BT97" s="203" t="str">
        <f t="shared" ca="1" si="56"/>
        <v/>
      </c>
      <c r="BU97" s="203" t="str">
        <f t="shared" ca="1" si="56"/>
        <v/>
      </c>
      <c r="BV97" s="203" t="str">
        <f t="shared" ca="1" si="56"/>
        <v/>
      </c>
      <c r="BW97" s="203" t="str">
        <f t="shared" ca="1" si="56"/>
        <v/>
      </c>
      <c r="BX97" s="203" t="str">
        <f t="shared" ca="1" si="56"/>
        <v/>
      </c>
      <c r="BY97" s="203" t="str">
        <f t="shared" ca="1" si="56"/>
        <v/>
      </c>
      <c r="BZ97" s="203" t="str">
        <f t="shared" ca="1" si="56"/>
        <v/>
      </c>
      <c r="CA97" s="203" t="str">
        <f t="shared" ca="1" si="56"/>
        <v/>
      </c>
      <c r="CB97" s="203"/>
    </row>
    <row r="98" spans="1:80" ht="4.5" customHeight="1" x14ac:dyDescent="0.2">
      <c r="A98" s="49" t="s">
        <v>26</v>
      </c>
      <c r="B98" s="12">
        <v>5</v>
      </c>
      <c r="C98" s="12">
        <v>136</v>
      </c>
      <c r="D98" s="49" t="s">
        <v>243</v>
      </c>
      <c r="AQ98" s="205"/>
      <c r="AR98" s="27"/>
      <c r="AS98" s="27"/>
      <c r="AT98" s="27"/>
      <c r="AU98" s="27"/>
      <c r="AV98" s="27"/>
      <c r="AW98" s="27"/>
      <c r="AX98" s="81"/>
      <c r="AY98" s="81"/>
      <c r="AZ98" s="81"/>
      <c r="BA98" s="81"/>
      <c r="BB98" s="81"/>
      <c r="BC98" s="81"/>
      <c r="BD98" s="81"/>
      <c r="BE98" s="81"/>
      <c r="BF98" s="81"/>
      <c r="BG98" s="81"/>
      <c r="BH98" s="81"/>
      <c r="BI98" s="81"/>
      <c r="BJ98" s="81"/>
      <c r="BK98" s="81"/>
      <c r="BL98" s="81"/>
      <c r="BM98" s="81"/>
      <c r="BN98" s="81"/>
      <c r="BO98" s="81"/>
      <c r="BP98" s="81"/>
      <c r="BQ98" s="81"/>
      <c r="BR98" s="81"/>
      <c r="BS98" s="81"/>
      <c r="BT98" s="81"/>
      <c r="BU98" s="81"/>
      <c r="BV98" s="81"/>
      <c r="BW98" s="81"/>
      <c r="BX98" s="81"/>
      <c r="BY98" s="81"/>
      <c r="BZ98" s="81"/>
      <c r="CA98" s="81"/>
      <c r="CB98" s="81"/>
    </row>
    <row r="99" spans="1:80" s="13" customFormat="1" ht="15.75" customHeight="1" x14ac:dyDescent="0.2">
      <c r="A99" s="49" t="s">
        <v>47</v>
      </c>
      <c r="B99" s="12">
        <v>5</v>
      </c>
      <c r="C99" s="12">
        <v>136</v>
      </c>
      <c r="D99" s="49" t="s">
        <v>254</v>
      </c>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205"/>
      <c r="AR99" s="202"/>
      <c r="AS99" s="201"/>
      <c r="AT99" s="201"/>
      <c r="AU99" s="201"/>
      <c r="AV99" s="201"/>
      <c r="AW99" s="201"/>
      <c r="AX99" s="166"/>
      <c r="AY99" s="166"/>
      <c r="AZ99" s="166"/>
      <c r="BA99" s="166"/>
      <c r="BB99" s="166"/>
      <c r="BC99" s="166"/>
      <c r="BD99" s="166"/>
      <c r="BE99" s="166"/>
      <c r="BF99" s="166"/>
      <c r="BG99" s="166"/>
      <c r="BH99" s="166"/>
      <c r="BI99" s="166"/>
      <c r="BJ99" s="166"/>
      <c r="BK99" s="166"/>
      <c r="BL99" s="166"/>
      <c r="BM99" s="166"/>
      <c r="BN99" s="166"/>
      <c r="BO99" s="166"/>
      <c r="BP99" s="166"/>
      <c r="BQ99" s="166"/>
      <c r="BR99" s="166"/>
      <c r="BS99" s="166"/>
      <c r="BT99" s="166"/>
      <c r="BU99" s="166"/>
      <c r="BV99" s="166"/>
      <c r="BW99" s="166"/>
      <c r="BX99" s="166"/>
      <c r="BY99" s="166"/>
      <c r="BZ99" s="166"/>
      <c r="CA99" s="166"/>
      <c r="CB99" s="166"/>
    </row>
    <row r="100" spans="1:80" ht="4.5" customHeight="1" x14ac:dyDescent="0.2">
      <c r="A100" s="49" t="s">
        <v>26</v>
      </c>
      <c r="B100" s="12">
        <v>5</v>
      </c>
      <c r="C100" s="12">
        <v>136</v>
      </c>
      <c r="D100" s="49" t="s">
        <v>243</v>
      </c>
      <c r="AQ100" s="205"/>
      <c r="AR100" s="27"/>
      <c r="AS100" s="27"/>
      <c r="AT100" s="27"/>
      <c r="AU100" s="27"/>
      <c r="AV100" s="27"/>
      <c r="AW100" s="27"/>
      <c r="AX100" s="81"/>
      <c r="AY100" s="81"/>
      <c r="AZ100" s="81"/>
      <c r="BA100" s="81"/>
      <c r="BB100" s="81"/>
      <c r="BC100" s="81"/>
      <c r="BD100" s="81"/>
      <c r="BE100" s="81"/>
      <c r="BF100" s="81"/>
      <c r="BG100" s="81"/>
      <c r="BH100" s="81"/>
      <c r="BI100" s="81"/>
      <c r="BJ100" s="81"/>
      <c r="BK100" s="81"/>
      <c r="BL100" s="81"/>
      <c r="BM100" s="81"/>
      <c r="BN100" s="81"/>
      <c r="BO100" s="81"/>
      <c r="BP100" s="81"/>
      <c r="BQ100" s="81"/>
      <c r="BR100" s="81"/>
      <c r="BS100" s="81"/>
      <c r="BT100" s="81"/>
      <c r="BU100" s="81"/>
      <c r="BV100" s="81"/>
      <c r="BW100" s="81"/>
      <c r="BX100" s="81"/>
      <c r="BY100" s="81"/>
      <c r="BZ100" s="81"/>
      <c r="CA100" s="81"/>
      <c r="CB100" s="81"/>
    </row>
    <row r="101" spans="1:80" s="42" customFormat="1" ht="15.75" customHeight="1" x14ac:dyDescent="0.2">
      <c r="A101" s="41" t="s">
        <v>25</v>
      </c>
      <c r="B101" s="42">
        <v>5</v>
      </c>
      <c r="C101" s="42">
        <v>136</v>
      </c>
      <c r="D101" s="41" t="s">
        <v>241</v>
      </c>
      <c r="AN101" s="12"/>
      <c r="AQ101" s="205"/>
      <c r="AR101" s="178" t="str">
        <f>INDEX(g_lang_val,MATCH("le_4_1",g_lang_key,0))&amp;INDEX(g_lang_val,MATCH("le_2_6_1",g_lang_key,0))</f>
        <v xml:space="preserve">Driftseffekt pl-justeret </v>
      </c>
      <c r="AS101" s="44"/>
      <c r="AT101" s="44"/>
      <c r="AU101" s="44"/>
      <c r="AV101" s="44"/>
      <c r="AW101" s="152"/>
      <c r="AX101" s="174">
        <f ca="1">IF(AX$71="","",AX99*AX88)</f>
        <v>0</v>
      </c>
      <c r="AY101" s="174">
        <f t="shared" ref="AY101:CA101" ca="1" si="57">IF(AY$71="","",AY99*AY88)</f>
        <v>0</v>
      </c>
      <c r="AZ101" s="174">
        <f t="shared" ca="1" si="57"/>
        <v>0</v>
      </c>
      <c r="BA101" s="174">
        <f t="shared" ca="1" si="57"/>
        <v>0</v>
      </c>
      <c r="BB101" s="174">
        <f t="shared" ca="1" si="57"/>
        <v>0</v>
      </c>
      <c r="BC101" s="174" t="str">
        <f t="shared" ca="1" si="57"/>
        <v/>
      </c>
      <c r="BD101" s="174" t="str">
        <f t="shared" ca="1" si="57"/>
        <v/>
      </c>
      <c r="BE101" s="174" t="str">
        <f t="shared" ca="1" si="57"/>
        <v/>
      </c>
      <c r="BF101" s="174" t="str">
        <f t="shared" ca="1" si="57"/>
        <v/>
      </c>
      <c r="BG101" s="174" t="str">
        <f t="shared" ca="1" si="57"/>
        <v/>
      </c>
      <c r="BH101" s="174" t="str">
        <f t="shared" ca="1" si="57"/>
        <v/>
      </c>
      <c r="BI101" s="174" t="str">
        <f t="shared" ca="1" si="57"/>
        <v/>
      </c>
      <c r="BJ101" s="174" t="str">
        <f t="shared" ca="1" si="57"/>
        <v/>
      </c>
      <c r="BK101" s="174" t="str">
        <f t="shared" ca="1" si="57"/>
        <v/>
      </c>
      <c r="BL101" s="174" t="str">
        <f t="shared" ca="1" si="57"/>
        <v/>
      </c>
      <c r="BM101" s="174" t="str">
        <f t="shared" ca="1" si="57"/>
        <v/>
      </c>
      <c r="BN101" s="174" t="str">
        <f t="shared" ca="1" si="57"/>
        <v/>
      </c>
      <c r="BO101" s="174" t="str">
        <f t="shared" ca="1" si="57"/>
        <v/>
      </c>
      <c r="BP101" s="174" t="str">
        <f t="shared" ca="1" si="57"/>
        <v/>
      </c>
      <c r="BQ101" s="174" t="str">
        <f t="shared" ca="1" si="57"/>
        <v/>
      </c>
      <c r="BR101" s="174" t="str">
        <f t="shared" ca="1" si="57"/>
        <v/>
      </c>
      <c r="BS101" s="174" t="str">
        <f t="shared" ca="1" si="57"/>
        <v/>
      </c>
      <c r="BT101" s="174" t="str">
        <f t="shared" ca="1" si="57"/>
        <v/>
      </c>
      <c r="BU101" s="174" t="str">
        <f t="shared" ca="1" si="57"/>
        <v/>
      </c>
      <c r="BV101" s="174" t="str">
        <f t="shared" ca="1" si="57"/>
        <v/>
      </c>
      <c r="BW101" s="174" t="str">
        <f t="shared" ca="1" si="57"/>
        <v/>
      </c>
      <c r="BX101" s="174" t="str">
        <f t="shared" ca="1" si="57"/>
        <v/>
      </c>
      <c r="BY101" s="174" t="str">
        <f t="shared" ca="1" si="57"/>
        <v/>
      </c>
      <c r="BZ101" s="174" t="str">
        <f t="shared" ca="1" si="57"/>
        <v/>
      </c>
      <c r="CA101" s="174" t="str">
        <f t="shared" ca="1" si="57"/>
        <v/>
      </c>
      <c r="CB101" s="174"/>
    </row>
    <row r="102" spans="1:80" ht="4.5" customHeight="1" x14ac:dyDescent="0.2">
      <c r="A102" s="49" t="s">
        <v>26</v>
      </c>
      <c r="B102" s="12">
        <v>5</v>
      </c>
      <c r="C102" s="12">
        <v>136</v>
      </c>
      <c r="D102" s="49" t="s">
        <v>243</v>
      </c>
      <c r="AQ102" s="205"/>
      <c r="AR102" s="27"/>
      <c r="AS102" s="27"/>
      <c r="AT102" s="27"/>
      <c r="AU102" s="27"/>
      <c r="AV102" s="27"/>
      <c r="AW102" s="27"/>
      <c r="AX102" s="81"/>
      <c r="AY102" s="81"/>
      <c r="AZ102" s="81"/>
      <c r="BA102" s="81"/>
      <c r="BB102" s="81"/>
      <c r="BC102" s="81"/>
      <c r="BD102" s="81"/>
      <c r="BE102" s="81"/>
      <c r="BF102" s="81"/>
      <c r="BG102" s="81"/>
      <c r="BH102" s="81"/>
      <c r="BI102" s="81"/>
      <c r="BJ102" s="81"/>
      <c r="BK102" s="81"/>
      <c r="BL102" s="81"/>
      <c r="BM102" s="81"/>
      <c r="BN102" s="81"/>
      <c r="BO102" s="81"/>
      <c r="BP102" s="81"/>
      <c r="BQ102" s="81"/>
      <c r="BR102" s="81"/>
      <c r="BS102" s="81"/>
      <c r="BT102" s="81"/>
      <c r="BU102" s="81"/>
      <c r="BV102" s="81"/>
      <c r="BW102" s="81"/>
      <c r="BX102" s="81"/>
      <c r="BY102" s="81"/>
      <c r="BZ102" s="81"/>
      <c r="CA102" s="81"/>
      <c r="CB102" s="81"/>
    </row>
    <row r="103" spans="1:80" ht="4.5" customHeight="1" x14ac:dyDescent="0.2">
      <c r="A103" s="49" t="s">
        <v>24</v>
      </c>
      <c r="B103" s="12">
        <v>5</v>
      </c>
      <c r="C103" s="12">
        <v>136</v>
      </c>
      <c r="D103" s="49" t="s">
        <v>244</v>
      </c>
      <c r="AQ103" s="205"/>
      <c r="AR103" s="24"/>
      <c r="AS103" s="24"/>
      <c r="AT103" s="24"/>
      <c r="AU103" s="24"/>
      <c r="AV103" s="24"/>
      <c r="AW103" s="24"/>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row>
  </sheetData>
  <sheetProtection password="CE89" sheet="1" formatCells="0" formatColumns="0" formatRows="0" autoFilter="0"/>
  <customSheetViews>
    <customSheetView guid="{CC114306-4468-4F70-9DB6-D54D814D228F}" fitToPage="1" printArea="1" hiddenRows="1" hiddenColumns="1" topLeftCell="L25">
      <selection activeCell="L13" sqref="L13"/>
      <pageMargins left="0.7" right="0.7" top="0.75" bottom="0.75" header="0.3" footer="0.3"/>
      <pageSetup paperSize="9" fitToHeight="0" orientation="landscape" r:id="rId1"/>
    </customSheetView>
  </customSheetViews>
  <mergeCells count="16">
    <mergeCell ref="AR97:AV97"/>
    <mergeCell ref="AR95:AW95"/>
    <mergeCell ref="AS96:AW96"/>
    <mergeCell ref="AR85:AW85"/>
    <mergeCell ref="AR87:AW87"/>
    <mergeCell ref="AR86:AW86"/>
    <mergeCell ref="AR23:AW23"/>
    <mergeCell ref="AS24:AW24"/>
    <mergeCell ref="AR62:AW62"/>
    <mergeCell ref="AR25:AS25"/>
    <mergeCell ref="AR74:AV74"/>
    <mergeCell ref="AR72:AW72"/>
    <mergeCell ref="AS73:AW73"/>
    <mergeCell ref="AR55:AW55"/>
    <mergeCell ref="AR53:AW53"/>
    <mergeCell ref="AR60:AW60"/>
  </mergeCells>
  <conditionalFormatting sqref="AX22:CB22">
    <cfRule type="expression" dxfId="138" priority="232">
      <formula>AX$22=""</formula>
    </cfRule>
  </conditionalFormatting>
  <conditionalFormatting sqref="AX25:CA25">
    <cfRule type="expression" dxfId="137" priority="231">
      <formula>AX$22=""</formula>
    </cfRule>
  </conditionalFormatting>
  <conditionalFormatting sqref="AX26:CA26">
    <cfRule type="expression" dxfId="136" priority="230">
      <formula>AX$22=""</formula>
    </cfRule>
  </conditionalFormatting>
  <conditionalFormatting sqref="AX49:CA49">
    <cfRule type="expression" dxfId="135" priority="228">
      <formula>AX$22=""</formula>
    </cfRule>
  </conditionalFormatting>
  <conditionalFormatting sqref="AX51:CA51">
    <cfRule type="expression" dxfId="134" priority="227">
      <formula>AX$22=""</formula>
    </cfRule>
  </conditionalFormatting>
  <conditionalFormatting sqref="AX52:CA52">
    <cfRule type="expression" dxfId="133" priority="226">
      <formula>AX$22=""</formula>
    </cfRule>
  </conditionalFormatting>
  <conditionalFormatting sqref="AX27:CA27">
    <cfRule type="expression" dxfId="132" priority="224">
      <formula>AX$22=""</formula>
    </cfRule>
  </conditionalFormatting>
  <conditionalFormatting sqref="AX27:CA27">
    <cfRule type="expression" dxfId="131" priority="223">
      <formula>AX$22=""</formula>
    </cfRule>
  </conditionalFormatting>
  <conditionalFormatting sqref="AX50:CA50">
    <cfRule type="expression" dxfId="130" priority="221">
      <formula>AX$22=""</formula>
    </cfRule>
  </conditionalFormatting>
  <conditionalFormatting sqref="AX64:CA64">
    <cfRule type="expression" dxfId="129" priority="218">
      <formula>AX$22=""</formula>
    </cfRule>
  </conditionalFormatting>
  <conditionalFormatting sqref="AX57:CA57">
    <cfRule type="expression" dxfId="128" priority="217">
      <formula>AX$22=""</formula>
    </cfRule>
  </conditionalFormatting>
  <conditionalFormatting sqref="AX58:CA58">
    <cfRule type="expression" dxfId="127" priority="216">
      <formula>AX$22=""</formula>
    </cfRule>
  </conditionalFormatting>
  <conditionalFormatting sqref="AX59:CA59">
    <cfRule type="expression" dxfId="126" priority="215">
      <formula>AX$22=""</formula>
    </cfRule>
  </conditionalFormatting>
  <conditionalFormatting sqref="AX56:CA56">
    <cfRule type="expression" dxfId="125" priority="214">
      <formula>AX$22=""</formula>
    </cfRule>
  </conditionalFormatting>
  <conditionalFormatting sqref="AX63:CA63">
    <cfRule type="expression" dxfId="124" priority="207">
      <formula>AX$22=""</formula>
    </cfRule>
  </conditionalFormatting>
  <conditionalFormatting sqref="AX65:CA65">
    <cfRule type="expression" dxfId="123" priority="206">
      <formula>AX$22=""</formula>
    </cfRule>
  </conditionalFormatting>
  <conditionalFormatting sqref="AX67:CA67">
    <cfRule type="expression" dxfId="122" priority="205">
      <formula>AX$22=""</formula>
    </cfRule>
  </conditionalFormatting>
  <conditionalFormatting sqref="AX32:CA32 AX34:CB48">
    <cfRule type="expression" dxfId="121" priority="202">
      <formula>AX$22=""</formula>
    </cfRule>
  </conditionalFormatting>
  <conditionalFormatting sqref="AX53:CA53">
    <cfRule type="expression" dxfId="120" priority="200">
      <formula>AX$22=""</formula>
    </cfRule>
  </conditionalFormatting>
  <conditionalFormatting sqref="AX55:CA55">
    <cfRule type="expression" dxfId="119" priority="198">
      <formula>AX$22=""</formula>
    </cfRule>
  </conditionalFormatting>
  <conditionalFormatting sqref="AX60:CA60">
    <cfRule type="expression" dxfId="118" priority="197">
      <formula>AX$22=""</formula>
    </cfRule>
  </conditionalFormatting>
  <conditionalFormatting sqref="AX62:CA62">
    <cfRule type="expression" dxfId="117" priority="196">
      <formula>AX$22=""</formula>
    </cfRule>
  </conditionalFormatting>
  <conditionalFormatting sqref="AX33:CA33">
    <cfRule type="expression" dxfId="116" priority="195">
      <formula>AX$22=""</formula>
    </cfRule>
  </conditionalFormatting>
  <conditionalFormatting sqref="AX33:CA33">
    <cfRule type="expression" dxfId="115" priority="194">
      <formula>AX$22=""</formula>
    </cfRule>
  </conditionalFormatting>
  <conditionalFormatting sqref="AX75:CA75">
    <cfRule type="expression" dxfId="114" priority="192">
      <formula>AX$71=""</formula>
    </cfRule>
  </conditionalFormatting>
  <conditionalFormatting sqref="AX82:CA82 AX86:CB86">
    <cfRule type="expression" dxfId="113" priority="190">
      <formula>AX$71=""</formula>
    </cfRule>
  </conditionalFormatting>
  <conditionalFormatting sqref="AX54:CA54">
    <cfRule type="expression" dxfId="112" priority="187">
      <formula>AX$22=""</formula>
    </cfRule>
  </conditionalFormatting>
  <conditionalFormatting sqref="AX66:CA66">
    <cfRule type="expression" dxfId="111" priority="184">
      <formula>AX$22=""</formula>
    </cfRule>
  </conditionalFormatting>
  <conditionalFormatting sqref="AX74:CA74">
    <cfRule type="expression" dxfId="110" priority="182">
      <formula>AX$71=""</formula>
    </cfRule>
  </conditionalFormatting>
  <conditionalFormatting sqref="AX71:CB71">
    <cfRule type="expression" dxfId="109" priority="178">
      <formula>AX$71=""</formula>
    </cfRule>
  </conditionalFormatting>
  <conditionalFormatting sqref="AX79:CA80">
    <cfRule type="expression" dxfId="108" priority="177">
      <formula>AX$71=""</formula>
    </cfRule>
  </conditionalFormatting>
  <conditionalFormatting sqref="AX81:CA81">
    <cfRule type="expression" dxfId="107" priority="176">
      <formula>AX$71=""</formula>
    </cfRule>
  </conditionalFormatting>
  <conditionalFormatting sqref="AX83:CA83">
    <cfRule type="expression" dxfId="106" priority="175">
      <formula>AX$71=""</formula>
    </cfRule>
  </conditionalFormatting>
  <conditionalFormatting sqref="AX84:CA84">
    <cfRule type="expression" dxfId="105" priority="167">
      <formula>AX$71=""</formula>
    </cfRule>
  </conditionalFormatting>
  <conditionalFormatting sqref="AX91:CA91">
    <cfRule type="expression" dxfId="104" priority="164">
      <formula>AX$71=""</formula>
    </cfRule>
  </conditionalFormatting>
  <conditionalFormatting sqref="AX85:CB85">
    <cfRule type="expression" dxfId="103" priority="156">
      <formula>AX$71=""</formula>
    </cfRule>
  </conditionalFormatting>
  <conditionalFormatting sqref="AX87:CB87">
    <cfRule type="expression" dxfId="102" priority="155">
      <formula>AX$71=""</formula>
    </cfRule>
  </conditionalFormatting>
  <conditionalFormatting sqref="AX89:CB89">
    <cfRule type="expression" dxfId="101" priority="151">
      <formula>AX$71=""</formula>
    </cfRule>
  </conditionalFormatting>
  <conditionalFormatting sqref="AX88:CA88">
    <cfRule type="expression" dxfId="100" priority="135">
      <formula>AX$71=""</formula>
    </cfRule>
  </conditionalFormatting>
  <conditionalFormatting sqref="CB25">
    <cfRule type="expression" dxfId="99" priority="133">
      <formula>CB$22=""</formula>
    </cfRule>
  </conditionalFormatting>
  <conditionalFormatting sqref="CB26">
    <cfRule type="expression" dxfId="98" priority="132">
      <formula>CB$22=""</formula>
    </cfRule>
  </conditionalFormatting>
  <conditionalFormatting sqref="CB49">
    <cfRule type="expression" dxfId="97" priority="131">
      <formula>CB$22=""</formula>
    </cfRule>
  </conditionalFormatting>
  <conditionalFormatting sqref="CB51">
    <cfRule type="expression" dxfId="96" priority="130">
      <formula>CB$22=""</formula>
    </cfRule>
  </conditionalFormatting>
  <conditionalFormatting sqref="CB52">
    <cfRule type="expression" dxfId="95" priority="129">
      <formula>CB$22=""</formula>
    </cfRule>
  </conditionalFormatting>
  <conditionalFormatting sqref="CB27">
    <cfRule type="expression" dxfId="94" priority="128">
      <formula>CB$22=""</formula>
    </cfRule>
  </conditionalFormatting>
  <conditionalFormatting sqref="CB27">
    <cfRule type="expression" dxfId="93" priority="127">
      <formula>CB$22=""</formula>
    </cfRule>
  </conditionalFormatting>
  <conditionalFormatting sqref="CB50">
    <cfRule type="expression" dxfId="92" priority="126">
      <formula>CB$22=""</formula>
    </cfRule>
  </conditionalFormatting>
  <conditionalFormatting sqref="CB64">
    <cfRule type="expression" dxfId="91" priority="125">
      <formula>CB$22=""</formula>
    </cfRule>
  </conditionalFormatting>
  <conditionalFormatting sqref="CB57">
    <cfRule type="expression" dxfId="90" priority="124">
      <formula>CB$22=""</formula>
    </cfRule>
  </conditionalFormatting>
  <conditionalFormatting sqref="CB58">
    <cfRule type="expression" dxfId="89" priority="123">
      <formula>CB$22=""</formula>
    </cfRule>
  </conditionalFormatting>
  <conditionalFormatting sqref="CB59">
    <cfRule type="expression" dxfId="88" priority="122">
      <formula>CB$22=""</formula>
    </cfRule>
  </conditionalFormatting>
  <conditionalFormatting sqref="CB56">
    <cfRule type="expression" dxfId="87" priority="121">
      <formula>CB$22=""</formula>
    </cfRule>
  </conditionalFormatting>
  <conditionalFormatting sqref="CB63">
    <cfRule type="expression" dxfId="86" priority="120">
      <formula>CB$22=""</formula>
    </cfRule>
  </conditionalFormatting>
  <conditionalFormatting sqref="CB65">
    <cfRule type="expression" dxfId="85" priority="119">
      <formula>CB$22=""</formula>
    </cfRule>
  </conditionalFormatting>
  <conditionalFormatting sqref="CB67">
    <cfRule type="expression" dxfId="84" priority="118">
      <formula>CB$22=""</formula>
    </cfRule>
  </conditionalFormatting>
  <conditionalFormatting sqref="CB28">
    <cfRule type="expression" dxfId="83" priority="117">
      <formula>CB$22=""</formula>
    </cfRule>
  </conditionalFormatting>
  <conditionalFormatting sqref="CB29:CB32">
    <cfRule type="expression" dxfId="82" priority="116">
      <formula>CB$22=""</formula>
    </cfRule>
  </conditionalFormatting>
  <conditionalFormatting sqref="CB53">
    <cfRule type="expression" dxfId="81" priority="114">
      <formula>CB$22=""</formula>
    </cfRule>
  </conditionalFormatting>
  <conditionalFormatting sqref="CB55">
    <cfRule type="expression" dxfId="80" priority="113">
      <formula>CB$22=""</formula>
    </cfRule>
  </conditionalFormatting>
  <conditionalFormatting sqref="CB60">
    <cfRule type="expression" dxfId="79" priority="112">
      <formula>CB$22=""</formula>
    </cfRule>
  </conditionalFormatting>
  <conditionalFormatting sqref="CB62">
    <cfRule type="expression" dxfId="78" priority="111">
      <formula>CB$22=""</formula>
    </cfRule>
  </conditionalFormatting>
  <conditionalFormatting sqref="CB33">
    <cfRule type="expression" dxfId="77" priority="110">
      <formula>CB$22=""</formula>
    </cfRule>
  </conditionalFormatting>
  <conditionalFormatting sqref="CB33">
    <cfRule type="expression" dxfId="76" priority="109">
      <formula>CB$22=""</formula>
    </cfRule>
  </conditionalFormatting>
  <conditionalFormatting sqref="CB54">
    <cfRule type="expression" dxfId="75" priority="106">
      <formula>CB$22=""</formula>
    </cfRule>
  </conditionalFormatting>
  <conditionalFormatting sqref="CB61">
    <cfRule type="expression" dxfId="74" priority="102" stopIfTrue="1">
      <formula>CB$22=""</formula>
    </cfRule>
  </conditionalFormatting>
  <conditionalFormatting sqref="CB66">
    <cfRule type="expression" dxfId="73" priority="104">
      <formula>CB$22=""</formula>
    </cfRule>
  </conditionalFormatting>
  <conditionalFormatting sqref="CB61">
    <cfRule type="expression" dxfId="72" priority="105">
      <formula>SUM($AX$61:$BQ$61)&lt;&gt;1</formula>
    </cfRule>
  </conditionalFormatting>
  <conditionalFormatting sqref="AX90:CA90">
    <cfRule type="expression" dxfId="71" priority="89">
      <formula>AX$71=""</formula>
    </cfRule>
  </conditionalFormatting>
  <conditionalFormatting sqref="CB75">
    <cfRule type="expression" dxfId="70" priority="88">
      <formula>CB$71=""</formula>
    </cfRule>
  </conditionalFormatting>
  <conditionalFormatting sqref="CB82">
    <cfRule type="expression" dxfId="69" priority="87">
      <formula>CB$71=""</formula>
    </cfRule>
  </conditionalFormatting>
  <conditionalFormatting sqref="CB74">
    <cfRule type="expression" dxfId="68" priority="86">
      <formula>CB$71=""</formula>
    </cfRule>
  </conditionalFormatting>
  <conditionalFormatting sqref="CB79:CB80">
    <cfRule type="expression" dxfId="67" priority="84">
      <formula>CB$71=""</formula>
    </cfRule>
  </conditionalFormatting>
  <conditionalFormatting sqref="CB81:CB82">
    <cfRule type="expression" dxfId="66" priority="83">
      <formula>CB$71=""</formula>
    </cfRule>
  </conditionalFormatting>
  <conditionalFormatting sqref="CB83">
    <cfRule type="expression" dxfId="65" priority="82">
      <formula>CB$71=""</formula>
    </cfRule>
  </conditionalFormatting>
  <conditionalFormatting sqref="CB84">
    <cfRule type="expression" dxfId="64" priority="81">
      <formula>CB$71=""</formula>
    </cfRule>
  </conditionalFormatting>
  <conditionalFormatting sqref="CB91">
    <cfRule type="expression" dxfId="63" priority="80">
      <formula>CB$71=""</formula>
    </cfRule>
  </conditionalFormatting>
  <conditionalFormatting sqref="CB88">
    <cfRule type="expression" dxfId="62" priority="75">
      <formula>CB$71=""</formula>
    </cfRule>
  </conditionalFormatting>
  <conditionalFormatting sqref="CB90">
    <cfRule type="expression" dxfId="61" priority="74">
      <formula>CB$71=""</formula>
    </cfRule>
  </conditionalFormatting>
  <conditionalFormatting sqref="AX28:CA28">
    <cfRule type="expression" dxfId="60" priority="68">
      <formula>AX$22=""</formula>
    </cfRule>
  </conditionalFormatting>
  <conditionalFormatting sqref="AX29:CA31">
    <cfRule type="expression" dxfId="59" priority="67">
      <formula>AX$22=""</formula>
    </cfRule>
  </conditionalFormatting>
  <conditionalFormatting sqref="AT28:AT32 AT34:AT48">
    <cfRule type="cellIs" dxfId="58" priority="66" operator="equal">
      <formula>"|Vælg anlæg &gt;|"</formula>
    </cfRule>
  </conditionalFormatting>
  <conditionalFormatting sqref="AX61:CA61">
    <cfRule type="expression" dxfId="57" priority="58" stopIfTrue="1">
      <formula>AX$22=""</formula>
    </cfRule>
  </conditionalFormatting>
  <conditionalFormatting sqref="AX61:CA61">
    <cfRule type="expression" dxfId="56" priority="59">
      <formula>SUM($AX$61:$BQ$61)&lt;&gt;1</formula>
    </cfRule>
  </conditionalFormatting>
  <conditionalFormatting sqref="AX76:CA78">
    <cfRule type="expression" dxfId="55" priority="55">
      <formula>AX$71=""</formula>
    </cfRule>
  </conditionalFormatting>
  <conditionalFormatting sqref="CB76:CB78">
    <cfRule type="expression" dxfId="54" priority="54">
      <formula>CB$71=""</formula>
    </cfRule>
  </conditionalFormatting>
  <conditionalFormatting sqref="AX103:CA103">
    <cfRule type="expression" dxfId="53" priority="48">
      <formula>AX$71=""</formula>
    </cfRule>
  </conditionalFormatting>
  <conditionalFormatting sqref="CB103">
    <cfRule type="expression" dxfId="52" priority="43">
      <formula>CB$71=""</formula>
    </cfRule>
  </conditionalFormatting>
  <conditionalFormatting sqref="AX100:CA100">
    <cfRule type="expression" dxfId="51" priority="36">
      <formula>AX$71=""</formula>
    </cfRule>
  </conditionalFormatting>
  <conditionalFormatting sqref="CB100">
    <cfRule type="expression" dxfId="50" priority="35">
      <formula>CB$71=""</formula>
    </cfRule>
  </conditionalFormatting>
  <conditionalFormatting sqref="AX102:CA102">
    <cfRule type="expression" dxfId="49" priority="34">
      <formula>AX$71=""</formula>
    </cfRule>
  </conditionalFormatting>
  <conditionalFormatting sqref="CB102">
    <cfRule type="expression" dxfId="48" priority="33">
      <formula>CB$71=""</formula>
    </cfRule>
  </conditionalFormatting>
  <conditionalFormatting sqref="AX101:CB101">
    <cfRule type="expression" dxfId="47" priority="32">
      <formula>AX$71=""</formula>
    </cfRule>
  </conditionalFormatting>
  <conditionalFormatting sqref="AX99:CA99">
    <cfRule type="expression" dxfId="46" priority="30">
      <formula>AX$71=""</formula>
    </cfRule>
  </conditionalFormatting>
  <conditionalFormatting sqref="CB99">
    <cfRule type="expression" dxfId="45" priority="29">
      <formula>CB$71=""</formula>
    </cfRule>
  </conditionalFormatting>
  <conditionalFormatting sqref="AX98:CA98">
    <cfRule type="expression" dxfId="44" priority="28">
      <formula>AX$71=""</formula>
    </cfRule>
  </conditionalFormatting>
  <conditionalFormatting sqref="CB98">
    <cfRule type="expression" dxfId="43" priority="27">
      <formula>CB$71=""</formula>
    </cfRule>
  </conditionalFormatting>
  <conditionalFormatting sqref="CB97">
    <cfRule type="expression" dxfId="42" priority="14">
      <formula>CB$71=""</formula>
    </cfRule>
  </conditionalFormatting>
  <conditionalFormatting sqref="AX97:CA97">
    <cfRule type="expression" dxfId="41" priority="15">
      <formula>AX$71=""</formula>
    </cfRule>
  </conditionalFormatting>
  <conditionalFormatting sqref="AX94:CB94">
    <cfRule type="expression" dxfId="40" priority="13">
      <formula>AX$71=""</formula>
    </cfRule>
  </conditionalFormatting>
  <conditionalFormatting sqref="AX68:CB68">
    <cfRule type="expression" dxfId="39" priority="11">
      <formula>AX$22=""</formula>
    </cfRule>
  </conditionalFormatting>
  <conditionalFormatting sqref="AX95:CB96">
    <cfRule type="expression" dxfId="38" priority="10">
      <formula>AX$71=""</formula>
    </cfRule>
  </conditionalFormatting>
  <conditionalFormatting sqref="CB72:CB73">
    <cfRule type="expression" dxfId="37" priority="5">
      <formula>CB$71=""</formula>
    </cfRule>
  </conditionalFormatting>
  <conditionalFormatting sqref="CB23:CB24">
    <cfRule type="expression" dxfId="36" priority="4">
      <formula>CB$22=""</formula>
    </cfRule>
  </conditionalFormatting>
  <conditionalFormatting sqref="AX23:CA24">
    <cfRule type="expression" dxfId="35" priority="3">
      <formula>AX$71=""</formula>
    </cfRule>
  </conditionalFormatting>
  <conditionalFormatting sqref="AX72:CA73">
    <cfRule type="expression" dxfId="34" priority="2">
      <formula>AX$71=""</formula>
    </cfRule>
  </conditionalFormatting>
  <conditionalFormatting sqref="AP23:AP24">
    <cfRule type="expression" dxfId="33" priority="1">
      <formula>AP$22=""</formula>
    </cfRule>
  </conditionalFormatting>
  <dataValidations count="2">
    <dataValidation type="list" allowBlank="1" showInputMessage="1" showErrorMessage="1" sqref="AX54:CB54 AX86:CB86">
      <formula1>g_pl_years</formula1>
    </dataValidation>
    <dataValidation type="list" allowBlank="1" showInputMessage="1" showErrorMessage="1" sqref="AT28:AT32 AT34:AT48">
      <formula1>g_assets_sc_1</formula1>
    </dataValidation>
  </dataValidations>
  <pageMargins left="0.7" right="0.7" top="0.75" bottom="0.75" header="0.3" footer="0.3"/>
  <pageSetup paperSize="9" fitToHeight="0"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2060"/>
    <pageSetUpPr autoPageBreaks="0" fitToPage="1"/>
  </sheetPr>
  <dimension ref="A1:BB122"/>
  <sheetViews>
    <sheetView tabSelected="1" topLeftCell="M13" zoomScaleNormal="100" workbookViewId="0">
      <selection activeCell="AB20" sqref="AB20"/>
    </sheetView>
  </sheetViews>
  <sheetFormatPr defaultColWidth="9.28515625" defaultRowHeight="12.75" customHeight="1" x14ac:dyDescent="0.2"/>
  <cols>
    <col min="1" max="1" width="5.85546875" style="104" hidden="1" customWidth="1"/>
    <col min="2" max="2" width="4" style="104" hidden="1" customWidth="1"/>
    <col min="3" max="3" width="13.7109375" style="104" hidden="1" customWidth="1"/>
    <col min="4" max="9" width="4" style="104" hidden="1" customWidth="1"/>
    <col min="10" max="12" width="1.5703125" style="104" hidden="1" customWidth="1"/>
    <col min="13" max="13" width="2.85546875" style="104" customWidth="1"/>
    <col min="14" max="16" width="1.5703125" style="104" customWidth="1"/>
    <col min="17" max="17" width="64.7109375" style="104" customWidth="1"/>
    <col min="18" max="49" width="6.7109375" style="104" customWidth="1"/>
    <col min="50" max="54" width="1.5703125" style="104" customWidth="1"/>
    <col min="55" max="16384" width="9.28515625" style="104"/>
  </cols>
  <sheetData>
    <row r="1" spans="1:54" s="98" customFormat="1" ht="21.75" hidden="1" customHeight="1" x14ac:dyDescent="0.2">
      <c r="A1" s="97" t="s">
        <v>97</v>
      </c>
      <c r="B1" s="97" t="s">
        <v>98</v>
      </c>
      <c r="C1" s="97" t="s">
        <v>99</v>
      </c>
      <c r="D1" s="97" t="s">
        <v>100</v>
      </c>
      <c r="E1" s="97" t="s">
        <v>101</v>
      </c>
      <c r="F1" s="97" t="s">
        <v>102</v>
      </c>
      <c r="G1" s="97" t="s">
        <v>103</v>
      </c>
      <c r="H1" s="97" t="s">
        <v>104</v>
      </c>
      <c r="I1" s="97" t="s">
        <v>105</v>
      </c>
      <c r="J1" s="97" t="s">
        <v>106</v>
      </c>
      <c r="K1" s="97" t="s">
        <v>107</v>
      </c>
      <c r="L1" s="97" t="s">
        <v>108</v>
      </c>
      <c r="M1" s="97" t="s">
        <v>109</v>
      </c>
      <c r="N1" s="97" t="s">
        <v>110</v>
      </c>
      <c r="O1" s="97" t="s">
        <v>111</v>
      </c>
      <c r="P1" s="97" t="s">
        <v>112</v>
      </c>
      <c r="Q1" s="97" t="s">
        <v>113</v>
      </c>
      <c r="R1" s="97" t="s">
        <v>114</v>
      </c>
      <c r="S1" s="97" t="s">
        <v>115</v>
      </c>
      <c r="T1" s="97" t="s">
        <v>116</v>
      </c>
      <c r="U1" s="97" t="s">
        <v>117</v>
      </c>
      <c r="V1" s="97" t="s">
        <v>118</v>
      </c>
      <c r="W1" s="97" t="s">
        <v>119</v>
      </c>
      <c r="X1" s="97" t="s">
        <v>120</v>
      </c>
      <c r="Y1" s="97" t="s">
        <v>121</v>
      </c>
      <c r="Z1" s="97" t="s">
        <v>122</v>
      </c>
      <c r="AA1" s="97" t="s">
        <v>123</v>
      </c>
      <c r="AB1" s="97" t="s">
        <v>124</v>
      </c>
      <c r="AC1" s="97" t="s">
        <v>125</v>
      </c>
      <c r="AD1" s="97" t="s">
        <v>126</v>
      </c>
      <c r="AE1" s="97" t="s">
        <v>130</v>
      </c>
      <c r="AF1" s="97" t="s">
        <v>131</v>
      </c>
      <c r="AG1" s="97" t="s">
        <v>132</v>
      </c>
      <c r="AH1" s="97" t="s">
        <v>133</v>
      </c>
      <c r="AI1" s="97" t="s">
        <v>134</v>
      </c>
      <c r="AJ1" s="97" t="s">
        <v>135</v>
      </c>
      <c r="AK1" s="97" t="s">
        <v>136</v>
      </c>
      <c r="AL1" s="97" t="s">
        <v>137</v>
      </c>
      <c r="AM1" s="97" t="s">
        <v>138</v>
      </c>
      <c r="AN1" s="97" t="s">
        <v>139</v>
      </c>
      <c r="AO1" s="97" t="s">
        <v>140</v>
      </c>
      <c r="AP1" s="97" t="s">
        <v>141</v>
      </c>
      <c r="AQ1" s="97" t="s">
        <v>142</v>
      </c>
      <c r="AR1" s="97" t="s">
        <v>143</v>
      </c>
      <c r="AS1" s="97"/>
      <c r="AT1" s="97"/>
      <c r="AU1" s="97"/>
      <c r="AV1" s="97"/>
      <c r="AW1" s="97"/>
      <c r="AX1" s="97" t="s">
        <v>139</v>
      </c>
      <c r="AY1" s="97" t="s">
        <v>140</v>
      </c>
      <c r="AZ1" s="97" t="s">
        <v>141</v>
      </c>
      <c r="BA1" s="97" t="s">
        <v>142</v>
      </c>
      <c r="BB1" s="97" t="s">
        <v>143</v>
      </c>
    </row>
    <row r="2" spans="1:54" s="98" customFormat="1" ht="409.35" hidden="1" customHeight="1" x14ac:dyDescent="0.2">
      <c r="A2" s="100"/>
      <c r="B2" s="100"/>
      <c r="C2" s="100"/>
      <c r="D2" s="100"/>
      <c r="E2" s="100"/>
      <c r="F2" s="100"/>
      <c r="G2" s="100"/>
      <c r="H2" s="100"/>
      <c r="I2" s="100"/>
      <c r="J2" s="100"/>
      <c r="K2" s="100"/>
      <c r="L2" s="100"/>
      <c r="M2" s="100"/>
      <c r="N2" s="100"/>
      <c r="O2" s="100"/>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row>
    <row r="3" spans="1:54" s="99" customFormat="1" ht="12" hidden="1" x14ac:dyDescent="0.2">
      <c r="A3" s="102" t="s">
        <v>149</v>
      </c>
      <c r="B3" s="102" t="s">
        <v>149</v>
      </c>
      <c r="C3" s="102" t="s">
        <v>149</v>
      </c>
      <c r="D3" s="102" t="s">
        <v>149</v>
      </c>
      <c r="E3" s="102" t="s">
        <v>149</v>
      </c>
      <c r="F3" s="102" t="s">
        <v>149</v>
      </c>
      <c r="G3" s="102" t="s">
        <v>149</v>
      </c>
      <c r="H3" s="102" t="s">
        <v>149</v>
      </c>
      <c r="I3" s="102" t="s">
        <v>149</v>
      </c>
      <c r="J3" s="102" t="s">
        <v>149</v>
      </c>
      <c r="K3" s="102" t="s">
        <v>149</v>
      </c>
      <c r="L3" s="102" t="s">
        <v>149</v>
      </c>
      <c r="M3" s="102" t="s">
        <v>149</v>
      </c>
      <c r="N3" s="102" t="s">
        <v>149</v>
      </c>
      <c r="O3" s="102" t="s">
        <v>149</v>
      </c>
      <c r="P3" s="102" t="s">
        <v>149</v>
      </c>
      <c r="Q3" s="102" t="s">
        <v>149</v>
      </c>
      <c r="R3" s="102" t="s">
        <v>149</v>
      </c>
      <c r="S3" s="102" t="s">
        <v>149</v>
      </c>
      <c r="T3" s="102" t="s">
        <v>149</v>
      </c>
      <c r="U3" s="102" t="s">
        <v>149</v>
      </c>
      <c r="V3" s="102" t="s">
        <v>149</v>
      </c>
      <c r="W3" s="102" t="s">
        <v>149</v>
      </c>
      <c r="X3" s="102" t="s">
        <v>149</v>
      </c>
      <c r="Y3" s="102" t="s">
        <v>149</v>
      </c>
      <c r="Z3" s="102" t="s">
        <v>149</v>
      </c>
      <c r="AA3" s="102" t="s">
        <v>149</v>
      </c>
      <c r="AB3" s="102" t="s">
        <v>149</v>
      </c>
      <c r="AC3" s="102" t="s">
        <v>149</v>
      </c>
      <c r="AD3" s="102" t="s">
        <v>149</v>
      </c>
      <c r="AE3" s="102" t="s">
        <v>149</v>
      </c>
      <c r="AF3" s="102" t="s">
        <v>149</v>
      </c>
      <c r="AG3" s="102" t="s">
        <v>149</v>
      </c>
      <c r="AH3" s="102" t="s">
        <v>149</v>
      </c>
      <c r="AI3" s="102" t="s">
        <v>149</v>
      </c>
      <c r="AJ3" s="102" t="s">
        <v>149</v>
      </c>
      <c r="AK3" s="102" t="s">
        <v>149</v>
      </c>
      <c r="AL3" s="102" t="s">
        <v>149</v>
      </c>
      <c r="AM3" s="102" t="s">
        <v>149</v>
      </c>
      <c r="AN3" s="102" t="s">
        <v>149</v>
      </c>
      <c r="AO3" s="102" t="s">
        <v>149</v>
      </c>
      <c r="AP3" s="102" t="s">
        <v>149</v>
      </c>
      <c r="AQ3" s="102" t="s">
        <v>149</v>
      </c>
      <c r="AR3" s="102" t="s">
        <v>149</v>
      </c>
      <c r="AS3" s="102"/>
      <c r="AT3" s="102"/>
      <c r="AU3" s="102"/>
      <c r="AV3" s="102"/>
      <c r="AW3" s="102"/>
      <c r="AX3" s="102" t="s">
        <v>149</v>
      </c>
      <c r="AY3" s="102" t="s">
        <v>149</v>
      </c>
      <c r="AZ3" s="102" t="s">
        <v>149</v>
      </c>
      <c r="BA3" s="102" t="s">
        <v>149</v>
      </c>
      <c r="BB3" s="102" t="s">
        <v>149</v>
      </c>
    </row>
    <row r="4" spans="1:54" s="99" customFormat="1" ht="12" hidden="1" x14ac:dyDescent="0.2">
      <c r="A4" s="103">
        <v>-13</v>
      </c>
      <c r="B4" s="103">
        <v>-12</v>
      </c>
      <c r="C4" s="103">
        <v>-11</v>
      </c>
      <c r="D4" s="103">
        <v>-10</v>
      </c>
      <c r="E4" s="103">
        <v>-9</v>
      </c>
      <c r="F4" s="103">
        <v>-8</v>
      </c>
      <c r="G4" s="103">
        <v>-7</v>
      </c>
      <c r="H4" s="103">
        <v>-6</v>
      </c>
      <c r="I4" s="103">
        <v>-5</v>
      </c>
      <c r="J4" s="103">
        <v>-4</v>
      </c>
      <c r="K4" s="103">
        <v>-3</v>
      </c>
      <c r="L4" s="103">
        <v>-2</v>
      </c>
      <c r="M4" s="103">
        <v>-1</v>
      </c>
      <c r="N4" s="103">
        <v>0</v>
      </c>
      <c r="O4" s="103">
        <v>1</v>
      </c>
      <c r="P4" s="103">
        <v>2</v>
      </c>
      <c r="Q4" s="103">
        <v>3</v>
      </c>
      <c r="R4" s="103">
        <v>4</v>
      </c>
      <c r="S4" s="103">
        <v>5</v>
      </c>
      <c r="T4" s="103">
        <v>6</v>
      </c>
      <c r="U4" s="103">
        <v>7</v>
      </c>
      <c r="V4" s="103">
        <v>8</v>
      </c>
      <c r="W4" s="103">
        <v>9</v>
      </c>
      <c r="X4" s="103">
        <v>10</v>
      </c>
      <c r="Y4" s="103">
        <v>11</v>
      </c>
      <c r="Z4" s="103">
        <v>12</v>
      </c>
      <c r="AA4" s="103">
        <v>13</v>
      </c>
      <c r="AB4" s="103">
        <v>14</v>
      </c>
      <c r="AC4" s="103">
        <v>15</v>
      </c>
      <c r="AD4" s="103">
        <v>16</v>
      </c>
      <c r="AE4" s="103">
        <v>17</v>
      </c>
      <c r="AF4" s="103">
        <v>18</v>
      </c>
      <c r="AG4" s="103">
        <v>19</v>
      </c>
      <c r="AH4" s="103">
        <v>20</v>
      </c>
      <c r="AI4" s="103">
        <v>21</v>
      </c>
      <c r="AJ4" s="103">
        <v>22</v>
      </c>
      <c r="AK4" s="103">
        <v>23</v>
      </c>
      <c r="AL4" s="103">
        <v>24</v>
      </c>
      <c r="AM4" s="103">
        <v>25</v>
      </c>
      <c r="AN4" s="103">
        <v>26</v>
      </c>
      <c r="AO4" s="103">
        <v>27</v>
      </c>
      <c r="AP4" s="103">
        <v>28</v>
      </c>
      <c r="AQ4" s="103">
        <v>29</v>
      </c>
      <c r="AR4" s="103">
        <v>30</v>
      </c>
      <c r="AS4" s="103"/>
      <c r="AT4" s="103"/>
      <c r="AU4" s="103"/>
      <c r="AV4" s="103"/>
      <c r="AW4" s="103"/>
      <c r="AX4" s="103">
        <v>26</v>
      </c>
      <c r="AY4" s="103">
        <v>27</v>
      </c>
      <c r="AZ4" s="103">
        <v>28</v>
      </c>
      <c r="BA4" s="103">
        <v>29</v>
      </c>
      <c r="BB4" s="103">
        <v>30</v>
      </c>
    </row>
    <row r="5" spans="1:54" ht="12.75" hidden="1" customHeight="1" x14ac:dyDescent="0.2"/>
    <row r="6" spans="1:54" ht="12.75" hidden="1" customHeight="1" x14ac:dyDescent="0.2"/>
    <row r="7" spans="1:54" ht="12.75" hidden="1" customHeight="1" x14ac:dyDescent="0.2"/>
    <row r="8" spans="1:54" ht="12.75" hidden="1" customHeight="1" x14ac:dyDescent="0.2"/>
    <row r="9" spans="1:54" ht="12.75" hidden="1" customHeight="1" x14ac:dyDescent="0.2"/>
    <row r="10" spans="1:54" ht="12.75" hidden="1" customHeight="1" x14ac:dyDescent="0.2"/>
    <row r="11" spans="1:54" ht="12.75" hidden="1" customHeight="1" x14ac:dyDescent="0.2"/>
    <row r="12" spans="1:54" ht="12.75" hidden="1" customHeight="1" x14ac:dyDescent="0.2"/>
    <row r="13" spans="1:54" ht="28.5" customHeight="1" x14ac:dyDescent="0.2">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row>
    <row r="14" spans="1:54" ht="12.75" customHeight="1" x14ac:dyDescent="0.2">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row>
    <row r="16" spans="1:54" ht="12.75" customHeight="1" thickBot="1" x14ac:dyDescent="0.25"/>
    <row r="17" spans="14:52" ht="42.75" customHeight="1" thickTop="1" x14ac:dyDescent="0.2">
      <c r="N17" s="222" t="str">
        <f>INDEX(g_lang_val,MATCH("tb_1",g_lang_key,0))</f>
        <v>Projektets økonomiske nøgletal</v>
      </c>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4"/>
    </row>
    <row r="18" spans="14:52" ht="12.75" customHeight="1" x14ac:dyDescent="0.2">
      <c r="N18" s="107"/>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row>
    <row r="19" spans="14:52" ht="22.9" customHeight="1" x14ac:dyDescent="0.2">
      <c r="N19" s="107"/>
      <c r="O19" s="110"/>
      <c r="P19" s="111"/>
      <c r="Q19" s="129" t="str">
        <f>INDEX(g_lang_val,MATCH("tb_1_1",g_lang_key,0)) &amp; " 1"</f>
        <v>Tabel 1</v>
      </c>
      <c r="R19" s="111"/>
      <c r="S19" s="111"/>
      <c r="T19" s="111"/>
      <c r="U19" s="111"/>
      <c r="V19" s="111"/>
      <c r="W19" s="111"/>
      <c r="X19" s="111"/>
      <c r="Y19" s="111"/>
      <c r="Z19" s="111"/>
      <c r="AA19" s="111"/>
      <c r="AB19" s="111"/>
      <c r="AC19" s="111"/>
      <c r="AD19" s="111"/>
      <c r="AE19" s="111"/>
      <c r="AF19" s="111"/>
      <c r="AG19" s="111"/>
      <c r="AH19" s="111"/>
      <c r="AI19" s="111"/>
      <c r="AJ19" s="111"/>
      <c r="AK19" s="111"/>
      <c r="AL19" s="111" t="s">
        <v>150</v>
      </c>
      <c r="AM19" s="111"/>
      <c r="AN19" s="111"/>
      <c r="AO19" s="111"/>
      <c r="AP19" s="111"/>
      <c r="AQ19" s="111"/>
      <c r="AR19" s="111"/>
      <c r="AS19" s="111"/>
      <c r="AT19" s="111"/>
      <c r="AU19" s="111"/>
      <c r="AV19" s="111"/>
      <c r="AW19" s="111"/>
      <c r="AX19" s="111"/>
      <c r="AY19" s="110"/>
      <c r="AZ19" s="109"/>
    </row>
    <row r="20" spans="14:52" ht="31.15" customHeight="1" x14ac:dyDescent="0.2">
      <c r="N20" s="107"/>
      <c r="O20" s="112"/>
      <c r="P20" s="113"/>
      <c r="Q20" s="114" t="str">
        <f>INDEX(g_lang_val,MATCH("tb_1_1_1",g_lang_key,0))</f>
        <v>Økonomiske nøgletal</v>
      </c>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2"/>
      <c r="AZ20" s="109"/>
    </row>
    <row r="21" spans="14:52" ht="12.75" customHeight="1" thickBot="1" x14ac:dyDescent="0.25">
      <c r="N21" s="107"/>
      <c r="O21" s="112"/>
      <c r="P21" s="113"/>
      <c r="Q21" s="115" t="str">
        <f ca="1">INDEX(g_lang_val,MATCH("tb_1_1_1_1",g_lang_key,0)) &amp;g_reporting_year&amp;INDEX(g_lang_val,MATCH("tb_1_1_1_2",g_lang_key,0))</f>
        <v>Mio. kr. 2024-pl</v>
      </c>
      <c r="R21" s="115"/>
      <c r="S21" s="116" t="str">
        <f>INDEX(g_lang_val,MATCH("le_2_2",g_lang_key,0))</f>
        <v xml:space="preserve">Total </v>
      </c>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2"/>
      <c r="AZ21" s="109"/>
    </row>
    <row r="22" spans="14:52" ht="12.75" customHeight="1" thickTop="1" x14ac:dyDescent="0.2">
      <c r="N22" s="107"/>
      <c r="O22" s="112"/>
      <c r="P22" s="113"/>
      <c r="Q22" s="117" t="str">
        <f>INDEX(g_lang_val,MATCH("tb_1_1_2",g_lang_key,0))</f>
        <v>Projektudgifter, ekskl. renter</v>
      </c>
      <c r="R22" s="118"/>
      <c r="S22" s="119">
        <f ca="1">S23+S26</f>
        <v>0</v>
      </c>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2"/>
      <c r="AZ22" s="109"/>
    </row>
    <row r="23" spans="14:52" ht="12.75" customHeight="1" x14ac:dyDescent="0.2">
      <c r="N23" s="107"/>
      <c r="O23" s="112"/>
      <c r="P23" s="113"/>
      <c r="Q23" s="120" t="str">
        <f>INDEX(g_lang_val,MATCH("le_2_1_1",g_lang_key,0))</f>
        <v>Leverancer</v>
      </c>
      <c r="R23" s="121"/>
      <c r="S23" s="122">
        <f ca="1">SUM(Leverancer!AX57:CA57)/1000</f>
        <v>0</v>
      </c>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2"/>
      <c r="AZ23" s="109"/>
    </row>
    <row r="24" spans="14:52" ht="12.75" customHeight="1" x14ac:dyDescent="0.2">
      <c r="N24" s="107"/>
      <c r="O24" s="112"/>
      <c r="P24" s="113"/>
      <c r="Q24" s="168" t="str">
        <f>INDEX(g_lang_val,MATCH("tb_1_1_3",g_lang_key,0))</f>
        <v>Interne</v>
      </c>
      <c r="R24" s="121"/>
      <c r="S24" s="122">
        <f ca="1">Leverancer!$AM$50/1000-Leverancer!$AO$50/1000</f>
        <v>0</v>
      </c>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2"/>
      <c r="AZ24" s="109"/>
    </row>
    <row r="25" spans="14:52" ht="12.75" customHeight="1" x14ac:dyDescent="0.2">
      <c r="N25" s="107"/>
      <c r="O25" s="112"/>
      <c r="P25" s="113"/>
      <c r="Q25" s="168" t="str">
        <f>INDEX(g_lang_val,MATCH("tb_1_1_4",g_lang_key,0))</f>
        <v>Eksterne</v>
      </c>
      <c r="R25" s="121"/>
      <c r="S25" s="122">
        <f ca="1">Leverancer!$AO$50/1000</f>
        <v>0</v>
      </c>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2"/>
      <c r="AZ25" s="109"/>
    </row>
    <row r="26" spans="14:52" ht="12.75" customHeight="1" x14ac:dyDescent="0.2">
      <c r="N26" s="107"/>
      <c r="O26" s="112"/>
      <c r="P26" s="113"/>
      <c r="Q26" s="120" t="str">
        <f>INDEX(g_lang_val,MATCH("le_2_5",g_lang_key,0))</f>
        <v>Risikopulje</v>
      </c>
      <c r="R26" s="121"/>
      <c r="S26" s="122">
        <f ca="1">SUM(Leverancer!AX64:CA64)/1000</f>
        <v>0</v>
      </c>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2"/>
      <c r="AZ26" s="109"/>
    </row>
    <row r="27" spans="14:52" ht="12.75" customHeight="1" x14ac:dyDescent="0.2">
      <c r="N27" s="107"/>
      <c r="O27" s="112"/>
      <c r="P27" s="113"/>
      <c r="Q27" s="117" t="str">
        <f>INDEX(g_lang_val,MATCH("tb_1_1_5",g_lang_key,0))</f>
        <v>Driftseffekter</v>
      </c>
      <c r="R27" s="118"/>
      <c r="S27" s="119">
        <f ca="1">SUM(Leverancer!AX101:CA101)/1000</f>
        <v>0</v>
      </c>
      <c r="T27" s="113"/>
      <c r="U27" s="113"/>
      <c r="V27" s="113"/>
      <c r="W27" s="113"/>
      <c r="X27" s="113"/>
      <c r="Y27" s="12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2"/>
      <c r="AZ27" s="109"/>
    </row>
    <row r="28" spans="14:52" ht="12.75" customHeight="1" x14ac:dyDescent="0.2">
      <c r="N28" s="107"/>
      <c r="O28" s="112"/>
      <c r="P28" s="113"/>
      <c r="Q28" s="117" t="str">
        <f>INDEX(g_lang_val,MATCH("tb_1_1_6",g_lang_key,0))</f>
        <v>Samlede effekter</v>
      </c>
      <c r="R28" s="118"/>
      <c r="S28" s="119">
        <f ca="1">S22+S27</f>
        <v>0</v>
      </c>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2"/>
      <c r="AZ28" s="109"/>
    </row>
    <row r="29" spans="14:52" ht="12.75" customHeight="1" x14ac:dyDescent="0.2">
      <c r="N29" s="107"/>
      <c r="O29" s="124"/>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4"/>
      <c r="AZ29" s="109"/>
    </row>
    <row r="30" spans="14:52" ht="25.5" customHeight="1" x14ac:dyDescent="0.2">
      <c r="N30" s="126"/>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8"/>
    </row>
    <row r="31" spans="14:52" ht="12.75" customHeight="1" thickBot="1" x14ac:dyDescent="0.25"/>
    <row r="32" spans="14:52" ht="42.75" customHeight="1" thickTop="1" thickBot="1" x14ac:dyDescent="0.25">
      <c r="N32" s="219" t="str">
        <f>INDEX(g_lang_val,MATCH("tb_2",g_lang_key,0))</f>
        <v>Oversigtstabeller</v>
      </c>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1"/>
    </row>
    <row r="33" spans="14:52" ht="32.25" customHeight="1" thickTop="1" x14ac:dyDescent="0.2">
      <c r="N33" s="225" t="str">
        <f>INDEX(g_lang_val,MATCH("tb_2_1",g_lang_key,0))</f>
        <v>Oversigtstabel til Finansudvalget</v>
      </c>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7"/>
    </row>
    <row r="34" spans="14:52" ht="12.75" customHeight="1" x14ac:dyDescent="0.2">
      <c r="N34" s="107"/>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9"/>
    </row>
    <row r="35" spans="14:52" ht="22.9" customHeight="1" x14ac:dyDescent="0.2">
      <c r="N35" s="107"/>
      <c r="O35" s="110"/>
      <c r="P35" s="110"/>
      <c r="Q35" s="129" t="str">
        <f>INDEX(g_lang_val,MATCH("tb_1_1",g_lang_key,0)) &amp; " 2"</f>
        <v>Tabel 2</v>
      </c>
      <c r="R35" s="110"/>
      <c r="S35" s="110"/>
      <c r="T35" s="110"/>
      <c r="U35" s="110"/>
      <c r="V35" s="110"/>
      <c r="W35" s="110"/>
      <c r="X35" s="110"/>
      <c r="Y35" s="110"/>
      <c r="Z35" s="110"/>
      <c r="AA35" s="110"/>
      <c r="AB35" s="110"/>
      <c r="AC35" s="110"/>
      <c r="AD35" s="110"/>
      <c r="AE35" s="110"/>
      <c r="AF35" s="110"/>
      <c r="AG35" s="110"/>
      <c r="AH35" s="110"/>
      <c r="AI35" s="110"/>
      <c r="AJ35" s="110"/>
      <c r="AK35" s="110"/>
      <c r="AL35" s="110" t="s">
        <v>150</v>
      </c>
      <c r="AM35" s="110"/>
      <c r="AN35" s="110"/>
      <c r="AO35" s="110"/>
      <c r="AP35" s="110"/>
      <c r="AQ35" s="110"/>
      <c r="AR35" s="110"/>
      <c r="AS35" s="110"/>
      <c r="AT35" s="110"/>
      <c r="AU35" s="110"/>
      <c r="AV35" s="110"/>
      <c r="AW35" s="110"/>
      <c r="AX35" s="110"/>
      <c r="AY35" s="110"/>
      <c r="AZ35" s="109"/>
    </row>
    <row r="36" spans="14:52" ht="31.15" customHeight="1" x14ac:dyDescent="0.2">
      <c r="N36" s="107"/>
      <c r="O36" s="112"/>
      <c r="P36" s="112"/>
      <c r="Q36" s="130" t="str">
        <f>INDEX(g_lang_val,MATCH("tb_2_1_1",g_lang_key,0))</f>
        <v>Omkostningsbaserede projektudgifter</v>
      </c>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09"/>
    </row>
    <row r="37" spans="14:52" ht="12.75" customHeight="1" thickBot="1" x14ac:dyDescent="0.25">
      <c r="N37" s="107"/>
      <c r="O37" s="112"/>
      <c r="P37" s="112"/>
      <c r="Q37" s="115" t="str">
        <f ca="1">INDEX(g_lang_val,MATCH("tb_1_1_1_1",g_lang_key,0)) &amp;g_reporting_year&amp;INDEX(g_lang_val,MATCH("tb_1_1_1_2",g_lang_key,0))</f>
        <v>Mio. kr. 2024-pl</v>
      </c>
      <c r="R37" s="131"/>
      <c r="S37" s="116" t="str">
        <f>INDEX(g_lang_val,MATCH("le_2_2",g_lang_key,0))</f>
        <v xml:space="preserve">Total </v>
      </c>
      <c r="T37" s="132">
        <f ca="1">Leverancer!AX74</f>
        <v>2024</v>
      </c>
      <c r="U37" s="132">
        <f ca="1">Leverancer!AY74</f>
        <v>2025</v>
      </c>
      <c r="V37" s="132">
        <f ca="1">Leverancer!AZ74</f>
        <v>2026</v>
      </c>
      <c r="W37" s="132">
        <f ca="1">Leverancer!BA74</f>
        <v>2027</v>
      </c>
      <c r="X37" s="132">
        <f ca="1">Leverancer!BB74</f>
        <v>2028</v>
      </c>
      <c r="Y37" s="132" t="str">
        <f ca="1">Leverancer!BC74</f>
        <v/>
      </c>
      <c r="Z37" s="132" t="str">
        <f ca="1">Leverancer!BD74</f>
        <v/>
      </c>
      <c r="AA37" s="132" t="str">
        <f ca="1">Leverancer!BE74</f>
        <v/>
      </c>
      <c r="AB37" s="132" t="str">
        <f ca="1">Leverancer!BF74</f>
        <v/>
      </c>
      <c r="AC37" s="132" t="str">
        <f ca="1">Leverancer!BG74</f>
        <v/>
      </c>
      <c r="AD37" s="132" t="str">
        <f ca="1">Leverancer!BH74</f>
        <v/>
      </c>
      <c r="AE37" s="132" t="str">
        <f ca="1">Leverancer!BI74</f>
        <v/>
      </c>
      <c r="AF37" s="132" t="str">
        <f ca="1">Leverancer!BJ74</f>
        <v/>
      </c>
      <c r="AG37" s="132" t="str">
        <f ca="1">Leverancer!BK74</f>
        <v/>
      </c>
      <c r="AH37" s="132" t="str">
        <f ca="1">Leverancer!BL74</f>
        <v/>
      </c>
      <c r="AI37" s="132" t="str">
        <f ca="1">Leverancer!BM74</f>
        <v/>
      </c>
      <c r="AJ37" s="132" t="str">
        <f ca="1">Leverancer!BN74</f>
        <v/>
      </c>
      <c r="AK37" s="132" t="str">
        <f ca="1">Leverancer!BO74</f>
        <v/>
      </c>
      <c r="AL37" s="132" t="str">
        <f ca="1">Leverancer!BP74</f>
        <v/>
      </c>
      <c r="AM37" s="132" t="str">
        <f ca="1">Leverancer!BQ74</f>
        <v/>
      </c>
      <c r="AN37" s="132" t="str">
        <f ca="1">Leverancer!BR74</f>
        <v/>
      </c>
      <c r="AO37" s="132" t="str">
        <f ca="1">Leverancer!BS74</f>
        <v/>
      </c>
      <c r="AP37" s="132" t="str">
        <f ca="1">Leverancer!BT74</f>
        <v/>
      </c>
      <c r="AQ37" s="132" t="str">
        <f ca="1">Leverancer!BU74</f>
        <v/>
      </c>
      <c r="AR37" s="132" t="str">
        <f ca="1">Leverancer!BV74</f>
        <v/>
      </c>
      <c r="AS37" s="132" t="str">
        <f ca="1">Leverancer!BW74</f>
        <v/>
      </c>
      <c r="AT37" s="132" t="str">
        <f ca="1">Leverancer!BX74</f>
        <v/>
      </c>
      <c r="AU37" s="132" t="str">
        <f ca="1">Leverancer!BY74</f>
        <v/>
      </c>
      <c r="AV37" s="132" t="str">
        <f ca="1">Leverancer!BZ74</f>
        <v/>
      </c>
      <c r="AW37" s="132" t="str">
        <f ca="1">Leverancer!CA74</f>
        <v/>
      </c>
      <c r="AX37" s="112"/>
      <c r="AY37" s="112"/>
      <c r="AZ37" s="109"/>
    </row>
    <row r="38" spans="14:52" ht="12.75" customHeight="1" thickTop="1" x14ac:dyDescent="0.2">
      <c r="N38" s="107"/>
      <c r="O38" s="112"/>
      <c r="P38" s="112"/>
      <c r="Q38" s="133" t="str">
        <f>INDEX(g_lang_val,MATCH("tb_2_1_2",g_lang_key,0))</f>
        <v>Aktiverbare projektudgifter, afskrivninger</v>
      </c>
      <c r="R38" s="134"/>
      <c r="S38" s="135">
        <f t="shared" ref="S38:S43" ca="1" si="0">SUM(T38:BG38)</f>
        <v>0</v>
      </c>
      <c r="T38" s="136">
        <f ca="1">IF(T37="","",T98+T103+T108+T113+T118)</f>
        <v>0</v>
      </c>
      <c r="U38" s="136">
        <f t="shared" ref="U38:AC38" ca="1" si="1">IF(U37="","",U98+U103+U108+U113+U118)</f>
        <v>0</v>
      </c>
      <c r="V38" s="136">
        <f t="shared" ca="1" si="1"/>
        <v>0</v>
      </c>
      <c r="W38" s="136">
        <f t="shared" ca="1" si="1"/>
        <v>0</v>
      </c>
      <c r="X38" s="136">
        <f t="shared" ca="1" si="1"/>
        <v>0</v>
      </c>
      <c r="Y38" s="136" t="str">
        <f t="shared" ca="1" si="1"/>
        <v/>
      </c>
      <c r="Z38" s="136" t="str">
        <f t="shared" ca="1" si="1"/>
        <v/>
      </c>
      <c r="AA38" s="136" t="str">
        <f t="shared" ca="1" si="1"/>
        <v/>
      </c>
      <c r="AB38" s="136" t="str">
        <f t="shared" ca="1" si="1"/>
        <v/>
      </c>
      <c r="AC38" s="136" t="str">
        <f t="shared" ca="1" si="1"/>
        <v/>
      </c>
      <c r="AD38" s="136" t="str">
        <f t="shared" ref="AD38:AW38" ca="1" si="2">IF(AD37="","",AD98+AD103+AD108+AD113+AD118)</f>
        <v/>
      </c>
      <c r="AE38" s="136" t="str">
        <f t="shared" ca="1" si="2"/>
        <v/>
      </c>
      <c r="AF38" s="136" t="str">
        <f t="shared" ca="1" si="2"/>
        <v/>
      </c>
      <c r="AG38" s="136" t="str">
        <f t="shared" ca="1" si="2"/>
        <v/>
      </c>
      <c r="AH38" s="136" t="str">
        <f t="shared" ca="1" si="2"/>
        <v/>
      </c>
      <c r="AI38" s="136" t="str">
        <f t="shared" ca="1" si="2"/>
        <v/>
      </c>
      <c r="AJ38" s="136" t="str">
        <f t="shared" ca="1" si="2"/>
        <v/>
      </c>
      <c r="AK38" s="136" t="str">
        <f t="shared" ca="1" si="2"/>
        <v/>
      </c>
      <c r="AL38" s="136" t="str">
        <f t="shared" ca="1" si="2"/>
        <v/>
      </c>
      <c r="AM38" s="136" t="str">
        <f t="shared" ca="1" si="2"/>
        <v/>
      </c>
      <c r="AN38" s="136" t="str">
        <f t="shared" ca="1" si="2"/>
        <v/>
      </c>
      <c r="AO38" s="136" t="str">
        <f t="shared" ca="1" si="2"/>
        <v/>
      </c>
      <c r="AP38" s="136" t="str">
        <f t="shared" ca="1" si="2"/>
        <v/>
      </c>
      <c r="AQ38" s="136" t="str">
        <f t="shared" ca="1" si="2"/>
        <v/>
      </c>
      <c r="AR38" s="136" t="str">
        <f t="shared" ca="1" si="2"/>
        <v/>
      </c>
      <c r="AS38" s="136" t="str">
        <f t="shared" ca="1" si="2"/>
        <v/>
      </c>
      <c r="AT38" s="136" t="str">
        <f t="shared" ca="1" si="2"/>
        <v/>
      </c>
      <c r="AU38" s="136" t="str">
        <f t="shared" ca="1" si="2"/>
        <v/>
      </c>
      <c r="AV38" s="136" t="str">
        <f t="shared" ca="1" si="2"/>
        <v/>
      </c>
      <c r="AW38" s="136" t="str">
        <f t="shared" ca="1" si="2"/>
        <v/>
      </c>
      <c r="AX38" s="112"/>
      <c r="AY38" s="112"/>
      <c r="AZ38" s="109"/>
    </row>
    <row r="39" spans="14:52" ht="12.75" customHeight="1" x14ac:dyDescent="0.2">
      <c r="N39" s="107"/>
      <c r="O39" s="112"/>
      <c r="P39" s="112"/>
      <c r="Q39" s="133" t="str">
        <f>INDEX(g_lang_val,MATCH("tb_2_1_3",g_lang_key,0))</f>
        <v>Ikke-aktiverbare projektudgifter</v>
      </c>
      <c r="R39" s="134"/>
      <c r="S39" s="135">
        <f t="shared" ca="1" si="0"/>
        <v>0</v>
      </c>
      <c r="T39" s="136">
        <f ca="1">IF(T50="","",SUMPRODUCT(--(Leverancer!$F$28:$F$48&gt;0),Leverancer!AX$28:AX$48)*Leverancer!AX56/1000-SUMPRODUCT(--(Leverancer!$F$28:$F$48&gt;2),Leverancer!AX$28:AX$48,Leverancer!$AU$28:$AU$48)*Leverancer!AX56/1000+T40)</f>
        <v>0</v>
      </c>
      <c r="U39" s="136">
        <f ca="1">IF(U50="","",SUMPRODUCT(--(Leverancer!$F$28:$F$48&gt;0),Leverancer!AY$28:AY$48)*Leverancer!AY56/1000-SUMPRODUCT(--(Leverancer!$F$28:$F$48&gt;2),Leverancer!AY$28:AY$48,Leverancer!$AU$28:$AU$48)*Leverancer!AY56/1000+U40)</f>
        <v>0</v>
      </c>
      <c r="V39" s="136">
        <f ca="1">IF(V50="","",SUMPRODUCT(--(Leverancer!$F$28:$F$48&gt;0),Leverancer!AZ$28:AZ$48)*Leverancer!AZ56/1000-SUMPRODUCT(--(Leverancer!$F$28:$F$48&gt;2),Leverancer!AZ$28:AZ$48,Leverancer!$AU$28:$AU$48)*Leverancer!AZ56/1000+V40)</f>
        <v>0</v>
      </c>
      <c r="W39" s="136">
        <f ca="1">IF(W50="","",SUMPRODUCT(--(Leverancer!$F$28:$F$48&gt;0),Leverancer!BA$28:BA$48)*Leverancer!BA56/1000-SUMPRODUCT(--(Leverancer!$F$28:$F$48&gt;2),Leverancer!BA$28:BA$48,Leverancer!$AU$28:$AU$48)*Leverancer!BA56/1000+W40)</f>
        <v>0</v>
      </c>
      <c r="X39" s="136">
        <f ca="1">IF(X50="","",SUMPRODUCT(--(Leverancer!$F$28:$F$48&gt;0),Leverancer!BB$28:BB$48)*Leverancer!BB56/1000-SUMPRODUCT(--(Leverancer!$F$28:$F$48&gt;2),Leverancer!BB$28:BB$48,Leverancer!$AU$28:$AU$48)*Leverancer!BB56/1000+X40)</f>
        <v>0</v>
      </c>
      <c r="Y39" s="136" t="str">
        <f ca="1">IF(Y50="","",SUMPRODUCT(--(Leverancer!$F$28:$F$48&gt;0),Leverancer!BC$28:BC$48)*Leverancer!BC56/1000-SUMPRODUCT(--(Leverancer!$F$28:$F$48&gt;2),Leverancer!BC$28:BC$48,Leverancer!$AU$28:$AU$48)*Leverancer!BC56/1000+Y40)</f>
        <v/>
      </c>
      <c r="Z39" s="136" t="str">
        <f ca="1">IF(Z50="","",SUMPRODUCT(--(Leverancer!$F$28:$F$48&gt;0),Leverancer!BD$28:BD$48)*Leverancer!BD56/1000-SUMPRODUCT(--(Leverancer!$F$28:$F$48&gt;2),Leverancer!BD$28:BD$48,Leverancer!$AU$28:$AU$48)*Leverancer!BD56/1000+Z40)</f>
        <v/>
      </c>
      <c r="AA39" s="136" t="str">
        <f ca="1">IF(AA50="","",SUMPRODUCT(--(Leverancer!$F$28:$F$48&gt;0),Leverancer!BE$28:BE$48)*Leverancer!BE56/1000-SUMPRODUCT(--(Leverancer!$F$28:$F$48&gt;2),Leverancer!BE$28:BE$48,Leverancer!$AU$28:$AU$48)*Leverancer!BE56/1000+AA40)</f>
        <v/>
      </c>
      <c r="AB39" s="136" t="str">
        <f ca="1">IF(AB50="","",SUMPRODUCT(--(Leverancer!$F$28:$F$48&gt;0),Leverancer!BF$28:BF$48)*Leverancer!BF56/1000-SUMPRODUCT(--(Leverancer!$F$28:$F$48&gt;2),Leverancer!BF$28:BF$48,Leverancer!$AU$28:$AU$48)*Leverancer!BF56/1000+AB40)</f>
        <v/>
      </c>
      <c r="AC39" s="136" t="str">
        <f ca="1">IF(AC50="","",SUMPRODUCT(--(Leverancer!$F$28:$F$48&gt;0),Leverancer!BG$28:BG$48)*Leverancer!BG56/1000-SUMPRODUCT(--(Leverancer!$F$28:$F$48&gt;2),Leverancer!BG$28:BG$48,Leverancer!$AU$28:$AU$48)*Leverancer!BG56/1000+AC40)</f>
        <v/>
      </c>
      <c r="AD39" s="136" t="str">
        <f ca="1">IF(AD50="","",SUMPRODUCT(--(Leverancer!$F$28:$F$48&gt;0),Leverancer!BH$28:BH$48)*Leverancer!BH56/1000-SUMPRODUCT(--(Leverancer!$F$28:$F$48&gt;2),Leverancer!BH$28:BH$48,Leverancer!$AU$28:$AU$48)*Leverancer!BH56/1000+AD40)</f>
        <v/>
      </c>
      <c r="AE39" s="136" t="str">
        <f ca="1">IF(AE50="","",SUMPRODUCT(--(Leverancer!$F$28:$F$48&gt;0),Leverancer!BI$28:BI$48)*Leverancer!BI56/1000-SUMPRODUCT(--(Leverancer!$F$28:$F$48&gt;2),Leverancer!BI$28:BI$48,Leverancer!$AU$28:$AU$48)*Leverancer!BI56/1000+AE40)</f>
        <v/>
      </c>
      <c r="AF39" s="136" t="str">
        <f ca="1">IF(AF50="","",SUMPRODUCT(--(Leverancer!$F$28:$F$48&gt;0),Leverancer!BJ$28:BJ$48)*Leverancer!BJ56/1000-SUMPRODUCT(--(Leverancer!$F$28:$F$48&gt;2),Leverancer!BJ$28:BJ$48,Leverancer!$AU$28:$AU$48)*Leverancer!BJ56/1000+AF40)</f>
        <v/>
      </c>
      <c r="AG39" s="136" t="str">
        <f ca="1">IF(AG50="","",SUMPRODUCT(--(Leverancer!$F$28:$F$48&gt;0),Leverancer!BK$28:BK$48)*Leverancer!BK56/1000-SUMPRODUCT(--(Leverancer!$F$28:$F$48&gt;2),Leverancer!BK$28:BK$48,Leverancer!$AU$28:$AU$48)*Leverancer!BK56/1000+AG40)</f>
        <v/>
      </c>
      <c r="AH39" s="136" t="str">
        <f ca="1">IF(AH50="","",SUMPRODUCT(--(Leverancer!$F$28:$F$48&gt;0),Leverancer!BL$28:BL$48)*Leverancer!BL56/1000-SUMPRODUCT(--(Leverancer!$F$28:$F$48&gt;2),Leverancer!BL$28:BL$48,Leverancer!$AU$28:$AU$48)*Leverancer!BL56/1000+AH40)</f>
        <v/>
      </c>
      <c r="AI39" s="136" t="str">
        <f ca="1">IF(AI50="","",SUMPRODUCT(--(Leverancer!$F$28:$F$48&gt;0),Leverancer!BM$28:BM$48)*Leverancer!BM56/1000-SUMPRODUCT(--(Leverancer!$F$28:$F$48&gt;2),Leverancer!BM$28:BM$48,Leverancer!$AU$28:$AU$48)*Leverancer!BM56/1000+AI40)</f>
        <v/>
      </c>
      <c r="AJ39" s="136" t="str">
        <f ca="1">IF(AJ50="","",SUMPRODUCT(--(Leverancer!$F$28:$F$48&gt;0),Leverancer!BN$28:BN$48)*Leverancer!BN56/1000-SUMPRODUCT(--(Leverancer!$F$28:$F$48&gt;2),Leverancer!BN$28:BN$48,Leverancer!$AU$28:$AU$48)*Leverancer!BN56/1000+AJ40)</f>
        <v/>
      </c>
      <c r="AK39" s="136" t="str">
        <f ca="1">IF(AK50="","",SUMPRODUCT(--(Leverancer!$F$28:$F$48&gt;0),Leverancer!BO$28:BO$48)*Leverancer!BO56/1000-SUMPRODUCT(--(Leverancer!$F$28:$F$48&gt;2),Leverancer!BO$28:BO$48,Leverancer!$AU$28:$AU$48)*Leverancer!BO56/1000+AK40)</f>
        <v/>
      </c>
      <c r="AL39" s="136" t="str">
        <f ca="1">IF(AL50="","",SUMPRODUCT(--(Leverancer!$F$28:$F$48&gt;0),Leverancer!BP$28:BP$48)*Leverancer!BP56/1000-SUMPRODUCT(--(Leverancer!$F$28:$F$48&gt;2),Leverancer!BP$28:BP$48,Leverancer!$AU$28:$AU$48)*Leverancer!BP56/1000+AL40)</f>
        <v/>
      </c>
      <c r="AM39" s="136" t="str">
        <f ca="1">IF(AM50="","",SUMPRODUCT(--(Leverancer!$F$28:$F$48&gt;0),Leverancer!BQ$28:BQ$48)*Leverancer!BQ56/1000-SUMPRODUCT(--(Leverancer!$F$28:$F$48&gt;2),Leverancer!BQ$28:BQ$48,Leverancer!$AU$28:$AU$48)*Leverancer!BQ56/1000+AM40)</f>
        <v/>
      </c>
      <c r="AN39" s="136" t="str">
        <f>IF(AN50="","",SUMPRODUCT(--(Leverancer!$F$28:$F$48&gt;0),Leverancer!BR$28:BR$48)*Leverancer!BR56/1000-SUMPRODUCT(--(Leverancer!$F$28:$F$48&gt;2),Leverancer!BR$28:BR$48,Leverancer!$AU$28:$AU$48)*Leverancer!BR56/1000+AN40)</f>
        <v/>
      </c>
      <c r="AO39" s="136" t="str">
        <f>IF(AO50="","",SUMPRODUCT(--(Leverancer!$F$28:$F$48&gt;0),Leverancer!BS$28:BS$48)*Leverancer!BS56/1000-SUMPRODUCT(--(Leverancer!$F$28:$F$48&gt;2),Leverancer!BS$28:BS$48,Leverancer!$AU$28:$AU$48)*Leverancer!BS56/1000+AO40)</f>
        <v/>
      </c>
      <c r="AP39" s="136" t="str">
        <f>IF(AP50="","",SUMPRODUCT(--(Leverancer!$F$28:$F$48&gt;0),Leverancer!BT$28:BT$48)*Leverancer!BT56/1000-SUMPRODUCT(--(Leverancer!$F$28:$F$48&gt;2),Leverancer!BT$28:BT$48,Leverancer!$AU$28:$AU$48)*Leverancer!BT56/1000+AP40)</f>
        <v/>
      </c>
      <c r="AQ39" s="136" t="str">
        <f>IF(AQ50="","",SUMPRODUCT(--(Leverancer!$F$28:$F$48&gt;0),Leverancer!BU$28:BU$48)*Leverancer!BU56/1000-SUMPRODUCT(--(Leverancer!$F$28:$F$48&gt;2),Leverancer!BU$28:BU$48,Leverancer!$AU$28:$AU$48)*Leverancer!BU56/1000+AQ40)</f>
        <v/>
      </c>
      <c r="AR39" s="136" t="str">
        <f>IF(AR50="","",SUMPRODUCT(--(Leverancer!$F$28:$F$48&gt;0),Leverancer!BV$28:BV$48)*Leverancer!BV56/1000-SUMPRODUCT(--(Leverancer!$F$28:$F$48&gt;2),Leverancer!BV$28:BV$48,Leverancer!$AU$28:$AU$48)*Leverancer!BV56/1000+AR40)</f>
        <v/>
      </c>
      <c r="AS39" s="136" t="str">
        <f>IF(AS50="","",SUMPRODUCT(--(Leverancer!$F$28:$F$48&gt;0),Leverancer!BW$28:BW$48)*Leverancer!BW56/1000-SUMPRODUCT(--(Leverancer!$F$28:$F$48&gt;2),Leverancer!BW$28:BW$48,Leverancer!$AU$28:$AU$48)*Leverancer!BW56/1000+AS40)</f>
        <v/>
      </c>
      <c r="AT39" s="136" t="str">
        <f>IF(AT50="","",SUMPRODUCT(--(Leverancer!$F$28:$F$48&gt;0),Leverancer!BX$28:BX$48)*Leverancer!BX56/1000-SUMPRODUCT(--(Leverancer!$F$28:$F$48&gt;2),Leverancer!BX$28:BX$48,Leverancer!$AU$28:$AU$48)*Leverancer!BX56/1000+AT40)</f>
        <v/>
      </c>
      <c r="AU39" s="136" t="str">
        <f>IF(AU50="","",SUMPRODUCT(--(Leverancer!$F$28:$F$48&gt;0),Leverancer!BY$28:BY$48)*Leverancer!BY56/1000-SUMPRODUCT(--(Leverancer!$F$28:$F$48&gt;2),Leverancer!BY$28:BY$48,Leverancer!$AU$28:$AU$48)*Leverancer!BY56/1000+AU40)</f>
        <v/>
      </c>
      <c r="AV39" s="136" t="str">
        <f>IF(AV50="","",SUMPRODUCT(--(Leverancer!$F$28:$F$48&gt;0),Leverancer!BZ$28:BZ$48)*Leverancer!BZ56/1000-SUMPRODUCT(--(Leverancer!$F$28:$F$48&gt;2),Leverancer!BZ$28:BZ$48,Leverancer!$AU$28:$AU$48)*Leverancer!BZ56/1000+AV40)</f>
        <v/>
      </c>
      <c r="AW39" s="136" t="str">
        <f>IF(AW50="","",SUMPRODUCT(--(Leverancer!$F$28:$F$48&gt;0),Leverancer!CA$28:CA$48)*Leverancer!CA56/1000-SUMPRODUCT(--(Leverancer!$F$28:$F$48&gt;2),Leverancer!CA$28:CA$48,Leverancer!$AU$28:$AU$48)*Leverancer!CA56/1000+AW40)</f>
        <v/>
      </c>
      <c r="AX39" s="112"/>
      <c r="AY39" s="112"/>
      <c r="AZ39" s="109"/>
    </row>
    <row r="40" spans="14:52" ht="12.75" customHeight="1" x14ac:dyDescent="0.2">
      <c r="N40" s="107"/>
      <c r="O40" s="112"/>
      <c r="P40" s="112"/>
      <c r="Q40" s="137" t="str">
        <f>INDEX(g_lang_val,MATCH("le_2_5",g_lang_key,0))</f>
        <v>Risikopulje</v>
      </c>
      <c r="R40" s="138"/>
      <c r="S40" s="135">
        <f t="shared" ca="1" si="0"/>
        <v>0</v>
      </c>
      <c r="T40" s="136">
        <f ca="1">IF(T50="","",INDEX(Leverancer!AX:AX,64)/1000)</f>
        <v>0</v>
      </c>
      <c r="U40" s="136">
        <f ca="1">IF(U50="","",INDEX(Leverancer!AY:AY,64)/1000)</f>
        <v>0</v>
      </c>
      <c r="V40" s="136">
        <f ca="1">IF(V50="","",INDEX(Leverancer!AZ:AZ,64)/1000)</f>
        <v>0</v>
      </c>
      <c r="W40" s="136">
        <f ca="1">IF(W50="","",INDEX(Leverancer!BA:BA,64)/1000)</f>
        <v>0</v>
      </c>
      <c r="X40" s="136">
        <f ca="1">IF(X50="","",INDEX(Leverancer!BB:BB,64)/1000)</f>
        <v>0</v>
      </c>
      <c r="Y40" s="136" t="str">
        <f ca="1">IF(Y50="","",INDEX(Leverancer!BC:BC,64)/1000)</f>
        <v/>
      </c>
      <c r="Z40" s="136" t="str">
        <f ca="1">IF(Z50="","",INDEX(Leverancer!BD:BD,64)/1000)</f>
        <v/>
      </c>
      <c r="AA40" s="136" t="str">
        <f ca="1">IF(AA50="","",INDEX(Leverancer!BE:BE,64)/1000)</f>
        <v/>
      </c>
      <c r="AB40" s="136" t="str">
        <f ca="1">IF(AB50="","",INDEX(Leverancer!BF:BF,64)/1000)</f>
        <v/>
      </c>
      <c r="AC40" s="136" t="str">
        <f ca="1">IF(AC50="","",INDEX(Leverancer!BG:BG,64)/1000)</f>
        <v/>
      </c>
      <c r="AD40" s="136" t="str">
        <f ca="1">IF(AD50="","",INDEX(Leverancer!BH:BH,64)/1000)</f>
        <v/>
      </c>
      <c r="AE40" s="136" t="str">
        <f ca="1">IF(AE50="","",INDEX(Leverancer!BI:BI,64)/1000)</f>
        <v/>
      </c>
      <c r="AF40" s="136" t="str">
        <f ca="1">IF(AF50="","",INDEX(Leverancer!BJ:BJ,64)/1000)</f>
        <v/>
      </c>
      <c r="AG40" s="136" t="str">
        <f ca="1">IF(AG50="","",INDEX(Leverancer!BK:BK,64)/1000)</f>
        <v/>
      </c>
      <c r="AH40" s="136" t="str">
        <f ca="1">IF(AH50="","",INDEX(Leverancer!BL:BL,64)/1000)</f>
        <v/>
      </c>
      <c r="AI40" s="136" t="str">
        <f ca="1">IF(AI50="","",INDEX(Leverancer!BM:BM,64)/1000)</f>
        <v/>
      </c>
      <c r="AJ40" s="136" t="str">
        <f ca="1">IF(AJ50="","",INDEX(Leverancer!BN:BN,64)/1000)</f>
        <v/>
      </c>
      <c r="AK40" s="136" t="str">
        <f ca="1">IF(AK50="","",INDEX(Leverancer!BO:BO,64)/1000)</f>
        <v/>
      </c>
      <c r="AL40" s="136" t="str">
        <f ca="1">IF(AL50="","",INDEX(Leverancer!BP:BP,64)/1000)</f>
        <v/>
      </c>
      <c r="AM40" s="136" t="str">
        <f ca="1">IF(AM50="","",INDEX(Leverancer!BQ:BQ,64)/1000)</f>
        <v/>
      </c>
      <c r="AN40" s="136" t="str">
        <f>IF(AN50="","",INDEX(Leverancer!BR:BR,64)/1000)</f>
        <v/>
      </c>
      <c r="AO40" s="136" t="str">
        <f>IF(AO50="","",INDEX(Leverancer!BS:BS,64)/1000)</f>
        <v/>
      </c>
      <c r="AP40" s="136" t="str">
        <f>IF(AP50="","",INDEX(Leverancer!BT:BT,64)/1000)</f>
        <v/>
      </c>
      <c r="AQ40" s="136" t="str">
        <f>IF(AQ50="","",INDEX(Leverancer!BU:BU,64)/1000)</f>
        <v/>
      </c>
      <c r="AR40" s="136" t="str">
        <f>IF(AR50="","",INDEX(Leverancer!BV:BV,64)/1000)</f>
        <v/>
      </c>
      <c r="AS40" s="136" t="str">
        <f>IF(AS50="","",INDEX(Leverancer!BW:BW,64)/1000)</f>
        <v/>
      </c>
      <c r="AT40" s="136" t="str">
        <f>IF(AT50="","",INDEX(Leverancer!BX:BX,64)/1000)</f>
        <v/>
      </c>
      <c r="AU40" s="136" t="str">
        <f>IF(AU50="","",INDEX(Leverancer!BY:BY,64)/1000)</f>
        <v/>
      </c>
      <c r="AV40" s="136" t="str">
        <f>IF(AV50="","",INDEX(Leverancer!BZ:BZ,64)/1000)</f>
        <v/>
      </c>
      <c r="AW40" s="136" t="str">
        <f>IF(AW50="","",INDEX(Leverancer!CA:CA,64)/1000)</f>
        <v/>
      </c>
      <c r="AX40" s="112"/>
      <c r="AY40" s="112"/>
      <c r="AZ40" s="109"/>
    </row>
    <row r="41" spans="14:52" ht="12.75" customHeight="1" x14ac:dyDescent="0.2">
      <c r="N41" s="107"/>
      <c r="O41" s="112"/>
      <c r="P41" s="112"/>
      <c r="Q41" s="139" t="str">
        <f>INDEX(g_lang_val,MATCH("tb_2_1_4",g_lang_key,0))</f>
        <v>Total, ekskl. renter</v>
      </c>
      <c r="R41" s="140"/>
      <c r="S41" s="141">
        <f t="shared" ca="1" si="0"/>
        <v>0</v>
      </c>
      <c r="T41" s="142">
        <f ca="1">IF(T37="","",SUM(T38:T39))</f>
        <v>0</v>
      </c>
      <c r="U41" s="142">
        <f t="shared" ref="U41:AC41" ca="1" si="3">IF(U37="","",SUM(U38:U39))</f>
        <v>0</v>
      </c>
      <c r="V41" s="142">
        <f t="shared" ca="1" si="3"/>
        <v>0</v>
      </c>
      <c r="W41" s="142">
        <f t="shared" ca="1" si="3"/>
        <v>0</v>
      </c>
      <c r="X41" s="142">
        <f t="shared" ca="1" si="3"/>
        <v>0</v>
      </c>
      <c r="Y41" s="142" t="str">
        <f t="shared" ca="1" si="3"/>
        <v/>
      </c>
      <c r="Z41" s="142" t="str">
        <f t="shared" ca="1" si="3"/>
        <v/>
      </c>
      <c r="AA41" s="142" t="str">
        <f t="shared" ca="1" si="3"/>
        <v/>
      </c>
      <c r="AB41" s="142" t="str">
        <f t="shared" ca="1" si="3"/>
        <v/>
      </c>
      <c r="AC41" s="142" t="str">
        <f t="shared" ca="1" si="3"/>
        <v/>
      </c>
      <c r="AD41" s="142" t="str">
        <f t="shared" ref="AD41:AW41" ca="1" si="4">IF(AD37="","",SUM(AD38:AD39))</f>
        <v/>
      </c>
      <c r="AE41" s="142" t="str">
        <f t="shared" ca="1" si="4"/>
        <v/>
      </c>
      <c r="AF41" s="142" t="str">
        <f t="shared" ca="1" si="4"/>
        <v/>
      </c>
      <c r="AG41" s="142" t="str">
        <f t="shared" ca="1" si="4"/>
        <v/>
      </c>
      <c r="AH41" s="142" t="str">
        <f t="shared" ca="1" si="4"/>
        <v/>
      </c>
      <c r="AI41" s="142" t="str">
        <f t="shared" ca="1" si="4"/>
        <v/>
      </c>
      <c r="AJ41" s="142" t="str">
        <f t="shared" ca="1" si="4"/>
        <v/>
      </c>
      <c r="AK41" s="142" t="str">
        <f t="shared" ca="1" si="4"/>
        <v/>
      </c>
      <c r="AL41" s="142" t="str">
        <f t="shared" ca="1" si="4"/>
        <v/>
      </c>
      <c r="AM41" s="142" t="str">
        <f t="shared" ca="1" si="4"/>
        <v/>
      </c>
      <c r="AN41" s="142" t="str">
        <f t="shared" ca="1" si="4"/>
        <v/>
      </c>
      <c r="AO41" s="142" t="str">
        <f t="shared" ca="1" si="4"/>
        <v/>
      </c>
      <c r="AP41" s="142" t="str">
        <f t="shared" ca="1" si="4"/>
        <v/>
      </c>
      <c r="AQ41" s="142" t="str">
        <f t="shared" ca="1" si="4"/>
        <v/>
      </c>
      <c r="AR41" s="142" t="str">
        <f t="shared" ca="1" si="4"/>
        <v/>
      </c>
      <c r="AS41" s="142" t="str">
        <f t="shared" ca="1" si="4"/>
        <v/>
      </c>
      <c r="AT41" s="142" t="str">
        <f t="shared" ca="1" si="4"/>
        <v/>
      </c>
      <c r="AU41" s="142" t="str">
        <f t="shared" ca="1" si="4"/>
        <v/>
      </c>
      <c r="AV41" s="142" t="str">
        <f t="shared" ca="1" si="4"/>
        <v/>
      </c>
      <c r="AW41" s="142" t="str">
        <f t="shared" ca="1" si="4"/>
        <v/>
      </c>
      <c r="AX41" s="112"/>
      <c r="AY41" s="112"/>
      <c r="AZ41" s="109"/>
    </row>
    <row r="42" spans="14:52" ht="12.75" customHeight="1" x14ac:dyDescent="0.2">
      <c r="N42" s="107"/>
      <c r="O42" s="112"/>
      <c r="P42" s="112"/>
      <c r="Q42" s="133" t="str">
        <f>INDEX(g_lang_val,MATCH("tb_2_1_5",g_lang_key,0))</f>
        <v>Renter</v>
      </c>
      <c r="R42" s="138"/>
      <c r="S42" s="135">
        <f t="shared" ca="1" si="0"/>
        <v>0</v>
      </c>
      <c r="T42" s="136">
        <f ca="1">IF(T37="","",T100+T105+T110+T115+T120)</f>
        <v>0</v>
      </c>
      <c r="U42" s="136">
        <f t="shared" ref="U42:AC42" ca="1" si="5">IF(U37="","",U100+U105+U110+U115+U120)</f>
        <v>0</v>
      </c>
      <c r="V42" s="136">
        <f t="shared" ca="1" si="5"/>
        <v>0</v>
      </c>
      <c r="W42" s="136">
        <f t="shared" ca="1" si="5"/>
        <v>0</v>
      </c>
      <c r="X42" s="136">
        <f t="shared" ca="1" si="5"/>
        <v>0</v>
      </c>
      <c r="Y42" s="136" t="str">
        <f t="shared" ca="1" si="5"/>
        <v/>
      </c>
      <c r="Z42" s="136" t="str">
        <f t="shared" ca="1" si="5"/>
        <v/>
      </c>
      <c r="AA42" s="136" t="str">
        <f t="shared" ca="1" si="5"/>
        <v/>
      </c>
      <c r="AB42" s="136" t="str">
        <f t="shared" ca="1" si="5"/>
        <v/>
      </c>
      <c r="AC42" s="136" t="str">
        <f t="shared" ca="1" si="5"/>
        <v/>
      </c>
      <c r="AD42" s="136" t="str">
        <f t="shared" ref="AD42:AW42" ca="1" si="6">IF(AD37="","",AD100+AD105+AD110+AD115+AD120)</f>
        <v/>
      </c>
      <c r="AE42" s="136" t="str">
        <f t="shared" ca="1" si="6"/>
        <v/>
      </c>
      <c r="AF42" s="136" t="str">
        <f t="shared" ca="1" si="6"/>
        <v/>
      </c>
      <c r="AG42" s="136" t="str">
        <f t="shared" ca="1" si="6"/>
        <v/>
      </c>
      <c r="AH42" s="136" t="str">
        <f t="shared" ca="1" si="6"/>
        <v/>
      </c>
      <c r="AI42" s="136" t="str">
        <f t="shared" ca="1" si="6"/>
        <v/>
      </c>
      <c r="AJ42" s="136" t="str">
        <f t="shared" ca="1" si="6"/>
        <v/>
      </c>
      <c r="AK42" s="136" t="str">
        <f t="shared" ca="1" si="6"/>
        <v/>
      </c>
      <c r="AL42" s="136" t="str">
        <f t="shared" ca="1" si="6"/>
        <v/>
      </c>
      <c r="AM42" s="136" t="str">
        <f t="shared" ca="1" si="6"/>
        <v/>
      </c>
      <c r="AN42" s="136" t="str">
        <f t="shared" ca="1" si="6"/>
        <v/>
      </c>
      <c r="AO42" s="136" t="str">
        <f t="shared" ca="1" si="6"/>
        <v/>
      </c>
      <c r="AP42" s="136" t="str">
        <f t="shared" ca="1" si="6"/>
        <v/>
      </c>
      <c r="AQ42" s="136" t="str">
        <f t="shared" ca="1" si="6"/>
        <v/>
      </c>
      <c r="AR42" s="136" t="str">
        <f t="shared" ca="1" si="6"/>
        <v/>
      </c>
      <c r="AS42" s="136" t="str">
        <f t="shared" ca="1" si="6"/>
        <v/>
      </c>
      <c r="AT42" s="136" t="str">
        <f t="shared" ca="1" si="6"/>
        <v/>
      </c>
      <c r="AU42" s="136" t="str">
        <f t="shared" ca="1" si="6"/>
        <v/>
      </c>
      <c r="AV42" s="136" t="str">
        <f t="shared" ca="1" si="6"/>
        <v/>
      </c>
      <c r="AW42" s="136" t="str">
        <f t="shared" ca="1" si="6"/>
        <v/>
      </c>
      <c r="AX42" s="112"/>
      <c r="AY42" s="112"/>
      <c r="AZ42" s="109"/>
    </row>
    <row r="43" spans="14:52" ht="12.75" customHeight="1" x14ac:dyDescent="0.2">
      <c r="N43" s="107"/>
      <c r="O43" s="112"/>
      <c r="P43" s="112"/>
      <c r="Q43" s="139" t="str">
        <f>INDEX(g_lang_val,MATCH("tb_2_1_6",g_lang_key,0))</f>
        <v>Total, inkl. renter</v>
      </c>
      <c r="R43" s="140"/>
      <c r="S43" s="141">
        <f t="shared" ca="1" si="0"/>
        <v>0</v>
      </c>
      <c r="T43" s="142">
        <f ca="1">IF(T37="","",SUM(T41:T42))</f>
        <v>0</v>
      </c>
      <c r="U43" s="142">
        <f t="shared" ref="U43:AC43" ca="1" si="7">IF(U37="","",SUM(U41:U42))</f>
        <v>0</v>
      </c>
      <c r="V43" s="142">
        <f t="shared" ca="1" si="7"/>
        <v>0</v>
      </c>
      <c r="W43" s="142">
        <f t="shared" ca="1" si="7"/>
        <v>0</v>
      </c>
      <c r="X43" s="142">
        <f t="shared" ca="1" si="7"/>
        <v>0</v>
      </c>
      <c r="Y43" s="142" t="str">
        <f t="shared" ca="1" si="7"/>
        <v/>
      </c>
      <c r="Z43" s="142" t="str">
        <f t="shared" ca="1" si="7"/>
        <v/>
      </c>
      <c r="AA43" s="142" t="str">
        <f t="shared" ca="1" si="7"/>
        <v/>
      </c>
      <c r="AB43" s="142" t="str">
        <f t="shared" ca="1" si="7"/>
        <v/>
      </c>
      <c r="AC43" s="142" t="str">
        <f t="shared" ca="1" si="7"/>
        <v/>
      </c>
      <c r="AD43" s="142" t="str">
        <f t="shared" ref="AD43:AW43" ca="1" si="8">IF(AD37="","",SUM(AD41:AD42))</f>
        <v/>
      </c>
      <c r="AE43" s="142" t="str">
        <f t="shared" ca="1" si="8"/>
        <v/>
      </c>
      <c r="AF43" s="142" t="str">
        <f t="shared" ca="1" si="8"/>
        <v/>
      </c>
      <c r="AG43" s="142" t="str">
        <f t="shared" ca="1" si="8"/>
        <v/>
      </c>
      <c r="AH43" s="142" t="str">
        <f t="shared" ca="1" si="8"/>
        <v/>
      </c>
      <c r="AI43" s="142" t="str">
        <f t="shared" ca="1" si="8"/>
        <v/>
      </c>
      <c r="AJ43" s="142" t="str">
        <f t="shared" ca="1" si="8"/>
        <v/>
      </c>
      <c r="AK43" s="142" t="str">
        <f t="shared" ca="1" si="8"/>
        <v/>
      </c>
      <c r="AL43" s="142" t="str">
        <f t="shared" ca="1" si="8"/>
        <v/>
      </c>
      <c r="AM43" s="142" t="str">
        <f t="shared" ca="1" si="8"/>
        <v/>
      </c>
      <c r="AN43" s="142" t="str">
        <f t="shared" ca="1" si="8"/>
        <v/>
      </c>
      <c r="AO43" s="142" t="str">
        <f t="shared" ca="1" si="8"/>
        <v/>
      </c>
      <c r="AP43" s="142" t="str">
        <f t="shared" ca="1" si="8"/>
        <v/>
      </c>
      <c r="AQ43" s="142" t="str">
        <f t="shared" ca="1" si="8"/>
        <v/>
      </c>
      <c r="AR43" s="142" t="str">
        <f t="shared" ca="1" si="8"/>
        <v/>
      </c>
      <c r="AS43" s="142" t="str">
        <f t="shared" ca="1" si="8"/>
        <v/>
      </c>
      <c r="AT43" s="142" t="str">
        <f t="shared" ca="1" si="8"/>
        <v/>
      </c>
      <c r="AU43" s="142" t="str">
        <f t="shared" ca="1" si="8"/>
        <v/>
      </c>
      <c r="AV43" s="142" t="str">
        <f t="shared" ca="1" si="8"/>
        <v/>
      </c>
      <c r="AW43" s="142" t="str">
        <f t="shared" ca="1" si="8"/>
        <v/>
      </c>
      <c r="AX43" s="112"/>
      <c r="AY43" s="112"/>
      <c r="AZ43" s="109"/>
    </row>
    <row r="44" spans="14:52" ht="12.75" customHeight="1" x14ac:dyDescent="0.2">
      <c r="N44" s="107"/>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09"/>
    </row>
    <row r="45" spans="14:52" ht="25.5" customHeight="1" thickBot="1" x14ac:dyDescent="0.25">
      <c r="N45" s="126"/>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8"/>
    </row>
    <row r="46" spans="14:52" ht="32.25" customHeight="1" thickTop="1" x14ac:dyDescent="0.2">
      <c r="N46" s="253" t="str">
        <f>INDEX(g_lang_val,MATCH("tb_2_2",g_lang_key,0))</f>
        <v>Den samlede projektøkonomi</v>
      </c>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5"/>
    </row>
    <row r="47" spans="14:52" ht="12.75" customHeight="1" x14ac:dyDescent="0.2">
      <c r="N47" s="107"/>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9"/>
    </row>
    <row r="48" spans="14:52" ht="22.9" customHeight="1" x14ac:dyDescent="0.2">
      <c r="N48" s="107"/>
      <c r="O48" s="110"/>
      <c r="P48" s="110"/>
      <c r="Q48" s="129" t="str">
        <f>INDEX(g_lang_val,MATCH("tb_1_1",g_lang_key,0)) &amp; " 3"</f>
        <v>Tabel 3</v>
      </c>
      <c r="R48" s="110"/>
      <c r="S48" s="110"/>
      <c r="T48" s="110"/>
      <c r="U48" s="110"/>
      <c r="V48" s="110"/>
      <c r="W48" s="110"/>
      <c r="X48" s="110"/>
      <c r="Y48" s="110"/>
      <c r="Z48" s="110"/>
      <c r="AA48" s="110"/>
      <c r="AB48" s="110"/>
      <c r="AC48" s="110"/>
      <c r="AD48" s="110"/>
      <c r="AE48" s="110"/>
      <c r="AF48" s="110"/>
      <c r="AG48" s="110"/>
      <c r="AH48" s="110"/>
      <c r="AI48" s="110"/>
      <c r="AJ48" s="110"/>
      <c r="AK48" s="110"/>
      <c r="AL48" s="110" t="s">
        <v>150</v>
      </c>
      <c r="AM48" s="110"/>
      <c r="AN48" s="110"/>
      <c r="AO48" s="110"/>
      <c r="AP48" s="110"/>
      <c r="AQ48" s="110"/>
      <c r="AR48" s="110"/>
      <c r="AS48" s="110"/>
      <c r="AT48" s="110"/>
      <c r="AU48" s="110"/>
      <c r="AV48" s="110"/>
      <c r="AW48" s="110"/>
      <c r="AX48" s="110"/>
      <c r="AY48" s="110"/>
      <c r="AZ48" s="109"/>
    </row>
    <row r="49" spans="14:52" ht="31.15" customHeight="1" x14ac:dyDescent="0.2">
      <c r="N49" s="107"/>
      <c r="O49" s="112"/>
      <c r="P49" s="112"/>
      <c r="Q49" s="130" t="str">
        <f>INDEX(g_lang_val,MATCH("tb_2_2_1",g_lang_key,0))</f>
        <v>Fase- og leveranceopdelt budget og forbrug, udgiftsbaseret</v>
      </c>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09"/>
    </row>
    <row r="50" spans="14:52" ht="12.75" customHeight="1" thickBot="1" x14ac:dyDescent="0.25">
      <c r="N50" s="107"/>
      <c r="O50" s="112"/>
      <c r="P50" s="112"/>
      <c r="Q50" s="115" t="str">
        <f ca="1">INDEX(g_lang_val,MATCH("tb_1_1_1_1",g_lang_key,0)) &amp;g_reporting_year&amp;INDEX(g_lang_val,MATCH("tb_1_1_1_2",g_lang_key,0))</f>
        <v>Mio. kr. 2024-pl</v>
      </c>
      <c r="R50" s="143" t="s">
        <v>164</v>
      </c>
      <c r="S50" s="116" t="str">
        <f>INDEX(g_lang_val,MATCH("le_2_2",g_lang_key,0))</f>
        <v xml:space="preserve">Total </v>
      </c>
      <c r="T50" s="132">
        <f ca="1">Leverancer!AX25</f>
        <v>2024</v>
      </c>
      <c r="U50" s="132">
        <f ca="1">Leverancer!AY25</f>
        <v>2025</v>
      </c>
      <c r="V50" s="132">
        <f ca="1">Leverancer!AZ25</f>
        <v>2026</v>
      </c>
      <c r="W50" s="132">
        <f ca="1">Leverancer!BA25</f>
        <v>2027</v>
      </c>
      <c r="X50" s="132">
        <f ca="1">Leverancer!BB25</f>
        <v>2028</v>
      </c>
      <c r="Y50" s="132" t="str">
        <f ca="1">Leverancer!BC25</f>
        <v/>
      </c>
      <c r="Z50" s="132" t="str">
        <f ca="1">Leverancer!BD25</f>
        <v/>
      </c>
      <c r="AA50" s="132" t="str">
        <f ca="1">Leverancer!BE25</f>
        <v/>
      </c>
      <c r="AB50" s="132" t="str">
        <f ca="1">Leverancer!BF25</f>
        <v/>
      </c>
      <c r="AC50" s="132" t="str">
        <f ca="1">Leverancer!BG25</f>
        <v/>
      </c>
      <c r="AD50" s="132" t="str">
        <f ca="1">Leverancer!BH25</f>
        <v/>
      </c>
      <c r="AE50" s="132" t="str">
        <f ca="1">Leverancer!BI25</f>
        <v/>
      </c>
      <c r="AF50" s="132" t="str">
        <f ca="1">Leverancer!BJ25</f>
        <v/>
      </c>
      <c r="AG50" s="132" t="str">
        <f ca="1">Leverancer!BK25</f>
        <v/>
      </c>
      <c r="AH50" s="132" t="str">
        <f ca="1">Leverancer!BL25</f>
        <v/>
      </c>
      <c r="AI50" s="132" t="str">
        <f ca="1">Leverancer!BM25</f>
        <v/>
      </c>
      <c r="AJ50" s="132" t="str">
        <f ca="1">Leverancer!BN25</f>
        <v/>
      </c>
      <c r="AK50" s="132" t="str">
        <f ca="1">Leverancer!BO25</f>
        <v/>
      </c>
      <c r="AL50" s="132" t="str">
        <f ca="1">Leverancer!BP25</f>
        <v/>
      </c>
      <c r="AM50" s="132" t="str">
        <f ca="1">Leverancer!BQ25</f>
        <v/>
      </c>
      <c r="AN50" s="112"/>
      <c r="AO50" s="112"/>
      <c r="AP50" s="112"/>
      <c r="AQ50" s="112"/>
      <c r="AR50" s="112"/>
      <c r="AS50" s="112"/>
      <c r="AT50" s="112"/>
      <c r="AU50" s="112"/>
      <c r="AV50" s="112"/>
      <c r="AW50" s="112"/>
      <c r="AX50" s="112"/>
      <c r="AY50" s="112"/>
      <c r="AZ50" s="109"/>
    </row>
    <row r="51" spans="14:52" ht="12.75" customHeight="1" thickTop="1" x14ac:dyDescent="0.2">
      <c r="N51" s="107"/>
      <c r="O51" s="112"/>
      <c r="P51" s="112"/>
      <c r="Q51" s="139" t="str">
        <f>INDEX(g_lang_val,MATCH("so_2_1_2",g_lang_key,0))</f>
        <v>Analysefase</v>
      </c>
      <c r="R51" s="144">
        <f ca="1">IF(S$74&lt;&gt;0,S51/S$74,0)</f>
        <v>0</v>
      </c>
      <c r="S51" s="141">
        <f ca="1">SUM(T51:BG51)</f>
        <v>0</v>
      </c>
      <c r="T51" s="142">
        <f ca="1">IF(T$50="","",SUM(T52:T56))</f>
        <v>0</v>
      </c>
      <c r="U51" s="142">
        <f t="shared" ref="U51:AM51" ca="1" si="9">IF(U$50="","",SUM(U52:U56))</f>
        <v>0</v>
      </c>
      <c r="V51" s="142">
        <f t="shared" ca="1" si="9"/>
        <v>0</v>
      </c>
      <c r="W51" s="142">
        <f t="shared" ca="1" si="9"/>
        <v>0</v>
      </c>
      <c r="X51" s="142">
        <f t="shared" ca="1" si="9"/>
        <v>0</v>
      </c>
      <c r="Y51" s="142" t="str">
        <f t="shared" ca="1" si="9"/>
        <v/>
      </c>
      <c r="Z51" s="142" t="str">
        <f t="shared" ca="1" si="9"/>
        <v/>
      </c>
      <c r="AA51" s="142" t="str">
        <f t="shared" ca="1" si="9"/>
        <v/>
      </c>
      <c r="AB51" s="142" t="str">
        <f t="shared" ca="1" si="9"/>
        <v/>
      </c>
      <c r="AC51" s="142" t="str">
        <f t="shared" ca="1" si="9"/>
        <v/>
      </c>
      <c r="AD51" s="142" t="str">
        <f t="shared" ca="1" si="9"/>
        <v/>
      </c>
      <c r="AE51" s="142" t="str">
        <f t="shared" ca="1" si="9"/>
        <v/>
      </c>
      <c r="AF51" s="142" t="str">
        <f t="shared" ca="1" si="9"/>
        <v/>
      </c>
      <c r="AG51" s="142" t="str">
        <f t="shared" ca="1" si="9"/>
        <v/>
      </c>
      <c r="AH51" s="142" t="str">
        <f t="shared" ca="1" si="9"/>
        <v/>
      </c>
      <c r="AI51" s="142" t="str">
        <f t="shared" ca="1" si="9"/>
        <v/>
      </c>
      <c r="AJ51" s="142" t="str">
        <f t="shared" ca="1" si="9"/>
        <v/>
      </c>
      <c r="AK51" s="142" t="str">
        <f t="shared" ca="1" si="9"/>
        <v/>
      </c>
      <c r="AL51" s="142" t="str">
        <f t="shared" ca="1" si="9"/>
        <v/>
      </c>
      <c r="AM51" s="142" t="str">
        <f t="shared" ca="1" si="9"/>
        <v/>
      </c>
      <c r="AN51" s="112"/>
      <c r="AO51" s="112"/>
      <c r="AP51" s="112"/>
      <c r="AQ51" s="112"/>
      <c r="AR51" s="112"/>
      <c r="AS51" s="112"/>
      <c r="AT51" s="112"/>
      <c r="AU51" s="112"/>
      <c r="AV51" s="112"/>
      <c r="AW51" s="112"/>
      <c r="AX51" s="112"/>
      <c r="AY51" s="112"/>
      <c r="AZ51" s="109"/>
    </row>
    <row r="52" spans="14:52" ht="12.75" customHeight="1" x14ac:dyDescent="0.2">
      <c r="N52" s="107"/>
      <c r="O52" s="112"/>
      <c r="P52" s="112"/>
      <c r="Q52" s="138" t="str">
        <f>INDEX(Leverancer!$AR$1:$AR$1006,ROW()-ROW(Leverancer!$AX$25)+1)&amp;": "&amp;INDEX(Leverancer!$AS$1:$AS$1006,ROW()-ROW(Leverancer!$AX$25)+1)</f>
        <v xml:space="preserve">L1: </v>
      </c>
      <c r="R52" s="136"/>
      <c r="S52" s="141">
        <f t="shared" ref="S52:S74" ca="1" si="10">SUM(T52:BG52)</f>
        <v>0</v>
      </c>
      <c r="T52" s="136">
        <f ca="1">IF(T$50="","",INDEX(Leverancer!AX:AX,ROW()-ROW(Leverancer!$AX$25)+1)*Leverancer!AX$56/1000)</f>
        <v>0</v>
      </c>
      <c r="U52" s="136">
        <f ca="1">IF(U$50="","",INDEX(Leverancer!AY:AY,ROW()-ROW(Leverancer!$AX$25)+1)*Leverancer!AY$56/1000)</f>
        <v>0</v>
      </c>
      <c r="V52" s="136">
        <f ca="1">IF(V$50="","",INDEX(Leverancer!AZ:AZ,ROW()-ROW(Leverancer!$AX$25)+1)*Leverancer!AZ$56/1000)</f>
        <v>0</v>
      </c>
      <c r="W52" s="136">
        <f ca="1">IF(W$50="","",INDEX(Leverancer!BA:BA,ROW()-ROW(Leverancer!$AX$25)+1)*Leverancer!BA$56/1000)</f>
        <v>0</v>
      </c>
      <c r="X52" s="136">
        <f ca="1">IF(X$50="","",INDEX(Leverancer!BB:BB,ROW()-ROW(Leverancer!$AX$25)+1)*Leverancer!BB$56/1000)</f>
        <v>0</v>
      </c>
      <c r="Y52" s="136" t="str">
        <f ca="1">IF(Y$50="","",INDEX(Leverancer!BC:BC,ROW()-ROW(Leverancer!$AX$25)+1)*Leverancer!BC$56/1000)</f>
        <v/>
      </c>
      <c r="Z52" s="136" t="str">
        <f ca="1">IF(Z$50="","",INDEX(Leverancer!BD:BD,ROW()-ROW(Leverancer!$AX$25)+1)*Leverancer!BD$56/1000)</f>
        <v/>
      </c>
      <c r="AA52" s="136" t="str">
        <f ca="1">IF(AA$50="","",INDEX(Leverancer!BE:BE,ROW()-ROW(Leverancer!$AX$25)+1)*Leverancer!BE$56/1000)</f>
        <v/>
      </c>
      <c r="AB52" s="136" t="str">
        <f ca="1">IF(AB$50="","",INDEX(Leverancer!BF:BF,ROW()-ROW(Leverancer!$AX$25)+1)*Leverancer!BF$56/1000)</f>
        <v/>
      </c>
      <c r="AC52" s="136" t="str">
        <f ca="1">IF(AC$50="","",INDEX(Leverancer!BG:BG,ROW()-ROW(Leverancer!$AX$25)+1)*Leverancer!BG$56/1000)</f>
        <v/>
      </c>
      <c r="AD52" s="136" t="str">
        <f ca="1">IF(AD$50="","",INDEX(Leverancer!BH:BH,ROW()-ROW(Leverancer!$AX$25)+1)*Leverancer!BH$56/1000)</f>
        <v/>
      </c>
      <c r="AE52" s="136" t="str">
        <f ca="1">IF(AE$50="","",INDEX(Leverancer!BI:BI,ROW()-ROW(Leverancer!$AX$25)+1)*Leverancer!BI$56/1000)</f>
        <v/>
      </c>
      <c r="AF52" s="136" t="str">
        <f ca="1">IF(AF$50="","",INDEX(Leverancer!BJ:BJ,ROW()-ROW(Leverancer!$AX$25)+1)*Leverancer!BJ$56/1000)</f>
        <v/>
      </c>
      <c r="AG52" s="136" t="str">
        <f ca="1">IF(AG$50="","",INDEX(Leverancer!BK:BK,ROW()-ROW(Leverancer!$AX$25)+1)*Leverancer!BK$56/1000)</f>
        <v/>
      </c>
      <c r="AH52" s="136" t="str">
        <f ca="1">IF(AH$50="","",INDEX(Leverancer!BL:BL,ROW()-ROW(Leverancer!$AX$25)+1)*Leverancer!BL$56/1000)</f>
        <v/>
      </c>
      <c r="AI52" s="136" t="str">
        <f ca="1">IF(AI$50="","",INDEX(Leverancer!BM:BM,ROW()-ROW(Leverancer!$AX$25)+1)*Leverancer!BM$56/1000)</f>
        <v/>
      </c>
      <c r="AJ52" s="136" t="str">
        <f ca="1">IF(AJ$50="","",INDEX(Leverancer!BN:BN,ROW()-ROW(Leverancer!$AX$25)+1)*Leverancer!BN$56/1000)</f>
        <v/>
      </c>
      <c r="AK52" s="136" t="str">
        <f ca="1">IF(AK$50="","",INDEX(Leverancer!BO:BO,ROW()-ROW(Leverancer!$AX$25)+1)*Leverancer!BO$56/1000)</f>
        <v/>
      </c>
      <c r="AL52" s="136" t="str">
        <f ca="1">IF(AL$50="","",INDEX(Leverancer!BP:BP,ROW()-ROW(Leverancer!$AX$25)+1)*Leverancer!BP$56/1000)</f>
        <v/>
      </c>
      <c r="AM52" s="136" t="str">
        <f ca="1">IF(AM$50="","",INDEX(Leverancer!BQ:BQ,ROW()-ROW(Leverancer!$AX$25)+1)*Leverancer!BQ$56/1000)</f>
        <v/>
      </c>
      <c r="AN52" s="136" t="str">
        <f>IF(AN$50="","",INDEX(Leverancer!BR:BR,ROW()-ROW(Leverancer!$AX$25)+1)*Leverancer!BR$56/1000)</f>
        <v/>
      </c>
      <c r="AO52" s="136" t="str">
        <f>IF(AO$50="","",INDEX(Leverancer!BS:BS,ROW()-ROW(Leverancer!$AX$25)+1)*Leverancer!BS$56/1000)</f>
        <v/>
      </c>
      <c r="AP52" s="136" t="str">
        <f>IF(AP$50="","",INDEX(Leverancer!BT:BT,ROW()-ROW(Leverancer!$AX$25)+1)*Leverancer!BT$56/1000)</f>
        <v/>
      </c>
      <c r="AQ52" s="136" t="str">
        <f>IF(AQ$50="","",INDEX(Leverancer!BU:BU,ROW()-ROW(Leverancer!$AX$25)+1)*Leverancer!BU$56/1000)</f>
        <v/>
      </c>
      <c r="AR52" s="136" t="str">
        <f>IF(AR$50="","",INDEX(Leverancer!BV:BV,ROW()-ROW(Leverancer!$AX$25)+1)*Leverancer!BV$56/1000)</f>
        <v/>
      </c>
      <c r="AS52" s="136" t="str">
        <f>IF(AS$50="","",INDEX(Leverancer!BW:BW,ROW()-ROW(Leverancer!$AX$25)+1)*Leverancer!BW$56/1000)</f>
        <v/>
      </c>
      <c r="AT52" s="136" t="str">
        <f>IF(AT$50="","",INDEX(Leverancer!BX:BX,ROW()-ROW(Leverancer!$AX$25)+1)*Leverancer!BX$56/1000)</f>
        <v/>
      </c>
      <c r="AU52" s="136" t="str">
        <f>IF(AU$50="","",INDEX(Leverancer!BY:BY,ROW()-ROW(Leverancer!$AX$25)+1)*Leverancer!BY$56/1000)</f>
        <v/>
      </c>
      <c r="AV52" s="136" t="str">
        <f>IF(AV$50="","",INDEX(Leverancer!BZ:BZ,ROW()-ROW(Leverancer!$AX$25)+1)*Leverancer!BZ$56/1000)</f>
        <v/>
      </c>
      <c r="AW52" s="136" t="str">
        <f>IF(AW$50="","",INDEX(Leverancer!CA:CA,ROW()-ROW(Leverancer!$AX$25)+1)*Leverancer!CA$56/1000)</f>
        <v/>
      </c>
      <c r="AX52" s="136"/>
      <c r="AY52" s="136"/>
      <c r="AZ52" s="109"/>
    </row>
    <row r="53" spans="14:52" ht="12.75" customHeight="1" x14ac:dyDescent="0.2">
      <c r="N53" s="107"/>
      <c r="O53" s="112"/>
      <c r="P53" s="112"/>
      <c r="Q53" s="138" t="str">
        <f>INDEX(Leverancer!$AR$1:$AR$1006,ROW()-ROW(Leverancer!$AX$25)+1)&amp;": "&amp;INDEX(Leverancer!$AS$1:$AS$1006,ROW()-ROW(Leverancer!$AX$25)+1)</f>
        <v xml:space="preserve">L2: </v>
      </c>
      <c r="R53" s="136"/>
      <c r="S53" s="141">
        <f t="shared" ca="1" si="10"/>
        <v>0</v>
      </c>
      <c r="T53" s="136">
        <f ca="1">IF(T$50="","",INDEX(Leverancer!AX:AX,ROW()-ROW(Leverancer!$AX$25)+1)*Leverancer!AX$56/1000)</f>
        <v>0</v>
      </c>
      <c r="U53" s="136">
        <f ca="1">IF(U$50="","",INDEX(Leverancer!AY:AY,ROW()-ROW(Leverancer!$AX$25)+1)*Leverancer!AY$56/1000)</f>
        <v>0</v>
      </c>
      <c r="V53" s="136">
        <f ca="1">IF(V$50="","",INDEX(Leverancer!AZ:AZ,ROW()-ROW(Leverancer!$AX$25)+1)*Leverancer!AZ$56/1000)</f>
        <v>0</v>
      </c>
      <c r="W53" s="136">
        <f ca="1">IF(W$50="","",INDEX(Leverancer!BA:BA,ROW()-ROW(Leverancer!$AX$25)+1)*Leverancer!BA$56/1000)</f>
        <v>0</v>
      </c>
      <c r="X53" s="136">
        <f ca="1">IF(X$50="","",INDEX(Leverancer!BB:BB,ROW()-ROW(Leverancer!$AX$25)+1)*Leverancer!BB$56/1000)</f>
        <v>0</v>
      </c>
      <c r="Y53" s="136" t="str">
        <f ca="1">IF(Y$50="","",INDEX(Leverancer!BC:BC,ROW()-ROW(Leverancer!$AX$25)+1)*Leverancer!BC$56/1000)</f>
        <v/>
      </c>
      <c r="Z53" s="136" t="str">
        <f ca="1">IF(Z$50="","",INDEX(Leverancer!BD:BD,ROW()-ROW(Leverancer!$AX$25)+1)*Leverancer!BD$56/1000)</f>
        <v/>
      </c>
      <c r="AA53" s="136" t="str">
        <f ca="1">IF(AA$50="","",INDEX(Leverancer!BE:BE,ROW()-ROW(Leverancer!$AX$25)+1)*Leverancer!BE$56/1000)</f>
        <v/>
      </c>
      <c r="AB53" s="136" t="str">
        <f ca="1">IF(AB$50="","",INDEX(Leverancer!BF:BF,ROW()-ROW(Leverancer!$AX$25)+1)*Leverancer!BF$56/1000)</f>
        <v/>
      </c>
      <c r="AC53" s="136" t="str">
        <f ca="1">IF(AC$50="","",INDEX(Leverancer!BG:BG,ROW()-ROW(Leverancer!$AX$25)+1)*Leverancer!BG$56/1000)</f>
        <v/>
      </c>
      <c r="AD53" s="136" t="str">
        <f ca="1">IF(AD$50="","",INDEX(Leverancer!BH:BH,ROW()-ROW(Leverancer!$AX$25)+1)*Leverancer!BH$56/1000)</f>
        <v/>
      </c>
      <c r="AE53" s="136" t="str">
        <f ca="1">IF(AE$50="","",INDEX(Leverancer!BI:BI,ROW()-ROW(Leverancer!$AX$25)+1)*Leverancer!BI$56/1000)</f>
        <v/>
      </c>
      <c r="AF53" s="136" t="str">
        <f ca="1">IF(AF$50="","",INDEX(Leverancer!BJ:BJ,ROW()-ROW(Leverancer!$AX$25)+1)*Leverancer!BJ$56/1000)</f>
        <v/>
      </c>
      <c r="AG53" s="136" t="str">
        <f ca="1">IF(AG$50="","",INDEX(Leverancer!BK:BK,ROW()-ROW(Leverancer!$AX$25)+1)*Leverancer!BK$56/1000)</f>
        <v/>
      </c>
      <c r="AH53" s="136" t="str">
        <f ca="1">IF(AH$50="","",INDEX(Leverancer!BL:BL,ROW()-ROW(Leverancer!$AX$25)+1)*Leverancer!BL$56/1000)</f>
        <v/>
      </c>
      <c r="AI53" s="136" t="str">
        <f ca="1">IF(AI$50="","",INDEX(Leverancer!BM:BM,ROW()-ROW(Leverancer!$AX$25)+1)*Leverancer!BM$56/1000)</f>
        <v/>
      </c>
      <c r="AJ53" s="136" t="str">
        <f ca="1">IF(AJ$50="","",INDEX(Leverancer!BN:BN,ROW()-ROW(Leverancer!$AX$25)+1)*Leverancer!BN$56/1000)</f>
        <v/>
      </c>
      <c r="AK53" s="136" t="str">
        <f ca="1">IF(AK$50="","",INDEX(Leverancer!BO:BO,ROW()-ROW(Leverancer!$AX$25)+1)*Leverancer!BO$56/1000)</f>
        <v/>
      </c>
      <c r="AL53" s="136" t="str">
        <f ca="1">IF(AL$50="","",INDEX(Leverancer!BP:BP,ROW()-ROW(Leverancer!$AX$25)+1)*Leverancer!BP$56/1000)</f>
        <v/>
      </c>
      <c r="AM53" s="136" t="str">
        <f ca="1">IF(AM$50="","",INDEX(Leverancer!BQ:BQ,ROW()-ROW(Leverancer!$AX$25)+1)*Leverancer!BQ$56/1000)</f>
        <v/>
      </c>
      <c r="AN53" s="136" t="str">
        <f>IF(AN$50="","",INDEX(Leverancer!BR:BR,ROW()-ROW(Leverancer!$AX$25)+1)*Leverancer!BR$56/1000)</f>
        <v/>
      </c>
      <c r="AO53" s="136" t="str">
        <f>IF(AO$50="","",INDEX(Leverancer!BS:BS,ROW()-ROW(Leverancer!$AX$25)+1)*Leverancer!BS$56/1000)</f>
        <v/>
      </c>
      <c r="AP53" s="136" t="str">
        <f>IF(AP$50="","",INDEX(Leverancer!BT:BT,ROW()-ROW(Leverancer!$AX$25)+1)*Leverancer!BT$56/1000)</f>
        <v/>
      </c>
      <c r="AQ53" s="136" t="str">
        <f>IF(AQ$50="","",INDEX(Leverancer!BU:BU,ROW()-ROW(Leverancer!$AX$25)+1)*Leverancer!BU$56/1000)</f>
        <v/>
      </c>
      <c r="AR53" s="136" t="str">
        <f>IF(AR$50="","",INDEX(Leverancer!BV:BV,ROW()-ROW(Leverancer!$AX$25)+1)*Leverancer!BV$56/1000)</f>
        <v/>
      </c>
      <c r="AS53" s="136" t="str">
        <f>IF(AS$50="","",INDEX(Leverancer!BW:BW,ROW()-ROW(Leverancer!$AX$25)+1)*Leverancer!BW$56/1000)</f>
        <v/>
      </c>
      <c r="AT53" s="136" t="str">
        <f>IF(AT$50="","",INDEX(Leverancer!BX:BX,ROW()-ROW(Leverancer!$AX$25)+1)*Leverancer!BX$56/1000)</f>
        <v/>
      </c>
      <c r="AU53" s="136" t="str">
        <f>IF(AU$50="","",INDEX(Leverancer!BY:BY,ROW()-ROW(Leverancer!$AX$25)+1)*Leverancer!BY$56/1000)</f>
        <v/>
      </c>
      <c r="AV53" s="136" t="str">
        <f>IF(AV$50="","",INDEX(Leverancer!BZ:BZ,ROW()-ROW(Leverancer!$AX$25)+1)*Leverancer!BZ$56/1000)</f>
        <v/>
      </c>
      <c r="AW53" s="136" t="str">
        <f>IF(AW$50="","",INDEX(Leverancer!CA:CA,ROW()-ROW(Leverancer!$AX$25)+1)*Leverancer!CA$56/1000)</f>
        <v/>
      </c>
      <c r="AX53" s="112"/>
      <c r="AY53" s="112"/>
      <c r="AZ53" s="109"/>
    </row>
    <row r="54" spans="14:52" ht="12.75" customHeight="1" x14ac:dyDescent="0.2">
      <c r="N54" s="107"/>
      <c r="O54" s="112"/>
      <c r="P54" s="112"/>
      <c r="Q54" s="138" t="str">
        <f>INDEX(Leverancer!$AR$1:$AR$1006,ROW()-ROW(Leverancer!$AX$25)+1)&amp;": "&amp;INDEX(Leverancer!$AS$1:$AS$1006,ROW()-ROW(Leverancer!$AX$25)+1)</f>
        <v xml:space="preserve">L3: </v>
      </c>
      <c r="R54" s="136"/>
      <c r="S54" s="141">
        <f t="shared" ca="1" si="10"/>
        <v>0</v>
      </c>
      <c r="T54" s="136">
        <f ca="1">IF(T$50="","",INDEX(Leverancer!AX:AX,ROW()-ROW(Leverancer!$AX$25)+1)*Leverancer!AX$56/1000)</f>
        <v>0</v>
      </c>
      <c r="U54" s="136">
        <f ca="1">IF(U$50="","",INDEX(Leverancer!AY:AY,ROW()-ROW(Leverancer!$AX$25)+1)*Leverancer!AY$56/1000)</f>
        <v>0</v>
      </c>
      <c r="V54" s="136">
        <f ca="1">IF(V$50="","",INDEX(Leverancer!AZ:AZ,ROW()-ROW(Leverancer!$AX$25)+1)*Leverancer!AZ$56/1000)</f>
        <v>0</v>
      </c>
      <c r="W54" s="136">
        <f ca="1">IF(W$50="","",INDEX(Leverancer!BA:BA,ROW()-ROW(Leverancer!$AX$25)+1)*Leverancer!BA$56/1000)</f>
        <v>0</v>
      </c>
      <c r="X54" s="136">
        <f ca="1">IF(X$50="","",INDEX(Leverancer!BB:BB,ROW()-ROW(Leverancer!$AX$25)+1)*Leverancer!BB$56/1000)</f>
        <v>0</v>
      </c>
      <c r="Y54" s="136" t="str">
        <f ca="1">IF(Y$50="","",INDEX(Leverancer!BC:BC,ROW()-ROW(Leverancer!$AX$25)+1)*Leverancer!BC$56/1000)</f>
        <v/>
      </c>
      <c r="Z54" s="136" t="str">
        <f ca="1">IF(Z$50="","",INDEX(Leverancer!BD:BD,ROW()-ROW(Leverancer!$AX$25)+1)*Leverancer!BD$56/1000)</f>
        <v/>
      </c>
      <c r="AA54" s="136" t="str">
        <f ca="1">IF(AA$50="","",INDEX(Leverancer!BE:BE,ROW()-ROW(Leverancer!$AX$25)+1)*Leverancer!BE$56/1000)</f>
        <v/>
      </c>
      <c r="AB54" s="136" t="str">
        <f ca="1">IF(AB$50="","",INDEX(Leverancer!BF:BF,ROW()-ROW(Leverancer!$AX$25)+1)*Leverancer!BF$56/1000)</f>
        <v/>
      </c>
      <c r="AC54" s="136" t="str">
        <f ca="1">IF(AC$50="","",INDEX(Leverancer!BG:BG,ROW()-ROW(Leverancer!$AX$25)+1)*Leverancer!BG$56/1000)</f>
        <v/>
      </c>
      <c r="AD54" s="136" t="str">
        <f ca="1">IF(AD$50="","",INDEX(Leverancer!BH:BH,ROW()-ROW(Leverancer!$AX$25)+1)*Leverancer!BH$56/1000)</f>
        <v/>
      </c>
      <c r="AE54" s="136" t="str">
        <f ca="1">IF(AE$50="","",INDEX(Leverancer!BI:BI,ROW()-ROW(Leverancer!$AX$25)+1)*Leverancer!BI$56/1000)</f>
        <v/>
      </c>
      <c r="AF54" s="136" t="str">
        <f ca="1">IF(AF$50="","",INDEX(Leverancer!BJ:BJ,ROW()-ROW(Leverancer!$AX$25)+1)*Leverancer!BJ$56/1000)</f>
        <v/>
      </c>
      <c r="AG54" s="136" t="str">
        <f ca="1">IF(AG$50="","",INDEX(Leverancer!BK:BK,ROW()-ROW(Leverancer!$AX$25)+1)*Leverancer!BK$56/1000)</f>
        <v/>
      </c>
      <c r="AH54" s="136" t="str">
        <f ca="1">IF(AH$50="","",INDEX(Leverancer!BL:BL,ROW()-ROW(Leverancer!$AX$25)+1)*Leverancer!BL$56/1000)</f>
        <v/>
      </c>
      <c r="AI54" s="136" t="str">
        <f ca="1">IF(AI$50="","",INDEX(Leverancer!BM:BM,ROW()-ROW(Leverancer!$AX$25)+1)*Leverancer!BM$56/1000)</f>
        <v/>
      </c>
      <c r="AJ54" s="136" t="str">
        <f ca="1">IF(AJ$50="","",INDEX(Leverancer!BN:BN,ROW()-ROW(Leverancer!$AX$25)+1)*Leverancer!BN$56/1000)</f>
        <v/>
      </c>
      <c r="AK54" s="136" t="str">
        <f ca="1">IF(AK$50="","",INDEX(Leverancer!BO:BO,ROW()-ROW(Leverancer!$AX$25)+1)*Leverancer!BO$56/1000)</f>
        <v/>
      </c>
      <c r="AL54" s="136" t="str">
        <f ca="1">IF(AL$50="","",INDEX(Leverancer!BP:BP,ROW()-ROW(Leverancer!$AX$25)+1)*Leverancer!BP$56/1000)</f>
        <v/>
      </c>
      <c r="AM54" s="136" t="str">
        <f ca="1">IF(AM$50="","",INDEX(Leverancer!BQ:BQ,ROW()-ROW(Leverancer!$AX$25)+1)*Leverancer!BQ$56/1000)</f>
        <v/>
      </c>
      <c r="AN54" s="136" t="str">
        <f>IF(AN$50="","",INDEX(Leverancer!BR:BR,ROW()-ROW(Leverancer!$AX$25)+1)*Leverancer!BR$56/1000)</f>
        <v/>
      </c>
      <c r="AO54" s="136" t="str">
        <f>IF(AO$50="","",INDEX(Leverancer!BS:BS,ROW()-ROW(Leverancer!$AX$25)+1)*Leverancer!BS$56/1000)</f>
        <v/>
      </c>
      <c r="AP54" s="136" t="str">
        <f>IF(AP$50="","",INDEX(Leverancer!BT:BT,ROW()-ROW(Leverancer!$AX$25)+1)*Leverancer!BT$56/1000)</f>
        <v/>
      </c>
      <c r="AQ54" s="136" t="str">
        <f>IF(AQ$50="","",INDEX(Leverancer!BU:BU,ROW()-ROW(Leverancer!$AX$25)+1)*Leverancer!BU$56/1000)</f>
        <v/>
      </c>
      <c r="AR54" s="136" t="str">
        <f>IF(AR$50="","",INDEX(Leverancer!BV:BV,ROW()-ROW(Leverancer!$AX$25)+1)*Leverancer!BV$56/1000)</f>
        <v/>
      </c>
      <c r="AS54" s="136" t="str">
        <f>IF(AS$50="","",INDEX(Leverancer!BW:BW,ROW()-ROW(Leverancer!$AX$25)+1)*Leverancer!BW$56/1000)</f>
        <v/>
      </c>
      <c r="AT54" s="136" t="str">
        <f>IF(AT$50="","",INDEX(Leverancer!BX:BX,ROW()-ROW(Leverancer!$AX$25)+1)*Leverancer!BX$56/1000)</f>
        <v/>
      </c>
      <c r="AU54" s="136" t="str">
        <f>IF(AU$50="","",INDEX(Leverancer!BY:BY,ROW()-ROW(Leverancer!$AX$25)+1)*Leverancer!BY$56/1000)</f>
        <v/>
      </c>
      <c r="AV54" s="136" t="str">
        <f>IF(AV$50="","",INDEX(Leverancer!BZ:BZ,ROW()-ROW(Leverancer!$AX$25)+1)*Leverancer!BZ$56/1000)</f>
        <v/>
      </c>
      <c r="AW54" s="136" t="str">
        <f>IF(AW$50="","",INDEX(Leverancer!CA:CA,ROW()-ROW(Leverancer!$AX$25)+1)*Leverancer!CA$56/1000)</f>
        <v/>
      </c>
      <c r="AX54" s="112"/>
      <c r="AY54" s="112"/>
      <c r="AZ54" s="109"/>
    </row>
    <row r="55" spans="14:52" ht="12.75" customHeight="1" x14ac:dyDescent="0.2">
      <c r="N55" s="107"/>
      <c r="O55" s="112"/>
      <c r="P55" s="112"/>
      <c r="Q55" s="138" t="str">
        <f>INDEX(Leverancer!$AR$1:$AR$1006,ROW()-ROW(Leverancer!$AX$25)+1)&amp;": "&amp;INDEX(Leverancer!$AS$1:$AS$1006,ROW()-ROW(Leverancer!$AX$25)+1)</f>
        <v xml:space="preserve">L4: </v>
      </c>
      <c r="R55" s="136"/>
      <c r="S55" s="141">
        <f t="shared" ca="1" si="10"/>
        <v>0</v>
      </c>
      <c r="T55" s="136">
        <f ca="1">IF(T$50="","",INDEX(Leverancer!AX:AX,ROW()-ROW(Leverancer!$AX$25)+1)*Leverancer!AX$56/1000)</f>
        <v>0</v>
      </c>
      <c r="U55" s="136">
        <f ca="1">IF(U$50="","",INDEX(Leverancer!AY:AY,ROW()-ROW(Leverancer!$AX$25)+1)*Leverancer!AY$56/1000)</f>
        <v>0</v>
      </c>
      <c r="V55" s="136">
        <f ca="1">IF(V$50="","",INDEX(Leverancer!AZ:AZ,ROW()-ROW(Leverancer!$AX$25)+1)*Leverancer!AZ$56/1000)</f>
        <v>0</v>
      </c>
      <c r="W55" s="136">
        <f ca="1">IF(W$50="","",INDEX(Leverancer!BA:BA,ROW()-ROW(Leverancer!$AX$25)+1)*Leverancer!BA$56/1000)</f>
        <v>0</v>
      </c>
      <c r="X55" s="136">
        <f ca="1">IF(X$50="","",INDEX(Leverancer!BB:BB,ROW()-ROW(Leverancer!$AX$25)+1)*Leverancer!BB$56/1000)</f>
        <v>0</v>
      </c>
      <c r="Y55" s="136" t="str">
        <f ca="1">IF(Y$50="","",INDEX(Leverancer!BC:BC,ROW()-ROW(Leverancer!$AX$25)+1)*Leverancer!BC$56/1000)</f>
        <v/>
      </c>
      <c r="Z55" s="136" t="str">
        <f ca="1">IF(Z$50="","",INDEX(Leverancer!BD:BD,ROW()-ROW(Leverancer!$AX$25)+1)*Leverancer!BD$56/1000)</f>
        <v/>
      </c>
      <c r="AA55" s="136" t="str">
        <f ca="1">IF(AA$50="","",INDEX(Leverancer!BE:BE,ROW()-ROW(Leverancer!$AX$25)+1)*Leverancer!BE$56/1000)</f>
        <v/>
      </c>
      <c r="AB55" s="136" t="str">
        <f ca="1">IF(AB$50="","",INDEX(Leverancer!BF:BF,ROW()-ROW(Leverancer!$AX$25)+1)*Leverancer!BF$56/1000)</f>
        <v/>
      </c>
      <c r="AC55" s="136" t="str">
        <f ca="1">IF(AC$50="","",INDEX(Leverancer!BG:BG,ROW()-ROW(Leverancer!$AX$25)+1)*Leverancer!BG$56/1000)</f>
        <v/>
      </c>
      <c r="AD55" s="136" t="str">
        <f ca="1">IF(AD$50="","",INDEX(Leverancer!BH:BH,ROW()-ROW(Leverancer!$AX$25)+1)*Leverancer!BH$56/1000)</f>
        <v/>
      </c>
      <c r="AE55" s="136" t="str">
        <f ca="1">IF(AE$50="","",INDEX(Leverancer!BI:BI,ROW()-ROW(Leverancer!$AX$25)+1)*Leverancer!BI$56/1000)</f>
        <v/>
      </c>
      <c r="AF55" s="136" t="str">
        <f ca="1">IF(AF$50="","",INDEX(Leverancer!BJ:BJ,ROW()-ROW(Leverancer!$AX$25)+1)*Leverancer!BJ$56/1000)</f>
        <v/>
      </c>
      <c r="AG55" s="136" t="str">
        <f ca="1">IF(AG$50="","",INDEX(Leverancer!BK:BK,ROW()-ROW(Leverancer!$AX$25)+1)*Leverancer!BK$56/1000)</f>
        <v/>
      </c>
      <c r="AH55" s="136" t="str">
        <f ca="1">IF(AH$50="","",INDEX(Leverancer!BL:BL,ROW()-ROW(Leverancer!$AX$25)+1)*Leverancer!BL$56/1000)</f>
        <v/>
      </c>
      <c r="AI55" s="136" t="str">
        <f ca="1">IF(AI$50="","",INDEX(Leverancer!BM:BM,ROW()-ROW(Leverancer!$AX$25)+1)*Leverancer!BM$56/1000)</f>
        <v/>
      </c>
      <c r="AJ55" s="136" t="str">
        <f ca="1">IF(AJ$50="","",INDEX(Leverancer!BN:BN,ROW()-ROW(Leverancer!$AX$25)+1)*Leverancer!BN$56/1000)</f>
        <v/>
      </c>
      <c r="AK55" s="136" t="str">
        <f ca="1">IF(AK$50="","",INDEX(Leverancer!BO:BO,ROW()-ROW(Leverancer!$AX$25)+1)*Leverancer!BO$56/1000)</f>
        <v/>
      </c>
      <c r="AL55" s="136" t="str">
        <f ca="1">IF(AL$50="","",INDEX(Leverancer!BP:BP,ROW()-ROW(Leverancer!$AX$25)+1)*Leverancer!BP$56/1000)</f>
        <v/>
      </c>
      <c r="AM55" s="136" t="str">
        <f ca="1">IF(AM$50="","",INDEX(Leverancer!BQ:BQ,ROW()-ROW(Leverancer!$AX$25)+1)*Leverancer!BQ$56/1000)</f>
        <v/>
      </c>
      <c r="AN55" s="136" t="str">
        <f>IF(AN$50="","",INDEX(Leverancer!BR:BR,ROW()-ROW(Leverancer!$AX$25)+1)*Leverancer!BR$56/1000)</f>
        <v/>
      </c>
      <c r="AO55" s="136" t="str">
        <f>IF(AO$50="","",INDEX(Leverancer!BS:BS,ROW()-ROW(Leverancer!$AX$25)+1)*Leverancer!BS$56/1000)</f>
        <v/>
      </c>
      <c r="AP55" s="136" t="str">
        <f>IF(AP$50="","",INDEX(Leverancer!BT:BT,ROW()-ROW(Leverancer!$AX$25)+1)*Leverancer!BT$56/1000)</f>
        <v/>
      </c>
      <c r="AQ55" s="136" t="str">
        <f>IF(AQ$50="","",INDEX(Leverancer!BU:BU,ROW()-ROW(Leverancer!$AX$25)+1)*Leverancer!BU$56/1000)</f>
        <v/>
      </c>
      <c r="AR55" s="136" t="str">
        <f>IF(AR$50="","",INDEX(Leverancer!BV:BV,ROW()-ROW(Leverancer!$AX$25)+1)*Leverancer!BV$56/1000)</f>
        <v/>
      </c>
      <c r="AS55" s="136" t="str">
        <f>IF(AS$50="","",INDEX(Leverancer!BW:BW,ROW()-ROW(Leverancer!$AX$25)+1)*Leverancer!BW$56/1000)</f>
        <v/>
      </c>
      <c r="AT55" s="136" t="str">
        <f>IF(AT$50="","",INDEX(Leverancer!BX:BX,ROW()-ROW(Leverancer!$AX$25)+1)*Leverancer!BX$56/1000)</f>
        <v/>
      </c>
      <c r="AU55" s="136" t="str">
        <f>IF(AU$50="","",INDEX(Leverancer!BY:BY,ROW()-ROW(Leverancer!$AX$25)+1)*Leverancer!BY$56/1000)</f>
        <v/>
      </c>
      <c r="AV55" s="136" t="str">
        <f>IF(AV$50="","",INDEX(Leverancer!BZ:BZ,ROW()-ROW(Leverancer!$AX$25)+1)*Leverancer!BZ$56/1000)</f>
        <v/>
      </c>
      <c r="AW55" s="136" t="str">
        <f>IF(AW$50="","",INDEX(Leverancer!CA:CA,ROW()-ROW(Leverancer!$AX$25)+1)*Leverancer!CA$56/1000)</f>
        <v/>
      </c>
      <c r="AX55" s="112"/>
      <c r="AY55" s="112"/>
      <c r="AZ55" s="109"/>
    </row>
    <row r="56" spans="14:52" ht="12.75" customHeight="1" x14ac:dyDescent="0.2">
      <c r="N56" s="107"/>
      <c r="O56" s="112"/>
      <c r="P56" s="112"/>
      <c r="Q56" s="138" t="str">
        <f>INDEX(Leverancer!$AR$1:$AR$1006,ROW()-ROW(Leverancer!$AX$25)+1)&amp;": "&amp;INDEX(Leverancer!$AS$1:$AS$1006,ROW()-ROW(Leverancer!$AX$25)+1)</f>
        <v xml:space="preserve">L5: </v>
      </c>
      <c r="R56" s="136"/>
      <c r="S56" s="141">
        <f t="shared" ca="1" si="10"/>
        <v>0</v>
      </c>
      <c r="T56" s="136">
        <f ca="1">IF(T$50="","",INDEX(Leverancer!AX:AX,ROW()-ROW(Leverancer!$AX$25)+1)*Leverancer!AX$56/1000)</f>
        <v>0</v>
      </c>
      <c r="U56" s="136">
        <f ca="1">IF(U$50="","",INDEX(Leverancer!AY:AY,ROW()-ROW(Leverancer!$AX$25)+1)*Leverancer!AY$56/1000)</f>
        <v>0</v>
      </c>
      <c r="V56" s="136">
        <f ca="1">IF(V$50="","",INDEX(Leverancer!AZ:AZ,ROW()-ROW(Leverancer!$AX$25)+1)*Leverancer!AZ$56/1000)</f>
        <v>0</v>
      </c>
      <c r="W56" s="136">
        <f ca="1">IF(W$50="","",INDEX(Leverancer!BA:BA,ROW()-ROW(Leverancer!$AX$25)+1)*Leverancer!BA$56/1000)</f>
        <v>0</v>
      </c>
      <c r="X56" s="136">
        <f ca="1">IF(X$50="","",INDEX(Leverancer!BB:BB,ROW()-ROW(Leverancer!$AX$25)+1)*Leverancer!BB$56/1000)</f>
        <v>0</v>
      </c>
      <c r="Y56" s="136" t="str">
        <f ca="1">IF(Y$50="","",INDEX(Leverancer!BC:BC,ROW()-ROW(Leverancer!$AX$25)+1)*Leverancer!BC$56/1000)</f>
        <v/>
      </c>
      <c r="Z56" s="136" t="str">
        <f ca="1">IF(Z$50="","",INDEX(Leverancer!BD:BD,ROW()-ROW(Leverancer!$AX$25)+1)*Leverancer!BD$56/1000)</f>
        <v/>
      </c>
      <c r="AA56" s="136" t="str">
        <f ca="1">IF(AA$50="","",INDEX(Leverancer!BE:BE,ROW()-ROW(Leverancer!$AX$25)+1)*Leverancer!BE$56/1000)</f>
        <v/>
      </c>
      <c r="AB56" s="136" t="str">
        <f ca="1">IF(AB$50="","",INDEX(Leverancer!BF:BF,ROW()-ROW(Leverancer!$AX$25)+1)*Leverancer!BF$56/1000)</f>
        <v/>
      </c>
      <c r="AC56" s="136" t="str">
        <f ca="1">IF(AC$50="","",INDEX(Leverancer!BG:BG,ROW()-ROW(Leverancer!$AX$25)+1)*Leverancer!BG$56/1000)</f>
        <v/>
      </c>
      <c r="AD56" s="136" t="str">
        <f ca="1">IF(AD$50="","",INDEX(Leverancer!BH:BH,ROW()-ROW(Leverancer!$AX$25)+1)*Leverancer!BH$56/1000)</f>
        <v/>
      </c>
      <c r="AE56" s="136" t="str">
        <f ca="1">IF(AE$50="","",INDEX(Leverancer!BI:BI,ROW()-ROW(Leverancer!$AX$25)+1)*Leverancer!BI$56/1000)</f>
        <v/>
      </c>
      <c r="AF56" s="136" t="str">
        <f ca="1">IF(AF$50="","",INDEX(Leverancer!BJ:BJ,ROW()-ROW(Leverancer!$AX$25)+1)*Leverancer!BJ$56/1000)</f>
        <v/>
      </c>
      <c r="AG56" s="136" t="str">
        <f ca="1">IF(AG$50="","",INDEX(Leverancer!BK:BK,ROW()-ROW(Leverancer!$AX$25)+1)*Leverancer!BK$56/1000)</f>
        <v/>
      </c>
      <c r="AH56" s="136" t="str">
        <f ca="1">IF(AH$50="","",INDEX(Leverancer!BL:BL,ROW()-ROW(Leverancer!$AX$25)+1)*Leverancer!BL$56/1000)</f>
        <v/>
      </c>
      <c r="AI56" s="136" t="str">
        <f ca="1">IF(AI$50="","",INDEX(Leverancer!BM:BM,ROW()-ROW(Leverancer!$AX$25)+1)*Leverancer!BM$56/1000)</f>
        <v/>
      </c>
      <c r="AJ56" s="136" t="str">
        <f ca="1">IF(AJ$50="","",INDEX(Leverancer!BN:BN,ROW()-ROW(Leverancer!$AX$25)+1)*Leverancer!BN$56/1000)</f>
        <v/>
      </c>
      <c r="AK56" s="136" t="str">
        <f ca="1">IF(AK$50="","",INDEX(Leverancer!BO:BO,ROW()-ROW(Leverancer!$AX$25)+1)*Leverancer!BO$56/1000)</f>
        <v/>
      </c>
      <c r="AL56" s="136" t="str">
        <f ca="1">IF(AL$50="","",INDEX(Leverancer!BP:BP,ROW()-ROW(Leverancer!$AX$25)+1)*Leverancer!BP$56/1000)</f>
        <v/>
      </c>
      <c r="AM56" s="136" t="str">
        <f ca="1">IF(AM$50="","",INDEX(Leverancer!BQ:BQ,ROW()-ROW(Leverancer!$AX$25)+1)*Leverancer!BQ$56/1000)</f>
        <v/>
      </c>
      <c r="AN56" s="136" t="str">
        <f>IF(AN$50="","",INDEX(Leverancer!BR:BR,ROW()-ROW(Leverancer!$AX$25)+1)*Leverancer!BR$56/1000)</f>
        <v/>
      </c>
      <c r="AO56" s="136" t="str">
        <f>IF(AO$50="","",INDEX(Leverancer!BS:BS,ROW()-ROW(Leverancer!$AX$25)+1)*Leverancer!BS$56/1000)</f>
        <v/>
      </c>
      <c r="AP56" s="136" t="str">
        <f>IF(AP$50="","",INDEX(Leverancer!BT:BT,ROW()-ROW(Leverancer!$AX$25)+1)*Leverancer!BT$56/1000)</f>
        <v/>
      </c>
      <c r="AQ56" s="136" t="str">
        <f>IF(AQ$50="","",INDEX(Leverancer!BU:BU,ROW()-ROW(Leverancer!$AX$25)+1)*Leverancer!BU$56/1000)</f>
        <v/>
      </c>
      <c r="AR56" s="136" t="str">
        <f>IF(AR$50="","",INDEX(Leverancer!BV:BV,ROW()-ROW(Leverancer!$AX$25)+1)*Leverancer!BV$56/1000)</f>
        <v/>
      </c>
      <c r="AS56" s="136" t="str">
        <f>IF(AS$50="","",INDEX(Leverancer!BW:BW,ROW()-ROW(Leverancer!$AX$25)+1)*Leverancer!BW$56/1000)</f>
        <v/>
      </c>
      <c r="AT56" s="136" t="str">
        <f>IF(AT$50="","",INDEX(Leverancer!BX:BX,ROW()-ROW(Leverancer!$AX$25)+1)*Leverancer!BX$56/1000)</f>
        <v/>
      </c>
      <c r="AU56" s="136" t="str">
        <f>IF(AU$50="","",INDEX(Leverancer!BY:BY,ROW()-ROW(Leverancer!$AX$25)+1)*Leverancer!BY$56/1000)</f>
        <v/>
      </c>
      <c r="AV56" s="136" t="str">
        <f>IF(AV$50="","",INDEX(Leverancer!BZ:BZ,ROW()-ROW(Leverancer!$AX$25)+1)*Leverancer!BZ$56/1000)</f>
        <v/>
      </c>
      <c r="AW56" s="136" t="str">
        <f>IF(AW$50="","",INDEX(Leverancer!CA:CA,ROW()-ROW(Leverancer!$AX$25)+1)*Leverancer!CA$56/1000)</f>
        <v/>
      </c>
      <c r="AX56" s="112"/>
      <c r="AY56" s="112"/>
      <c r="AZ56" s="109"/>
    </row>
    <row r="57" spans="14:52" ht="12.75" customHeight="1" x14ac:dyDescent="0.2">
      <c r="N57" s="107"/>
      <c r="O57" s="112"/>
      <c r="P57" s="112"/>
      <c r="Q57" s="139" t="str">
        <f>INDEX(g_lang_val,MATCH("so_2_1_3",g_lang_key,0))</f>
        <v>Gennemførelsesfase</v>
      </c>
      <c r="R57" s="144">
        <f ca="1">IF(S$74&lt;&gt;0,S57/S$74,0)</f>
        <v>0</v>
      </c>
      <c r="S57" s="141">
        <f t="shared" ca="1" si="10"/>
        <v>0</v>
      </c>
      <c r="T57" s="142">
        <f ca="1">IF(T$50="","",SUM(T58:T72))</f>
        <v>0</v>
      </c>
      <c r="U57" s="142">
        <f t="shared" ref="U57:AM57" ca="1" si="11">IF(U$50="","",SUM(U58:U72))</f>
        <v>0</v>
      </c>
      <c r="V57" s="142">
        <f t="shared" ca="1" si="11"/>
        <v>0</v>
      </c>
      <c r="W57" s="142">
        <f t="shared" ca="1" si="11"/>
        <v>0</v>
      </c>
      <c r="X57" s="142">
        <f t="shared" ca="1" si="11"/>
        <v>0</v>
      </c>
      <c r="Y57" s="142" t="str">
        <f t="shared" ca="1" si="11"/>
        <v/>
      </c>
      <c r="Z57" s="142" t="str">
        <f t="shared" ca="1" si="11"/>
        <v/>
      </c>
      <c r="AA57" s="142" t="str">
        <f t="shared" ca="1" si="11"/>
        <v/>
      </c>
      <c r="AB57" s="142" t="str">
        <f t="shared" ca="1" si="11"/>
        <v/>
      </c>
      <c r="AC57" s="142" t="str">
        <f t="shared" ca="1" si="11"/>
        <v/>
      </c>
      <c r="AD57" s="142" t="str">
        <f t="shared" ca="1" si="11"/>
        <v/>
      </c>
      <c r="AE57" s="142" t="str">
        <f t="shared" ca="1" si="11"/>
        <v/>
      </c>
      <c r="AF57" s="142" t="str">
        <f t="shared" ca="1" si="11"/>
        <v/>
      </c>
      <c r="AG57" s="142" t="str">
        <f t="shared" ca="1" si="11"/>
        <v/>
      </c>
      <c r="AH57" s="142" t="str">
        <f t="shared" ca="1" si="11"/>
        <v/>
      </c>
      <c r="AI57" s="142" t="str">
        <f t="shared" ca="1" si="11"/>
        <v/>
      </c>
      <c r="AJ57" s="142" t="str">
        <f t="shared" ca="1" si="11"/>
        <v/>
      </c>
      <c r="AK57" s="142" t="str">
        <f t="shared" ca="1" si="11"/>
        <v/>
      </c>
      <c r="AL57" s="142" t="str">
        <f t="shared" ca="1" si="11"/>
        <v/>
      </c>
      <c r="AM57" s="142" t="str">
        <f t="shared" ca="1" si="11"/>
        <v/>
      </c>
      <c r="AN57" s="112"/>
      <c r="AO57" s="112"/>
      <c r="AP57" s="112"/>
      <c r="AQ57" s="112"/>
      <c r="AR57" s="112"/>
      <c r="AS57" s="112"/>
      <c r="AT57" s="112"/>
      <c r="AU57" s="112"/>
      <c r="AV57" s="112"/>
      <c r="AW57" s="112"/>
      <c r="AX57" s="112"/>
      <c r="AY57" s="112"/>
      <c r="AZ57" s="109"/>
    </row>
    <row r="58" spans="14:52" ht="12.75" customHeight="1" x14ac:dyDescent="0.2">
      <c r="N58" s="107"/>
      <c r="O58" s="112"/>
      <c r="P58" s="112"/>
      <c r="Q58" s="138" t="str">
        <f>INDEX(Leverancer!$AR$1:$AR$1006,ROW()-ROW(Leverancer!$AX$25)+1)&amp;": "&amp;INDEX(Leverancer!$AS$1:$AS$1006,ROW()-ROW(Leverancer!$AX$25)+1)</f>
        <v xml:space="preserve">L6: </v>
      </c>
      <c r="R58" s="136"/>
      <c r="S58" s="141">
        <f t="shared" ca="1" si="10"/>
        <v>0</v>
      </c>
      <c r="T58" s="136">
        <f ca="1">IF(T$50="","",INDEX(Leverancer!AX:AX,ROW()-ROW(Leverancer!$AX$25)+1)*Leverancer!AX$56/1000)</f>
        <v>0</v>
      </c>
      <c r="U58" s="136">
        <f ca="1">IF(U$50="","",INDEX(Leverancer!AY:AY,ROW()-ROW(Leverancer!$AX$25)+1)*Leverancer!AY$56/1000)</f>
        <v>0</v>
      </c>
      <c r="V58" s="136">
        <f ca="1">IF(V$50="","",INDEX(Leverancer!AZ:AZ,ROW()-ROW(Leverancer!$AX$25)+1)*Leverancer!AZ$56/1000)</f>
        <v>0</v>
      </c>
      <c r="W58" s="136">
        <f ca="1">IF(W$50="","",INDEX(Leverancer!BA:BA,ROW()-ROW(Leverancer!$AX$25)+1)*Leverancer!BA$56/1000)</f>
        <v>0</v>
      </c>
      <c r="X58" s="136">
        <f ca="1">IF(X$50="","",INDEX(Leverancer!BB:BB,ROW()-ROW(Leverancer!$AX$25)+1)*Leverancer!BB$56/1000)</f>
        <v>0</v>
      </c>
      <c r="Y58" s="136" t="str">
        <f ca="1">IF(Y$50="","",INDEX(Leverancer!BC:BC,ROW()-ROW(Leverancer!$AX$25)+1)*Leverancer!BC$56/1000)</f>
        <v/>
      </c>
      <c r="Z58" s="136" t="str">
        <f ca="1">IF(Z$50="","",INDEX(Leverancer!BD:BD,ROW()-ROW(Leverancer!$AX$25)+1)*Leverancer!BD$56/1000)</f>
        <v/>
      </c>
      <c r="AA58" s="136" t="str">
        <f ca="1">IF(AA$50="","",INDEX(Leverancer!BE:BE,ROW()-ROW(Leverancer!$AX$25)+1)*Leverancer!BE$56/1000)</f>
        <v/>
      </c>
      <c r="AB58" s="136" t="str">
        <f ca="1">IF(AB$50="","",INDEX(Leverancer!BF:BF,ROW()-ROW(Leverancer!$AX$25)+1)*Leverancer!BF$56/1000)</f>
        <v/>
      </c>
      <c r="AC58" s="136" t="str">
        <f ca="1">IF(AC$50="","",INDEX(Leverancer!BG:BG,ROW()-ROW(Leverancer!$AX$25)+1)*Leverancer!BG$56/1000)</f>
        <v/>
      </c>
      <c r="AD58" s="136" t="str">
        <f ca="1">IF(AD$50="","",INDEX(Leverancer!BH:BH,ROW()-ROW(Leverancer!$AX$25)+1)*Leverancer!BH$56/1000)</f>
        <v/>
      </c>
      <c r="AE58" s="136" t="str">
        <f ca="1">IF(AE$50="","",INDEX(Leverancer!BI:BI,ROW()-ROW(Leverancer!$AX$25)+1)*Leverancer!BI$56/1000)</f>
        <v/>
      </c>
      <c r="AF58" s="136" t="str">
        <f ca="1">IF(AF$50="","",INDEX(Leverancer!BJ:BJ,ROW()-ROW(Leverancer!$AX$25)+1)*Leverancer!BJ$56/1000)</f>
        <v/>
      </c>
      <c r="AG58" s="136" t="str">
        <f ca="1">IF(AG$50="","",INDEX(Leverancer!BK:BK,ROW()-ROW(Leverancer!$AX$25)+1)*Leverancer!BK$56/1000)</f>
        <v/>
      </c>
      <c r="AH58" s="136" t="str">
        <f ca="1">IF(AH$50="","",INDEX(Leverancer!BL:BL,ROW()-ROW(Leverancer!$AX$25)+1)*Leverancer!BL$56/1000)</f>
        <v/>
      </c>
      <c r="AI58" s="136" t="str">
        <f ca="1">IF(AI$50="","",INDEX(Leverancer!BM:BM,ROW()-ROW(Leverancer!$AX$25)+1)*Leverancer!BM$56/1000)</f>
        <v/>
      </c>
      <c r="AJ58" s="136" t="str">
        <f ca="1">IF(AJ$50="","",INDEX(Leverancer!BN:BN,ROW()-ROW(Leverancer!$AX$25)+1)*Leverancer!BN$56/1000)</f>
        <v/>
      </c>
      <c r="AK58" s="136" t="str">
        <f ca="1">IF(AK$50="","",INDEX(Leverancer!BO:BO,ROW()-ROW(Leverancer!$AX$25)+1)*Leverancer!BO$56/1000)</f>
        <v/>
      </c>
      <c r="AL58" s="136" t="str">
        <f ca="1">IF(AL$50="","",INDEX(Leverancer!BP:BP,ROW()-ROW(Leverancer!$AX$25)+1)*Leverancer!BP$56/1000)</f>
        <v/>
      </c>
      <c r="AM58" s="136" t="str">
        <f ca="1">IF(AM$50="","",INDEX(Leverancer!BQ:BQ,ROW()-ROW(Leverancer!$AX$25)+1)*Leverancer!BQ$56/1000)</f>
        <v/>
      </c>
      <c r="AN58" s="136" t="str">
        <f>IF(AN$50="","",INDEX(Leverancer!BR:BR,ROW()-ROW(Leverancer!$AX$25)+1)*Leverancer!BR$56/1000)</f>
        <v/>
      </c>
      <c r="AO58" s="136" t="str">
        <f>IF(AO$50="","",INDEX(Leverancer!BS:BS,ROW()-ROW(Leverancer!$AX$25)+1)*Leverancer!BS$56/1000)</f>
        <v/>
      </c>
      <c r="AP58" s="136" t="str">
        <f>IF(AP$50="","",INDEX(Leverancer!BT:BT,ROW()-ROW(Leverancer!$AX$25)+1)*Leverancer!BT$56/1000)</f>
        <v/>
      </c>
      <c r="AQ58" s="136" t="str">
        <f>IF(AQ$50="","",INDEX(Leverancer!BU:BU,ROW()-ROW(Leverancer!$AX$25)+1)*Leverancer!BU$56/1000)</f>
        <v/>
      </c>
      <c r="AR58" s="136" t="str">
        <f>IF(AR$50="","",INDEX(Leverancer!BV:BV,ROW()-ROW(Leverancer!$AX$25)+1)*Leverancer!BV$56/1000)</f>
        <v/>
      </c>
      <c r="AS58" s="136" t="str">
        <f>IF(AS$50="","",INDEX(Leverancer!BW:BW,ROW()-ROW(Leverancer!$AX$25)+1)*Leverancer!BW$56/1000)</f>
        <v/>
      </c>
      <c r="AT58" s="136" t="str">
        <f>IF(AT$50="","",INDEX(Leverancer!BX:BX,ROW()-ROW(Leverancer!$AX$25)+1)*Leverancer!BX$56/1000)</f>
        <v/>
      </c>
      <c r="AU58" s="136" t="str">
        <f>IF(AU$50="","",INDEX(Leverancer!BY:BY,ROW()-ROW(Leverancer!$AX$25)+1)*Leverancer!BY$56/1000)</f>
        <v/>
      </c>
      <c r="AV58" s="136" t="str">
        <f>IF(AV$50="","",INDEX(Leverancer!BZ:BZ,ROW()-ROW(Leverancer!$AX$25)+1)*Leverancer!BZ$56/1000)</f>
        <v/>
      </c>
      <c r="AW58" s="136" t="str">
        <f>IF(AW$50="","",INDEX(Leverancer!CA:CA,ROW()-ROW(Leverancer!$AX$25)+1)*Leverancer!CA$56/1000)</f>
        <v/>
      </c>
      <c r="AX58" s="112"/>
      <c r="AY58" s="112"/>
      <c r="AZ58" s="109"/>
    </row>
    <row r="59" spans="14:52" ht="12.75" customHeight="1" x14ac:dyDescent="0.2">
      <c r="N59" s="107"/>
      <c r="O59" s="112"/>
      <c r="P59" s="112"/>
      <c r="Q59" s="138" t="str">
        <f>INDEX(Leverancer!$AR$1:$AR$1006,ROW()-ROW(Leverancer!$AX$25)+1)&amp;": "&amp;INDEX(Leverancer!$AS$1:$AS$1006,ROW()-ROW(Leverancer!$AX$25)+1)</f>
        <v xml:space="preserve">L7: </v>
      </c>
      <c r="R59" s="136"/>
      <c r="S59" s="141">
        <f t="shared" ca="1" si="10"/>
        <v>0</v>
      </c>
      <c r="T59" s="136">
        <f ca="1">IF(T$50="","",INDEX(Leverancer!AX:AX,ROW()-ROW(Leverancer!$AX$25)+1)*Leverancer!AX$56/1000)</f>
        <v>0</v>
      </c>
      <c r="U59" s="136">
        <f ca="1">IF(U$50="","",INDEX(Leverancer!AY:AY,ROW()-ROW(Leverancer!$AX$25)+1)*Leverancer!AY$56/1000)</f>
        <v>0</v>
      </c>
      <c r="V59" s="136">
        <f ca="1">IF(V$50="","",INDEX(Leverancer!AZ:AZ,ROW()-ROW(Leverancer!$AX$25)+1)*Leverancer!AZ$56/1000)</f>
        <v>0</v>
      </c>
      <c r="W59" s="136">
        <f ca="1">IF(W$50="","",INDEX(Leverancer!BA:BA,ROW()-ROW(Leverancer!$AX$25)+1)*Leverancer!BA$56/1000)</f>
        <v>0</v>
      </c>
      <c r="X59" s="136">
        <f ca="1">IF(X$50="","",INDEX(Leverancer!BB:BB,ROW()-ROW(Leverancer!$AX$25)+1)*Leverancer!BB$56/1000)</f>
        <v>0</v>
      </c>
      <c r="Y59" s="136" t="str">
        <f ca="1">IF(Y$50="","",INDEX(Leverancer!BC:BC,ROW()-ROW(Leverancer!$AX$25)+1)*Leverancer!BC$56/1000)</f>
        <v/>
      </c>
      <c r="Z59" s="136" t="str">
        <f ca="1">IF(Z$50="","",INDEX(Leverancer!BD:BD,ROW()-ROW(Leverancer!$AX$25)+1)*Leverancer!BD$56/1000)</f>
        <v/>
      </c>
      <c r="AA59" s="136" t="str">
        <f ca="1">IF(AA$50="","",INDEX(Leverancer!BE:BE,ROW()-ROW(Leverancer!$AX$25)+1)*Leverancer!BE$56/1000)</f>
        <v/>
      </c>
      <c r="AB59" s="136" t="str">
        <f ca="1">IF(AB$50="","",INDEX(Leverancer!BF:BF,ROW()-ROW(Leverancer!$AX$25)+1)*Leverancer!BF$56/1000)</f>
        <v/>
      </c>
      <c r="AC59" s="136" t="str">
        <f ca="1">IF(AC$50="","",INDEX(Leverancer!BG:BG,ROW()-ROW(Leverancer!$AX$25)+1)*Leverancer!BG$56/1000)</f>
        <v/>
      </c>
      <c r="AD59" s="136" t="str">
        <f ca="1">IF(AD$50="","",INDEX(Leverancer!BH:BH,ROW()-ROW(Leverancer!$AX$25)+1)*Leverancer!BH$56/1000)</f>
        <v/>
      </c>
      <c r="AE59" s="136" t="str">
        <f ca="1">IF(AE$50="","",INDEX(Leverancer!BI:BI,ROW()-ROW(Leverancer!$AX$25)+1)*Leverancer!BI$56/1000)</f>
        <v/>
      </c>
      <c r="AF59" s="136" t="str">
        <f ca="1">IF(AF$50="","",INDEX(Leverancer!BJ:BJ,ROW()-ROW(Leverancer!$AX$25)+1)*Leverancer!BJ$56/1000)</f>
        <v/>
      </c>
      <c r="AG59" s="136" t="str">
        <f ca="1">IF(AG$50="","",INDEX(Leverancer!BK:BK,ROW()-ROW(Leverancer!$AX$25)+1)*Leverancer!BK$56/1000)</f>
        <v/>
      </c>
      <c r="AH59" s="136" t="str">
        <f ca="1">IF(AH$50="","",INDEX(Leverancer!BL:BL,ROW()-ROW(Leverancer!$AX$25)+1)*Leverancer!BL$56/1000)</f>
        <v/>
      </c>
      <c r="AI59" s="136" t="str">
        <f ca="1">IF(AI$50="","",INDEX(Leverancer!BM:BM,ROW()-ROW(Leverancer!$AX$25)+1)*Leverancer!BM$56/1000)</f>
        <v/>
      </c>
      <c r="AJ59" s="136" t="str">
        <f ca="1">IF(AJ$50="","",INDEX(Leverancer!BN:BN,ROW()-ROW(Leverancer!$AX$25)+1)*Leverancer!BN$56/1000)</f>
        <v/>
      </c>
      <c r="AK59" s="136" t="str">
        <f ca="1">IF(AK$50="","",INDEX(Leverancer!BO:BO,ROW()-ROW(Leverancer!$AX$25)+1)*Leverancer!BO$56/1000)</f>
        <v/>
      </c>
      <c r="AL59" s="136" t="str">
        <f ca="1">IF(AL$50="","",INDEX(Leverancer!BP:BP,ROW()-ROW(Leverancer!$AX$25)+1)*Leverancer!BP$56/1000)</f>
        <v/>
      </c>
      <c r="AM59" s="136" t="str">
        <f ca="1">IF(AM$50="","",INDEX(Leverancer!BQ:BQ,ROW()-ROW(Leverancer!$AX$25)+1)*Leverancer!BQ$56/1000)</f>
        <v/>
      </c>
      <c r="AN59" s="136" t="str">
        <f>IF(AN$50="","",INDEX(Leverancer!BR:BR,ROW()-ROW(Leverancer!$AX$25)+1)*Leverancer!BR$56/1000)</f>
        <v/>
      </c>
      <c r="AO59" s="136" t="str">
        <f>IF(AO$50="","",INDEX(Leverancer!BS:BS,ROW()-ROW(Leverancer!$AX$25)+1)*Leverancer!BS$56/1000)</f>
        <v/>
      </c>
      <c r="AP59" s="136" t="str">
        <f>IF(AP$50="","",INDEX(Leverancer!BT:BT,ROW()-ROW(Leverancer!$AX$25)+1)*Leverancer!BT$56/1000)</f>
        <v/>
      </c>
      <c r="AQ59" s="136" t="str">
        <f>IF(AQ$50="","",INDEX(Leverancer!BU:BU,ROW()-ROW(Leverancer!$AX$25)+1)*Leverancer!BU$56/1000)</f>
        <v/>
      </c>
      <c r="AR59" s="136" t="str">
        <f>IF(AR$50="","",INDEX(Leverancer!BV:BV,ROW()-ROW(Leverancer!$AX$25)+1)*Leverancer!BV$56/1000)</f>
        <v/>
      </c>
      <c r="AS59" s="136" t="str">
        <f>IF(AS$50="","",INDEX(Leverancer!BW:BW,ROW()-ROW(Leverancer!$AX$25)+1)*Leverancer!BW$56/1000)</f>
        <v/>
      </c>
      <c r="AT59" s="136" t="str">
        <f>IF(AT$50="","",INDEX(Leverancer!BX:BX,ROW()-ROW(Leverancer!$AX$25)+1)*Leverancer!BX$56/1000)</f>
        <v/>
      </c>
      <c r="AU59" s="136" t="str">
        <f>IF(AU$50="","",INDEX(Leverancer!BY:BY,ROW()-ROW(Leverancer!$AX$25)+1)*Leverancer!BY$56/1000)</f>
        <v/>
      </c>
      <c r="AV59" s="136" t="str">
        <f>IF(AV$50="","",INDEX(Leverancer!BZ:BZ,ROW()-ROW(Leverancer!$AX$25)+1)*Leverancer!BZ$56/1000)</f>
        <v/>
      </c>
      <c r="AW59" s="136" t="str">
        <f>IF(AW$50="","",INDEX(Leverancer!CA:CA,ROW()-ROW(Leverancer!$AX$25)+1)*Leverancer!CA$56/1000)</f>
        <v/>
      </c>
      <c r="AX59" s="112"/>
      <c r="AY59" s="112"/>
      <c r="AZ59" s="109"/>
    </row>
    <row r="60" spans="14:52" ht="12.75" customHeight="1" x14ac:dyDescent="0.2">
      <c r="N60" s="107"/>
      <c r="O60" s="112"/>
      <c r="P60" s="112"/>
      <c r="Q60" s="138" t="str">
        <f>INDEX(Leverancer!$AR$1:$AR$1006,ROW()-ROW(Leverancer!$AX$25)+1)&amp;": "&amp;INDEX(Leverancer!$AS$1:$AS$1006,ROW()-ROW(Leverancer!$AX$25)+1)</f>
        <v xml:space="preserve">L8: </v>
      </c>
      <c r="R60" s="136"/>
      <c r="S60" s="141">
        <f t="shared" ca="1" si="10"/>
        <v>0</v>
      </c>
      <c r="T60" s="136">
        <f ca="1">IF(T$50="","",INDEX(Leverancer!AX:AX,ROW()-ROW(Leverancer!$AX$25)+1)*Leverancer!AX$56/1000)</f>
        <v>0</v>
      </c>
      <c r="U60" s="136">
        <f ca="1">IF(U$50="","",INDEX(Leverancer!AY:AY,ROW()-ROW(Leverancer!$AX$25)+1)*Leverancer!AY$56/1000)</f>
        <v>0</v>
      </c>
      <c r="V60" s="136">
        <f ca="1">IF(V$50="","",INDEX(Leverancer!AZ:AZ,ROW()-ROW(Leverancer!$AX$25)+1)*Leverancer!AZ$56/1000)</f>
        <v>0</v>
      </c>
      <c r="W60" s="136">
        <f ca="1">IF(W$50="","",INDEX(Leverancer!BA:BA,ROW()-ROW(Leverancer!$AX$25)+1)*Leverancer!BA$56/1000)</f>
        <v>0</v>
      </c>
      <c r="X60" s="136">
        <f ca="1">IF(X$50="","",INDEX(Leverancer!BB:BB,ROW()-ROW(Leverancer!$AX$25)+1)*Leverancer!BB$56/1000)</f>
        <v>0</v>
      </c>
      <c r="Y60" s="136" t="str">
        <f ca="1">IF(Y$50="","",INDEX(Leverancer!BC:BC,ROW()-ROW(Leverancer!$AX$25)+1)*Leverancer!BC$56/1000)</f>
        <v/>
      </c>
      <c r="Z60" s="136" t="str">
        <f ca="1">IF(Z$50="","",INDEX(Leverancer!BD:BD,ROW()-ROW(Leverancer!$AX$25)+1)*Leverancer!BD$56/1000)</f>
        <v/>
      </c>
      <c r="AA60" s="136" t="str">
        <f ca="1">IF(AA$50="","",INDEX(Leverancer!BE:BE,ROW()-ROW(Leverancer!$AX$25)+1)*Leverancer!BE$56/1000)</f>
        <v/>
      </c>
      <c r="AB60" s="136" t="str">
        <f ca="1">IF(AB$50="","",INDEX(Leverancer!BF:BF,ROW()-ROW(Leverancer!$AX$25)+1)*Leverancer!BF$56/1000)</f>
        <v/>
      </c>
      <c r="AC60" s="136" t="str">
        <f ca="1">IF(AC$50="","",INDEX(Leverancer!BG:BG,ROW()-ROW(Leverancer!$AX$25)+1)*Leverancer!BG$56/1000)</f>
        <v/>
      </c>
      <c r="AD60" s="136" t="str">
        <f ca="1">IF(AD$50="","",INDEX(Leverancer!BH:BH,ROW()-ROW(Leverancer!$AX$25)+1)*Leverancer!BH$56/1000)</f>
        <v/>
      </c>
      <c r="AE60" s="136" t="str">
        <f ca="1">IF(AE$50="","",INDEX(Leverancer!BI:BI,ROW()-ROW(Leverancer!$AX$25)+1)*Leverancer!BI$56/1000)</f>
        <v/>
      </c>
      <c r="AF60" s="136" t="str">
        <f ca="1">IF(AF$50="","",INDEX(Leverancer!BJ:BJ,ROW()-ROW(Leverancer!$AX$25)+1)*Leverancer!BJ$56/1000)</f>
        <v/>
      </c>
      <c r="AG60" s="136" t="str">
        <f ca="1">IF(AG$50="","",INDEX(Leverancer!BK:BK,ROW()-ROW(Leverancer!$AX$25)+1)*Leverancer!BK$56/1000)</f>
        <v/>
      </c>
      <c r="AH60" s="136" t="str">
        <f ca="1">IF(AH$50="","",INDEX(Leverancer!BL:BL,ROW()-ROW(Leverancer!$AX$25)+1)*Leverancer!BL$56/1000)</f>
        <v/>
      </c>
      <c r="AI60" s="136" t="str">
        <f ca="1">IF(AI$50="","",INDEX(Leverancer!BM:BM,ROW()-ROW(Leverancer!$AX$25)+1)*Leverancer!BM$56/1000)</f>
        <v/>
      </c>
      <c r="AJ60" s="136" t="str">
        <f ca="1">IF(AJ$50="","",INDEX(Leverancer!BN:BN,ROW()-ROW(Leverancer!$AX$25)+1)*Leverancer!BN$56/1000)</f>
        <v/>
      </c>
      <c r="AK60" s="136" t="str">
        <f ca="1">IF(AK$50="","",INDEX(Leverancer!BO:BO,ROW()-ROW(Leverancer!$AX$25)+1)*Leverancer!BO$56/1000)</f>
        <v/>
      </c>
      <c r="AL60" s="136" t="str">
        <f ca="1">IF(AL$50="","",INDEX(Leverancer!BP:BP,ROW()-ROW(Leverancer!$AX$25)+1)*Leverancer!BP$56/1000)</f>
        <v/>
      </c>
      <c r="AM60" s="136" t="str">
        <f ca="1">IF(AM$50="","",INDEX(Leverancer!BQ:BQ,ROW()-ROW(Leverancer!$AX$25)+1)*Leverancer!BQ$56/1000)</f>
        <v/>
      </c>
      <c r="AN60" s="136" t="str">
        <f>IF(AN$50="","",INDEX(Leverancer!BR:BR,ROW()-ROW(Leverancer!$AX$25)+1)*Leverancer!BR$56/1000)</f>
        <v/>
      </c>
      <c r="AO60" s="136" t="str">
        <f>IF(AO$50="","",INDEX(Leverancer!BS:BS,ROW()-ROW(Leverancer!$AX$25)+1)*Leverancer!BS$56/1000)</f>
        <v/>
      </c>
      <c r="AP60" s="136" t="str">
        <f>IF(AP$50="","",INDEX(Leverancer!BT:BT,ROW()-ROW(Leverancer!$AX$25)+1)*Leverancer!BT$56/1000)</f>
        <v/>
      </c>
      <c r="AQ60" s="136" t="str">
        <f>IF(AQ$50="","",INDEX(Leverancer!BU:BU,ROW()-ROW(Leverancer!$AX$25)+1)*Leverancer!BU$56/1000)</f>
        <v/>
      </c>
      <c r="AR60" s="136" t="str">
        <f>IF(AR$50="","",INDEX(Leverancer!BV:BV,ROW()-ROW(Leverancer!$AX$25)+1)*Leverancer!BV$56/1000)</f>
        <v/>
      </c>
      <c r="AS60" s="136" t="str">
        <f>IF(AS$50="","",INDEX(Leverancer!BW:BW,ROW()-ROW(Leverancer!$AX$25)+1)*Leverancer!BW$56/1000)</f>
        <v/>
      </c>
      <c r="AT60" s="136" t="str">
        <f>IF(AT$50="","",INDEX(Leverancer!BX:BX,ROW()-ROW(Leverancer!$AX$25)+1)*Leverancer!BX$56/1000)</f>
        <v/>
      </c>
      <c r="AU60" s="136" t="str">
        <f>IF(AU$50="","",INDEX(Leverancer!BY:BY,ROW()-ROW(Leverancer!$AX$25)+1)*Leverancer!BY$56/1000)</f>
        <v/>
      </c>
      <c r="AV60" s="136" t="str">
        <f>IF(AV$50="","",INDEX(Leverancer!BZ:BZ,ROW()-ROW(Leverancer!$AX$25)+1)*Leverancer!BZ$56/1000)</f>
        <v/>
      </c>
      <c r="AW60" s="136" t="str">
        <f>IF(AW$50="","",INDEX(Leverancer!CA:CA,ROW()-ROW(Leverancer!$AX$25)+1)*Leverancer!CA$56/1000)</f>
        <v/>
      </c>
      <c r="AX60" s="112"/>
      <c r="AY60" s="112"/>
      <c r="AZ60" s="109"/>
    </row>
    <row r="61" spans="14:52" ht="12.75" customHeight="1" x14ac:dyDescent="0.2">
      <c r="N61" s="107"/>
      <c r="O61" s="112"/>
      <c r="P61" s="112"/>
      <c r="Q61" s="138" t="str">
        <f>INDEX(Leverancer!$AR$1:$AR$1006,ROW()-ROW(Leverancer!$AX$25)+1)&amp;": "&amp;INDEX(Leverancer!$AS$1:$AS$1006,ROW()-ROW(Leverancer!$AX$25)+1)</f>
        <v xml:space="preserve">L9: </v>
      </c>
      <c r="R61" s="136"/>
      <c r="S61" s="141">
        <f t="shared" ca="1" si="10"/>
        <v>0</v>
      </c>
      <c r="T61" s="136">
        <f ca="1">IF(T$50="","",INDEX(Leverancer!AX:AX,ROW()-ROW(Leverancer!$AX$25)+1)*Leverancer!AX$56/1000)</f>
        <v>0</v>
      </c>
      <c r="U61" s="136">
        <f ca="1">IF(U$50="","",INDEX(Leverancer!AY:AY,ROW()-ROW(Leverancer!$AX$25)+1)*Leverancer!AY$56/1000)</f>
        <v>0</v>
      </c>
      <c r="V61" s="136">
        <f ca="1">IF(V$50="","",INDEX(Leverancer!AZ:AZ,ROW()-ROW(Leverancer!$AX$25)+1)*Leverancer!AZ$56/1000)</f>
        <v>0</v>
      </c>
      <c r="W61" s="136">
        <f ca="1">IF(W$50="","",INDEX(Leverancer!BA:BA,ROW()-ROW(Leverancer!$AX$25)+1)*Leverancer!BA$56/1000)</f>
        <v>0</v>
      </c>
      <c r="X61" s="136">
        <f ca="1">IF(X$50="","",INDEX(Leverancer!BB:BB,ROW()-ROW(Leverancer!$AX$25)+1)*Leverancer!BB$56/1000)</f>
        <v>0</v>
      </c>
      <c r="Y61" s="136" t="str">
        <f ca="1">IF(Y$50="","",INDEX(Leverancer!BC:BC,ROW()-ROW(Leverancer!$AX$25)+1)*Leverancer!BC$56/1000)</f>
        <v/>
      </c>
      <c r="Z61" s="136" t="str">
        <f ca="1">IF(Z$50="","",INDEX(Leverancer!BD:BD,ROW()-ROW(Leverancer!$AX$25)+1)*Leverancer!BD$56/1000)</f>
        <v/>
      </c>
      <c r="AA61" s="136" t="str">
        <f ca="1">IF(AA$50="","",INDEX(Leverancer!BE:BE,ROW()-ROW(Leverancer!$AX$25)+1)*Leverancer!BE$56/1000)</f>
        <v/>
      </c>
      <c r="AB61" s="136" t="str">
        <f ca="1">IF(AB$50="","",INDEX(Leverancer!BF:BF,ROW()-ROW(Leverancer!$AX$25)+1)*Leverancer!BF$56/1000)</f>
        <v/>
      </c>
      <c r="AC61" s="136" t="str">
        <f ca="1">IF(AC$50="","",INDEX(Leverancer!BG:BG,ROW()-ROW(Leverancer!$AX$25)+1)*Leverancer!BG$56/1000)</f>
        <v/>
      </c>
      <c r="AD61" s="136" t="str">
        <f ca="1">IF(AD$50="","",INDEX(Leverancer!BH:BH,ROW()-ROW(Leverancer!$AX$25)+1)*Leverancer!BH$56/1000)</f>
        <v/>
      </c>
      <c r="AE61" s="136" t="str">
        <f ca="1">IF(AE$50="","",INDEX(Leverancer!BI:BI,ROW()-ROW(Leverancer!$AX$25)+1)*Leverancer!BI$56/1000)</f>
        <v/>
      </c>
      <c r="AF61" s="136" t="str">
        <f ca="1">IF(AF$50="","",INDEX(Leverancer!BJ:BJ,ROW()-ROW(Leverancer!$AX$25)+1)*Leverancer!BJ$56/1000)</f>
        <v/>
      </c>
      <c r="AG61" s="136" t="str">
        <f ca="1">IF(AG$50="","",INDEX(Leverancer!BK:BK,ROW()-ROW(Leverancer!$AX$25)+1)*Leverancer!BK$56/1000)</f>
        <v/>
      </c>
      <c r="AH61" s="136" t="str">
        <f ca="1">IF(AH$50="","",INDEX(Leverancer!BL:BL,ROW()-ROW(Leverancer!$AX$25)+1)*Leverancer!BL$56/1000)</f>
        <v/>
      </c>
      <c r="AI61" s="136" t="str">
        <f ca="1">IF(AI$50="","",INDEX(Leverancer!BM:BM,ROW()-ROW(Leverancer!$AX$25)+1)*Leverancer!BM$56/1000)</f>
        <v/>
      </c>
      <c r="AJ61" s="136" t="str">
        <f ca="1">IF(AJ$50="","",INDEX(Leverancer!BN:BN,ROW()-ROW(Leverancer!$AX$25)+1)*Leverancer!BN$56/1000)</f>
        <v/>
      </c>
      <c r="AK61" s="136" t="str">
        <f ca="1">IF(AK$50="","",INDEX(Leverancer!BO:BO,ROW()-ROW(Leverancer!$AX$25)+1)*Leverancer!BO$56/1000)</f>
        <v/>
      </c>
      <c r="AL61" s="136" t="str">
        <f ca="1">IF(AL$50="","",INDEX(Leverancer!BP:BP,ROW()-ROW(Leverancer!$AX$25)+1)*Leverancer!BP$56/1000)</f>
        <v/>
      </c>
      <c r="AM61" s="136" t="str">
        <f ca="1">IF(AM$50="","",INDEX(Leverancer!BQ:BQ,ROW()-ROW(Leverancer!$AX$25)+1)*Leverancer!BQ$56/1000)</f>
        <v/>
      </c>
      <c r="AN61" s="136" t="str">
        <f>IF(AN$50="","",INDEX(Leverancer!BR:BR,ROW()-ROW(Leverancer!$AX$25)+1)*Leverancer!BR$56/1000)</f>
        <v/>
      </c>
      <c r="AO61" s="136" t="str">
        <f>IF(AO$50="","",INDEX(Leverancer!BS:BS,ROW()-ROW(Leverancer!$AX$25)+1)*Leverancer!BS$56/1000)</f>
        <v/>
      </c>
      <c r="AP61" s="136" t="str">
        <f>IF(AP$50="","",INDEX(Leverancer!BT:BT,ROW()-ROW(Leverancer!$AX$25)+1)*Leverancer!BT$56/1000)</f>
        <v/>
      </c>
      <c r="AQ61" s="136" t="str">
        <f>IF(AQ$50="","",INDEX(Leverancer!BU:BU,ROW()-ROW(Leverancer!$AX$25)+1)*Leverancer!BU$56/1000)</f>
        <v/>
      </c>
      <c r="AR61" s="136" t="str">
        <f>IF(AR$50="","",INDEX(Leverancer!BV:BV,ROW()-ROW(Leverancer!$AX$25)+1)*Leverancer!BV$56/1000)</f>
        <v/>
      </c>
      <c r="AS61" s="136" t="str">
        <f>IF(AS$50="","",INDEX(Leverancer!BW:BW,ROW()-ROW(Leverancer!$AX$25)+1)*Leverancer!BW$56/1000)</f>
        <v/>
      </c>
      <c r="AT61" s="136" t="str">
        <f>IF(AT$50="","",INDEX(Leverancer!BX:BX,ROW()-ROW(Leverancer!$AX$25)+1)*Leverancer!BX$56/1000)</f>
        <v/>
      </c>
      <c r="AU61" s="136" t="str">
        <f>IF(AU$50="","",INDEX(Leverancer!BY:BY,ROW()-ROW(Leverancer!$AX$25)+1)*Leverancer!BY$56/1000)</f>
        <v/>
      </c>
      <c r="AV61" s="136" t="str">
        <f>IF(AV$50="","",INDEX(Leverancer!BZ:BZ,ROW()-ROW(Leverancer!$AX$25)+1)*Leverancer!BZ$56/1000)</f>
        <v/>
      </c>
      <c r="AW61" s="136" t="str">
        <f>IF(AW$50="","",INDEX(Leverancer!CA:CA,ROW()-ROW(Leverancer!$AX$25)+1)*Leverancer!CA$56/1000)</f>
        <v/>
      </c>
      <c r="AX61" s="112"/>
      <c r="AY61" s="112"/>
      <c r="AZ61" s="109"/>
    </row>
    <row r="62" spans="14:52" ht="12.75" customHeight="1" x14ac:dyDescent="0.2">
      <c r="N62" s="107"/>
      <c r="O62" s="112"/>
      <c r="P62" s="112"/>
      <c r="Q62" s="138" t="str">
        <f>INDEX(Leverancer!$AR$1:$AR$1006,ROW()-ROW(Leverancer!$AX$25)+1)&amp;": "&amp;INDEX(Leverancer!$AS$1:$AS$1006,ROW()-ROW(Leverancer!$AX$25)+1)</f>
        <v xml:space="preserve">L10: </v>
      </c>
      <c r="R62" s="136"/>
      <c r="S62" s="141">
        <f t="shared" ca="1" si="10"/>
        <v>0</v>
      </c>
      <c r="T62" s="136">
        <f ca="1">IF(T$50="","",INDEX(Leverancer!AX:AX,ROW()-ROW(Leverancer!$AX$25)+1)*Leverancer!AX$56/1000)</f>
        <v>0</v>
      </c>
      <c r="U62" s="136">
        <f ca="1">IF(U$50="","",INDEX(Leverancer!AY:AY,ROW()-ROW(Leverancer!$AX$25)+1)*Leverancer!AY$56/1000)</f>
        <v>0</v>
      </c>
      <c r="V62" s="136">
        <f ca="1">IF(V$50="","",INDEX(Leverancer!AZ:AZ,ROW()-ROW(Leverancer!$AX$25)+1)*Leverancer!AZ$56/1000)</f>
        <v>0</v>
      </c>
      <c r="W62" s="136">
        <f ca="1">IF(W$50="","",INDEX(Leverancer!BA:BA,ROW()-ROW(Leverancer!$AX$25)+1)*Leverancer!BA$56/1000)</f>
        <v>0</v>
      </c>
      <c r="X62" s="136">
        <f ca="1">IF(X$50="","",INDEX(Leverancer!BB:BB,ROW()-ROW(Leverancer!$AX$25)+1)*Leverancer!BB$56/1000)</f>
        <v>0</v>
      </c>
      <c r="Y62" s="136" t="str">
        <f ca="1">IF(Y$50="","",INDEX(Leverancer!BC:BC,ROW()-ROW(Leverancer!$AX$25)+1)*Leverancer!BC$56/1000)</f>
        <v/>
      </c>
      <c r="Z62" s="136" t="str">
        <f ca="1">IF(Z$50="","",INDEX(Leverancer!BD:BD,ROW()-ROW(Leverancer!$AX$25)+1)*Leverancer!BD$56/1000)</f>
        <v/>
      </c>
      <c r="AA62" s="136" t="str">
        <f ca="1">IF(AA$50="","",INDEX(Leverancer!BE:BE,ROW()-ROW(Leverancer!$AX$25)+1)*Leverancer!BE$56/1000)</f>
        <v/>
      </c>
      <c r="AB62" s="136" t="str">
        <f ca="1">IF(AB$50="","",INDEX(Leverancer!BF:BF,ROW()-ROW(Leverancer!$AX$25)+1)*Leverancer!BF$56/1000)</f>
        <v/>
      </c>
      <c r="AC62" s="136" t="str">
        <f ca="1">IF(AC$50="","",INDEX(Leverancer!BG:BG,ROW()-ROW(Leverancer!$AX$25)+1)*Leverancer!BG$56/1000)</f>
        <v/>
      </c>
      <c r="AD62" s="136" t="str">
        <f ca="1">IF(AD$50="","",INDEX(Leverancer!BH:BH,ROW()-ROW(Leverancer!$AX$25)+1)*Leverancer!BH$56/1000)</f>
        <v/>
      </c>
      <c r="AE62" s="136" t="str">
        <f ca="1">IF(AE$50="","",INDEX(Leverancer!BI:BI,ROW()-ROW(Leverancer!$AX$25)+1)*Leverancer!BI$56/1000)</f>
        <v/>
      </c>
      <c r="AF62" s="136" t="str">
        <f ca="1">IF(AF$50="","",INDEX(Leverancer!BJ:BJ,ROW()-ROW(Leverancer!$AX$25)+1)*Leverancer!BJ$56/1000)</f>
        <v/>
      </c>
      <c r="AG62" s="136" t="str">
        <f ca="1">IF(AG$50="","",INDEX(Leverancer!BK:BK,ROW()-ROW(Leverancer!$AX$25)+1)*Leverancer!BK$56/1000)</f>
        <v/>
      </c>
      <c r="AH62" s="136" t="str">
        <f ca="1">IF(AH$50="","",INDEX(Leverancer!BL:BL,ROW()-ROW(Leverancer!$AX$25)+1)*Leverancer!BL$56/1000)</f>
        <v/>
      </c>
      <c r="AI62" s="136" t="str">
        <f ca="1">IF(AI$50="","",INDEX(Leverancer!BM:BM,ROW()-ROW(Leverancer!$AX$25)+1)*Leverancer!BM$56/1000)</f>
        <v/>
      </c>
      <c r="AJ62" s="136" t="str">
        <f ca="1">IF(AJ$50="","",INDEX(Leverancer!BN:BN,ROW()-ROW(Leverancer!$AX$25)+1)*Leverancer!BN$56/1000)</f>
        <v/>
      </c>
      <c r="AK62" s="136" t="str">
        <f ca="1">IF(AK$50="","",INDEX(Leverancer!BO:BO,ROW()-ROW(Leverancer!$AX$25)+1)*Leverancer!BO$56/1000)</f>
        <v/>
      </c>
      <c r="AL62" s="136" t="str">
        <f ca="1">IF(AL$50="","",INDEX(Leverancer!BP:BP,ROW()-ROW(Leverancer!$AX$25)+1)*Leverancer!BP$56/1000)</f>
        <v/>
      </c>
      <c r="AM62" s="136" t="str">
        <f ca="1">IF(AM$50="","",INDEX(Leverancer!BQ:BQ,ROW()-ROW(Leverancer!$AX$25)+1)*Leverancer!BQ$56/1000)</f>
        <v/>
      </c>
      <c r="AN62" s="136" t="str">
        <f>IF(AN$50="","",INDEX(Leverancer!BR:BR,ROW()-ROW(Leverancer!$AX$25)+1)*Leverancer!BR$56/1000)</f>
        <v/>
      </c>
      <c r="AO62" s="136" t="str">
        <f>IF(AO$50="","",INDEX(Leverancer!BS:BS,ROW()-ROW(Leverancer!$AX$25)+1)*Leverancer!BS$56/1000)</f>
        <v/>
      </c>
      <c r="AP62" s="136" t="str">
        <f>IF(AP$50="","",INDEX(Leverancer!BT:BT,ROW()-ROW(Leverancer!$AX$25)+1)*Leverancer!BT$56/1000)</f>
        <v/>
      </c>
      <c r="AQ62" s="136" t="str">
        <f>IF(AQ$50="","",INDEX(Leverancer!BU:BU,ROW()-ROW(Leverancer!$AX$25)+1)*Leverancer!BU$56/1000)</f>
        <v/>
      </c>
      <c r="AR62" s="136" t="str">
        <f>IF(AR$50="","",INDEX(Leverancer!BV:BV,ROW()-ROW(Leverancer!$AX$25)+1)*Leverancer!BV$56/1000)</f>
        <v/>
      </c>
      <c r="AS62" s="136" t="str">
        <f>IF(AS$50="","",INDEX(Leverancer!BW:BW,ROW()-ROW(Leverancer!$AX$25)+1)*Leverancer!BW$56/1000)</f>
        <v/>
      </c>
      <c r="AT62" s="136" t="str">
        <f>IF(AT$50="","",INDEX(Leverancer!BX:BX,ROW()-ROW(Leverancer!$AX$25)+1)*Leverancer!BX$56/1000)</f>
        <v/>
      </c>
      <c r="AU62" s="136" t="str">
        <f>IF(AU$50="","",INDEX(Leverancer!BY:BY,ROW()-ROW(Leverancer!$AX$25)+1)*Leverancer!BY$56/1000)</f>
        <v/>
      </c>
      <c r="AV62" s="136" t="str">
        <f>IF(AV$50="","",INDEX(Leverancer!BZ:BZ,ROW()-ROW(Leverancer!$AX$25)+1)*Leverancer!BZ$56/1000)</f>
        <v/>
      </c>
      <c r="AW62" s="136" t="str">
        <f>IF(AW$50="","",INDEX(Leverancer!CA:CA,ROW()-ROW(Leverancer!$AX$25)+1)*Leverancer!CA$56/1000)</f>
        <v/>
      </c>
      <c r="AX62" s="112"/>
      <c r="AY62" s="112"/>
      <c r="AZ62" s="109"/>
    </row>
    <row r="63" spans="14:52" ht="12.75" customHeight="1" x14ac:dyDescent="0.2">
      <c r="N63" s="107"/>
      <c r="O63" s="112"/>
      <c r="P63" s="112"/>
      <c r="Q63" s="138" t="str">
        <f>INDEX(Leverancer!$AR$1:$AR$1006,ROW()-ROW(Leverancer!$AX$25)+1)&amp;": "&amp;INDEX(Leverancer!$AS$1:$AS$1006,ROW()-ROW(Leverancer!$AX$25)+1)</f>
        <v xml:space="preserve">L11: </v>
      </c>
      <c r="R63" s="136"/>
      <c r="S63" s="141">
        <f t="shared" ca="1" si="10"/>
        <v>0</v>
      </c>
      <c r="T63" s="136">
        <f ca="1">IF(T$50="","",INDEX(Leverancer!AX:AX,ROW()-ROW(Leverancer!$AX$25)+1)*Leverancer!AX$56/1000)</f>
        <v>0</v>
      </c>
      <c r="U63" s="136">
        <f ca="1">IF(U$50="","",INDEX(Leverancer!AY:AY,ROW()-ROW(Leverancer!$AX$25)+1)*Leverancer!AY$56/1000)</f>
        <v>0</v>
      </c>
      <c r="V63" s="136">
        <f ca="1">IF(V$50="","",INDEX(Leverancer!AZ:AZ,ROW()-ROW(Leverancer!$AX$25)+1)*Leverancer!AZ$56/1000)</f>
        <v>0</v>
      </c>
      <c r="W63" s="136">
        <f ca="1">IF(W$50="","",INDEX(Leverancer!BA:BA,ROW()-ROW(Leverancer!$AX$25)+1)*Leverancer!BA$56/1000)</f>
        <v>0</v>
      </c>
      <c r="X63" s="136">
        <f ca="1">IF(X$50="","",INDEX(Leverancer!BB:BB,ROW()-ROW(Leverancer!$AX$25)+1)*Leverancer!BB$56/1000)</f>
        <v>0</v>
      </c>
      <c r="Y63" s="136" t="str">
        <f ca="1">IF(Y$50="","",INDEX(Leverancer!BC:BC,ROW()-ROW(Leverancer!$AX$25)+1)*Leverancer!BC$56/1000)</f>
        <v/>
      </c>
      <c r="Z63" s="136" t="str">
        <f ca="1">IF(Z$50="","",INDEX(Leverancer!BD:BD,ROW()-ROW(Leverancer!$AX$25)+1)*Leverancer!BD$56/1000)</f>
        <v/>
      </c>
      <c r="AA63" s="136" t="str">
        <f ca="1">IF(AA$50="","",INDEX(Leverancer!BE:BE,ROW()-ROW(Leverancer!$AX$25)+1)*Leverancer!BE$56/1000)</f>
        <v/>
      </c>
      <c r="AB63" s="136" t="str">
        <f ca="1">IF(AB$50="","",INDEX(Leverancer!BF:BF,ROW()-ROW(Leverancer!$AX$25)+1)*Leverancer!BF$56/1000)</f>
        <v/>
      </c>
      <c r="AC63" s="136" t="str">
        <f ca="1">IF(AC$50="","",INDEX(Leverancer!BG:BG,ROW()-ROW(Leverancer!$AX$25)+1)*Leverancer!BG$56/1000)</f>
        <v/>
      </c>
      <c r="AD63" s="136" t="str">
        <f ca="1">IF(AD$50="","",INDEX(Leverancer!BH:BH,ROW()-ROW(Leverancer!$AX$25)+1)*Leverancer!BH$56/1000)</f>
        <v/>
      </c>
      <c r="AE63" s="136" t="str">
        <f ca="1">IF(AE$50="","",INDEX(Leverancer!BI:BI,ROW()-ROW(Leverancer!$AX$25)+1)*Leverancer!BI$56/1000)</f>
        <v/>
      </c>
      <c r="AF63" s="136" t="str">
        <f ca="1">IF(AF$50="","",INDEX(Leverancer!BJ:BJ,ROW()-ROW(Leverancer!$AX$25)+1)*Leverancer!BJ$56/1000)</f>
        <v/>
      </c>
      <c r="AG63" s="136" t="str">
        <f ca="1">IF(AG$50="","",INDEX(Leverancer!BK:BK,ROW()-ROW(Leverancer!$AX$25)+1)*Leverancer!BK$56/1000)</f>
        <v/>
      </c>
      <c r="AH63" s="136" t="str">
        <f ca="1">IF(AH$50="","",INDEX(Leverancer!BL:BL,ROW()-ROW(Leverancer!$AX$25)+1)*Leverancer!BL$56/1000)</f>
        <v/>
      </c>
      <c r="AI63" s="136" t="str">
        <f ca="1">IF(AI$50="","",INDEX(Leverancer!BM:BM,ROW()-ROW(Leverancer!$AX$25)+1)*Leverancer!BM$56/1000)</f>
        <v/>
      </c>
      <c r="AJ63" s="136" t="str">
        <f ca="1">IF(AJ$50="","",INDEX(Leverancer!BN:BN,ROW()-ROW(Leverancer!$AX$25)+1)*Leverancer!BN$56/1000)</f>
        <v/>
      </c>
      <c r="AK63" s="136" t="str">
        <f ca="1">IF(AK$50="","",INDEX(Leverancer!BO:BO,ROW()-ROW(Leverancer!$AX$25)+1)*Leverancer!BO$56/1000)</f>
        <v/>
      </c>
      <c r="AL63" s="136" t="str">
        <f ca="1">IF(AL$50="","",INDEX(Leverancer!BP:BP,ROW()-ROW(Leverancer!$AX$25)+1)*Leverancer!BP$56/1000)</f>
        <v/>
      </c>
      <c r="AM63" s="136" t="str">
        <f ca="1">IF(AM$50="","",INDEX(Leverancer!BQ:BQ,ROW()-ROW(Leverancer!$AX$25)+1)*Leverancer!BQ$56/1000)</f>
        <v/>
      </c>
      <c r="AN63" s="136" t="str">
        <f>IF(AN$50="","",INDEX(Leverancer!BR:BR,ROW()-ROW(Leverancer!$AX$25)+1)*Leverancer!BR$56/1000)</f>
        <v/>
      </c>
      <c r="AO63" s="136" t="str">
        <f>IF(AO$50="","",INDEX(Leverancer!BS:BS,ROW()-ROW(Leverancer!$AX$25)+1)*Leverancer!BS$56/1000)</f>
        <v/>
      </c>
      <c r="AP63" s="136" t="str">
        <f>IF(AP$50="","",INDEX(Leverancer!BT:BT,ROW()-ROW(Leverancer!$AX$25)+1)*Leverancer!BT$56/1000)</f>
        <v/>
      </c>
      <c r="AQ63" s="136" t="str">
        <f>IF(AQ$50="","",INDEX(Leverancer!BU:BU,ROW()-ROW(Leverancer!$AX$25)+1)*Leverancer!BU$56/1000)</f>
        <v/>
      </c>
      <c r="AR63" s="136" t="str">
        <f>IF(AR$50="","",INDEX(Leverancer!BV:BV,ROW()-ROW(Leverancer!$AX$25)+1)*Leverancer!BV$56/1000)</f>
        <v/>
      </c>
      <c r="AS63" s="136" t="str">
        <f>IF(AS$50="","",INDEX(Leverancer!BW:BW,ROW()-ROW(Leverancer!$AX$25)+1)*Leverancer!BW$56/1000)</f>
        <v/>
      </c>
      <c r="AT63" s="136" t="str">
        <f>IF(AT$50="","",INDEX(Leverancer!BX:BX,ROW()-ROW(Leverancer!$AX$25)+1)*Leverancer!BX$56/1000)</f>
        <v/>
      </c>
      <c r="AU63" s="136" t="str">
        <f>IF(AU$50="","",INDEX(Leverancer!BY:BY,ROW()-ROW(Leverancer!$AX$25)+1)*Leverancer!BY$56/1000)</f>
        <v/>
      </c>
      <c r="AV63" s="136" t="str">
        <f>IF(AV$50="","",INDEX(Leverancer!BZ:BZ,ROW()-ROW(Leverancer!$AX$25)+1)*Leverancer!BZ$56/1000)</f>
        <v/>
      </c>
      <c r="AW63" s="136" t="str">
        <f>IF(AW$50="","",INDEX(Leverancer!CA:CA,ROW()-ROW(Leverancer!$AX$25)+1)*Leverancer!CA$56/1000)</f>
        <v/>
      </c>
      <c r="AX63" s="112"/>
      <c r="AY63" s="112"/>
      <c r="AZ63" s="109"/>
    </row>
    <row r="64" spans="14:52" ht="12.75" customHeight="1" x14ac:dyDescent="0.2">
      <c r="N64" s="107"/>
      <c r="O64" s="112"/>
      <c r="P64" s="112"/>
      <c r="Q64" s="138" t="str">
        <f>INDEX(Leverancer!$AR$1:$AR$1006,ROW()-ROW(Leverancer!$AX$25)+1)&amp;": "&amp;INDEX(Leverancer!$AS$1:$AS$1006,ROW()-ROW(Leverancer!$AX$25)+1)</f>
        <v xml:space="preserve">L12: </v>
      </c>
      <c r="R64" s="136"/>
      <c r="S64" s="141">
        <f t="shared" ca="1" si="10"/>
        <v>0</v>
      </c>
      <c r="T64" s="136">
        <f ca="1">IF(T$50="","",INDEX(Leverancer!AX:AX,ROW()-ROW(Leverancer!$AX$25)+1)*Leverancer!AX$56/1000)</f>
        <v>0</v>
      </c>
      <c r="U64" s="136">
        <f ca="1">IF(U$50="","",INDEX(Leverancer!AY:AY,ROW()-ROW(Leverancer!$AX$25)+1)*Leverancer!AY$56/1000)</f>
        <v>0</v>
      </c>
      <c r="V64" s="136">
        <f ca="1">IF(V$50="","",INDEX(Leverancer!AZ:AZ,ROW()-ROW(Leverancer!$AX$25)+1)*Leverancer!AZ$56/1000)</f>
        <v>0</v>
      </c>
      <c r="W64" s="136">
        <f ca="1">IF(W$50="","",INDEX(Leverancer!BA:BA,ROW()-ROW(Leverancer!$AX$25)+1)*Leverancer!BA$56/1000)</f>
        <v>0</v>
      </c>
      <c r="X64" s="136">
        <f ca="1">IF(X$50="","",INDEX(Leverancer!BB:BB,ROW()-ROW(Leverancer!$AX$25)+1)*Leverancer!BB$56/1000)</f>
        <v>0</v>
      </c>
      <c r="Y64" s="136" t="str">
        <f ca="1">IF(Y$50="","",INDEX(Leverancer!BC:BC,ROW()-ROW(Leverancer!$AX$25)+1)*Leverancer!BC$56/1000)</f>
        <v/>
      </c>
      <c r="Z64" s="136" t="str">
        <f ca="1">IF(Z$50="","",INDEX(Leverancer!BD:BD,ROW()-ROW(Leverancer!$AX$25)+1)*Leverancer!BD$56/1000)</f>
        <v/>
      </c>
      <c r="AA64" s="136" t="str">
        <f ca="1">IF(AA$50="","",INDEX(Leverancer!BE:BE,ROW()-ROW(Leverancer!$AX$25)+1)*Leverancer!BE$56/1000)</f>
        <v/>
      </c>
      <c r="AB64" s="136" t="str">
        <f ca="1">IF(AB$50="","",INDEX(Leverancer!BF:BF,ROW()-ROW(Leverancer!$AX$25)+1)*Leverancer!BF$56/1000)</f>
        <v/>
      </c>
      <c r="AC64" s="136" t="str">
        <f ca="1">IF(AC$50="","",INDEX(Leverancer!BG:BG,ROW()-ROW(Leverancer!$AX$25)+1)*Leverancer!BG$56/1000)</f>
        <v/>
      </c>
      <c r="AD64" s="136" t="str">
        <f ca="1">IF(AD$50="","",INDEX(Leverancer!BH:BH,ROW()-ROW(Leverancer!$AX$25)+1)*Leverancer!BH$56/1000)</f>
        <v/>
      </c>
      <c r="AE64" s="136" t="str">
        <f ca="1">IF(AE$50="","",INDEX(Leverancer!BI:BI,ROW()-ROW(Leverancer!$AX$25)+1)*Leverancer!BI$56/1000)</f>
        <v/>
      </c>
      <c r="AF64" s="136" t="str">
        <f ca="1">IF(AF$50="","",INDEX(Leverancer!BJ:BJ,ROW()-ROW(Leverancer!$AX$25)+1)*Leverancer!BJ$56/1000)</f>
        <v/>
      </c>
      <c r="AG64" s="136" t="str">
        <f ca="1">IF(AG$50="","",INDEX(Leverancer!BK:BK,ROW()-ROW(Leverancer!$AX$25)+1)*Leverancer!BK$56/1000)</f>
        <v/>
      </c>
      <c r="AH64" s="136" t="str">
        <f ca="1">IF(AH$50="","",INDEX(Leverancer!BL:BL,ROW()-ROW(Leverancer!$AX$25)+1)*Leverancer!BL$56/1000)</f>
        <v/>
      </c>
      <c r="AI64" s="136" t="str">
        <f ca="1">IF(AI$50="","",INDEX(Leverancer!BM:BM,ROW()-ROW(Leverancer!$AX$25)+1)*Leverancer!BM$56/1000)</f>
        <v/>
      </c>
      <c r="AJ64" s="136" t="str">
        <f ca="1">IF(AJ$50="","",INDEX(Leverancer!BN:BN,ROW()-ROW(Leverancer!$AX$25)+1)*Leverancer!BN$56/1000)</f>
        <v/>
      </c>
      <c r="AK64" s="136" t="str">
        <f ca="1">IF(AK$50="","",INDEX(Leverancer!BO:BO,ROW()-ROW(Leverancer!$AX$25)+1)*Leverancer!BO$56/1000)</f>
        <v/>
      </c>
      <c r="AL64" s="136" t="str">
        <f ca="1">IF(AL$50="","",INDEX(Leverancer!BP:BP,ROW()-ROW(Leverancer!$AX$25)+1)*Leverancer!BP$56/1000)</f>
        <v/>
      </c>
      <c r="AM64" s="136" t="str">
        <f ca="1">IF(AM$50="","",INDEX(Leverancer!BQ:BQ,ROW()-ROW(Leverancer!$AX$25)+1)*Leverancer!BQ$56/1000)</f>
        <v/>
      </c>
      <c r="AN64" s="136" t="str">
        <f>IF(AN$50="","",INDEX(Leverancer!BR:BR,ROW()-ROW(Leverancer!$AX$25)+1)*Leverancer!BR$56/1000)</f>
        <v/>
      </c>
      <c r="AO64" s="136" t="str">
        <f>IF(AO$50="","",INDEX(Leverancer!BS:BS,ROW()-ROW(Leverancer!$AX$25)+1)*Leverancer!BS$56/1000)</f>
        <v/>
      </c>
      <c r="AP64" s="136" t="str">
        <f>IF(AP$50="","",INDEX(Leverancer!BT:BT,ROW()-ROW(Leverancer!$AX$25)+1)*Leverancer!BT$56/1000)</f>
        <v/>
      </c>
      <c r="AQ64" s="136" t="str">
        <f>IF(AQ$50="","",INDEX(Leverancer!BU:BU,ROW()-ROW(Leverancer!$AX$25)+1)*Leverancer!BU$56/1000)</f>
        <v/>
      </c>
      <c r="AR64" s="136" t="str">
        <f>IF(AR$50="","",INDEX(Leverancer!BV:BV,ROW()-ROW(Leverancer!$AX$25)+1)*Leverancer!BV$56/1000)</f>
        <v/>
      </c>
      <c r="AS64" s="136" t="str">
        <f>IF(AS$50="","",INDEX(Leverancer!BW:BW,ROW()-ROW(Leverancer!$AX$25)+1)*Leverancer!BW$56/1000)</f>
        <v/>
      </c>
      <c r="AT64" s="136" t="str">
        <f>IF(AT$50="","",INDEX(Leverancer!BX:BX,ROW()-ROW(Leverancer!$AX$25)+1)*Leverancer!BX$56/1000)</f>
        <v/>
      </c>
      <c r="AU64" s="136" t="str">
        <f>IF(AU$50="","",INDEX(Leverancer!BY:BY,ROW()-ROW(Leverancer!$AX$25)+1)*Leverancer!BY$56/1000)</f>
        <v/>
      </c>
      <c r="AV64" s="136" t="str">
        <f>IF(AV$50="","",INDEX(Leverancer!BZ:BZ,ROW()-ROW(Leverancer!$AX$25)+1)*Leverancer!BZ$56/1000)</f>
        <v/>
      </c>
      <c r="AW64" s="136" t="str">
        <f>IF(AW$50="","",INDEX(Leverancer!CA:CA,ROW()-ROW(Leverancer!$AX$25)+1)*Leverancer!CA$56/1000)</f>
        <v/>
      </c>
      <c r="AX64" s="112"/>
      <c r="AY64" s="112"/>
      <c r="AZ64" s="109"/>
    </row>
    <row r="65" spans="1:52" ht="12.75" customHeight="1" x14ac:dyDescent="0.2">
      <c r="N65" s="107"/>
      <c r="O65" s="112"/>
      <c r="P65" s="112"/>
      <c r="Q65" s="138" t="str">
        <f>INDEX(Leverancer!$AR$1:$AR$1006,ROW()-ROW(Leverancer!$AX$25)+1)&amp;": "&amp;INDEX(Leverancer!$AS$1:$AS$1006,ROW()-ROW(Leverancer!$AX$25)+1)</f>
        <v xml:space="preserve">L13: </v>
      </c>
      <c r="R65" s="136"/>
      <c r="S65" s="141">
        <f t="shared" ca="1" si="10"/>
        <v>0</v>
      </c>
      <c r="T65" s="136">
        <f ca="1">IF(T$50="","",INDEX(Leverancer!AX:AX,ROW()-ROW(Leverancer!$AX$25)+1)*Leverancer!AX$56/1000)</f>
        <v>0</v>
      </c>
      <c r="U65" s="136">
        <f ca="1">IF(U$50="","",INDEX(Leverancer!AY:AY,ROW()-ROW(Leverancer!$AX$25)+1)*Leverancer!AY$56/1000)</f>
        <v>0</v>
      </c>
      <c r="V65" s="136">
        <f ca="1">IF(V$50="","",INDEX(Leverancer!AZ:AZ,ROW()-ROW(Leverancer!$AX$25)+1)*Leverancer!AZ$56/1000)</f>
        <v>0</v>
      </c>
      <c r="W65" s="136">
        <f ca="1">IF(W$50="","",INDEX(Leverancer!BA:BA,ROW()-ROW(Leverancer!$AX$25)+1)*Leverancer!BA$56/1000)</f>
        <v>0</v>
      </c>
      <c r="X65" s="136">
        <f ca="1">IF(X$50="","",INDEX(Leverancer!BB:BB,ROW()-ROW(Leverancer!$AX$25)+1)*Leverancer!BB$56/1000)</f>
        <v>0</v>
      </c>
      <c r="Y65" s="136" t="str">
        <f ca="1">IF(Y$50="","",INDEX(Leverancer!BC:BC,ROW()-ROW(Leverancer!$AX$25)+1)*Leverancer!BC$56/1000)</f>
        <v/>
      </c>
      <c r="Z65" s="136" t="str">
        <f ca="1">IF(Z$50="","",INDEX(Leverancer!BD:BD,ROW()-ROW(Leverancer!$AX$25)+1)*Leverancer!BD$56/1000)</f>
        <v/>
      </c>
      <c r="AA65" s="136" t="str">
        <f ca="1">IF(AA$50="","",INDEX(Leverancer!BE:BE,ROW()-ROW(Leverancer!$AX$25)+1)*Leverancer!BE$56/1000)</f>
        <v/>
      </c>
      <c r="AB65" s="136" t="str">
        <f ca="1">IF(AB$50="","",INDEX(Leverancer!BF:BF,ROW()-ROW(Leverancer!$AX$25)+1)*Leverancer!BF$56/1000)</f>
        <v/>
      </c>
      <c r="AC65" s="136" t="str">
        <f ca="1">IF(AC$50="","",INDEX(Leverancer!BG:BG,ROW()-ROW(Leverancer!$AX$25)+1)*Leverancer!BG$56/1000)</f>
        <v/>
      </c>
      <c r="AD65" s="136" t="str">
        <f ca="1">IF(AD$50="","",INDEX(Leverancer!BH:BH,ROW()-ROW(Leverancer!$AX$25)+1)*Leverancer!BH$56/1000)</f>
        <v/>
      </c>
      <c r="AE65" s="136" t="str">
        <f ca="1">IF(AE$50="","",INDEX(Leverancer!BI:BI,ROW()-ROW(Leverancer!$AX$25)+1)*Leverancer!BI$56/1000)</f>
        <v/>
      </c>
      <c r="AF65" s="136" t="str">
        <f ca="1">IF(AF$50="","",INDEX(Leverancer!BJ:BJ,ROW()-ROW(Leverancer!$AX$25)+1)*Leverancer!BJ$56/1000)</f>
        <v/>
      </c>
      <c r="AG65" s="136" t="str">
        <f ca="1">IF(AG$50="","",INDEX(Leverancer!BK:BK,ROW()-ROW(Leverancer!$AX$25)+1)*Leverancer!BK$56/1000)</f>
        <v/>
      </c>
      <c r="AH65" s="136" t="str">
        <f ca="1">IF(AH$50="","",INDEX(Leverancer!BL:BL,ROW()-ROW(Leverancer!$AX$25)+1)*Leverancer!BL$56/1000)</f>
        <v/>
      </c>
      <c r="AI65" s="136" t="str">
        <f ca="1">IF(AI$50="","",INDEX(Leverancer!BM:BM,ROW()-ROW(Leverancer!$AX$25)+1)*Leverancer!BM$56/1000)</f>
        <v/>
      </c>
      <c r="AJ65" s="136" t="str">
        <f ca="1">IF(AJ$50="","",INDEX(Leverancer!BN:BN,ROW()-ROW(Leverancer!$AX$25)+1)*Leverancer!BN$56/1000)</f>
        <v/>
      </c>
      <c r="AK65" s="136" t="str">
        <f ca="1">IF(AK$50="","",INDEX(Leverancer!BO:BO,ROW()-ROW(Leverancer!$AX$25)+1)*Leverancer!BO$56/1000)</f>
        <v/>
      </c>
      <c r="AL65" s="136" t="str">
        <f ca="1">IF(AL$50="","",INDEX(Leverancer!BP:BP,ROW()-ROW(Leverancer!$AX$25)+1)*Leverancer!BP$56/1000)</f>
        <v/>
      </c>
      <c r="AM65" s="136" t="str">
        <f ca="1">IF(AM$50="","",INDEX(Leverancer!BQ:BQ,ROW()-ROW(Leverancer!$AX$25)+1)*Leverancer!BQ$56/1000)</f>
        <v/>
      </c>
      <c r="AN65" s="136" t="str">
        <f>IF(AN$50="","",INDEX(Leverancer!BR:BR,ROW()-ROW(Leverancer!$AX$25)+1)*Leverancer!BR$56/1000)</f>
        <v/>
      </c>
      <c r="AO65" s="136" t="str">
        <f>IF(AO$50="","",INDEX(Leverancer!BS:BS,ROW()-ROW(Leverancer!$AX$25)+1)*Leverancer!BS$56/1000)</f>
        <v/>
      </c>
      <c r="AP65" s="136" t="str">
        <f>IF(AP$50="","",INDEX(Leverancer!BT:BT,ROW()-ROW(Leverancer!$AX$25)+1)*Leverancer!BT$56/1000)</f>
        <v/>
      </c>
      <c r="AQ65" s="136" t="str">
        <f>IF(AQ$50="","",INDEX(Leverancer!BU:BU,ROW()-ROW(Leverancer!$AX$25)+1)*Leverancer!BU$56/1000)</f>
        <v/>
      </c>
      <c r="AR65" s="136" t="str">
        <f>IF(AR$50="","",INDEX(Leverancer!BV:BV,ROW()-ROW(Leverancer!$AX$25)+1)*Leverancer!BV$56/1000)</f>
        <v/>
      </c>
      <c r="AS65" s="136" t="str">
        <f>IF(AS$50="","",INDEX(Leverancer!BW:BW,ROW()-ROW(Leverancer!$AX$25)+1)*Leverancer!BW$56/1000)</f>
        <v/>
      </c>
      <c r="AT65" s="136" t="str">
        <f>IF(AT$50="","",INDEX(Leverancer!BX:BX,ROW()-ROW(Leverancer!$AX$25)+1)*Leverancer!BX$56/1000)</f>
        <v/>
      </c>
      <c r="AU65" s="136" t="str">
        <f>IF(AU$50="","",INDEX(Leverancer!BY:BY,ROW()-ROW(Leverancer!$AX$25)+1)*Leverancer!BY$56/1000)</f>
        <v/>
      </c>
      <c r="AV65" s="136" t="str">
        <f>IF(AV$50="","",INDEX(Leverancer!BZ:BZ,ROW()-ROW(Leverancer!$AX$25)+1)*Leverancer!BZ$56/1000)</f>
        <v/>
      </c>
      <c r="AW65" s="136" t="str">
        <f>IF(AW$50="","",INDEX(Leverancer!CA:CA,ROW()-ROW(Leverancer!$AX$25)+1)*Leverancer!CA$56/1000)</f>
        <v/>
      </c>
      <c r="AX65" s="112"/>
      <c r="AY65" s="112"/>
      <c r="AZ65" s="109"/>
    </row>
    <row r="66" spans="1:52" ht="12.75" customHeight="1" x14ac:dyDescent="0.2">
      <c r="N66" s="107"/>
      <c r="O66" s="112"/>
      <c r="P66" s="112"/>
      <c r="Q66" s="138" t="str">
        <f>INDEX(Leverancer!$AR$1:$AR$1006,ROW()-ROW(Leverancer!$AX$25)+1)&amp;": "&amp;INDEX(Leverancer!$AS$1:$AS$1006,ROW()-ROW(Leverancer!$AX$25)+1)</f>
        <v xml:space="preserve">L14: </v>
      </c>
      <c r="R66" s="136"/>
      <c r="S66" s="141">
        <f t="shared" ca="1" si="10"/>
        <v>0</v>
      </c>
      <c r="T66" s="136">
        <f ca="1">IF(T$50="","",INDEX(Leverancer!AX:AX,ROW()-ROW(Leverancer!$AX$25)+1)*Leverancer!AX$56/1000)</f>
        <v>0</v>
      </c>
      <c r="U66" s="136">
        <f ca="1">IF(U$50="","",INDEX(Leverancer!AY:AY,ROW()-ROW(Leverancer!$AX$25)+1)*Leverancer!AY$56/1000)</f>
        <v>0</v>
      </c>
      <c r="V66" s="136">
        <f ca="1">IF(V$50="","",INDEX(Leverancer!AZ:AZ,ROW()-ROW(Leverancer!$AX$25)+1)*Leverancer!AZ$56/1000)</f>
        <v>0</v>
      </c>
      <c r="W66" s="136">
        <f ca="1">IF(W$50="","",INDEX(Leverancer!BA:BA,ROW()-ROW(Leverancer!$AX$25)+1)*Leverancer!BA$56/1000)</f>
        <v>0</v>
      </c>
      <c r="X66" s="136">
        <f ca="1">IF(X$50="","",INDEX(Leverancer!BB:BB,ROW()-ROW(Leverancer!$AX$25)+1)*Leverancer!BB$56/1000)</f>
        <v>0</v>
      </c>
      <c r="Y66" s="136" t="str">
        <f ca="1">IF(Y$50="","",INDEX(Leverancer!BC:BC,ROW()-ROW(Leverancer!$AX$25)+1)*Leverancer!BC$56/1000)</f>
        <v/>
      </c>
      <c r="Z66" s="136" t="str">
        <f ca="1">IF(Z$50="","",INDEX(Leverancer!BD:BD,ROW()-ROW(Leverancer!$AX$25)+1)*Leverancer!BD$56/1000)</f>
        <v/>
      </c>
      <c r="AA66" s="136" t="str">
        <f ca="1">IF(AA$50="","",INDEX(Leverancer!BE:BE,ROW()-ROW(Leverancer!$AX$25)+1)*Leverancer!BE$56/1000)</f>
        <v/>
      </c>
      <c r="AB66" s="136" t="str">
        <f ca="1">IF(AB$50="","",INDEX(Leverancer!BF:BF,ROW()-ROW(Leverancer!$AX$25)+1)*Leverancer!BF$56/1000)</f>
        <v/>
      </c>
      <c r="AC66" s="136" t="str">
        <f ca="1">IF(AC$50="","",INDEX(Leverancer!BG:BG,ROW()-ROW(Leverancer!$AX$25)+1)*Leverancer!BG$56/1000)</f>
        <v/>
      </c>
      <c r="AD66" s="136" t="str">
        <f ca="1">IF(AD$50="","",INDEX(Leverancer!BH:BH,ROW()-ROW(Leverancer!$AX$25)+1)*Leverancer!BH$56/1000)</f>
        <v/>
      </c>
      <c r="AE66" s="136" t="str">
        <f ca="1">IF(AE$50="","",INDEX(Leverancer!BI:BI,ROW()-ROW(Leverancer!$AX$25)+1)*Leverancer!BI$56/1000)</f>
        <v/>
      </c>
      <c r="AF66" s="136" t="str">
        <f ca="1">IF(AF$50="","",INDEX(Leverancer!BJ:BJ,ROW()-ROW(Leverancer!$AX$25)+1)*Leverancer!BJ$56/1000)</f>
        <v/>
      </c>
      <c r="AG66" s="136" t="str">
        <f ca="1">IF(AG$50="","",INDEX(Leverancer!BK:BK,ROW()-ROW(Leverancer!$AX$25)+1)*Leverancer!BK$56/1000)</f>
        <v/>
      </c>
      <c r="AH66" s="136" t="str">
        <f ca="1">IF(AH$50="","",INDEX(Leverancer!BL:BL,ROW()-ROW(Leverancer!$AX$25)+1)*Leverancer!BL$56/1000)</f>
        <v/>
      </c>
      <c r="AI66" s="136" t="str">
        <f ca="1">IF(AI$50="","",INDEX(Leverancer!BM:BM,ROW()-ROW(Leverancer!$AX$25)+1)*Leverancer!BM$56/1000)</f>
        <v/>
      </c>
      <c r="AJ66" s="136" t="str">
        <f ca="1">IF(AJ$50="","",INDEX(Leverancer!BN:BN,ROW()-ROW(Leverancer!$AX$25)+1)*Leverancer!BN$56/1000)</f>
        <v/>
      </c>
      <c r="AK66" s="136" t="str">
        <f ca="1">IF(AK$50="","",INDEX(Leverancer!BO:BO,ROW()-ROW(Leverancer!$AX$25)+1)*Leverancer!BO$56/1000)</f>
        <v/>
      </c>
      <c r="AL66" s="136" t="str">
        <f ca="1">IF(AL$50="","",INDEX(Leverancer!BP:BP,ROW()-ROW(Leverancer!$AX$25)+1)*Leverancer!BP$56/1000)</f>
        <v/>
      </c>
      <c r="AM66" s="136" t="str">
        <f ca="1">IF(AM$50="","",INDEX(Leverancer!BQ:BQ,ROW()-ROW(Leverancer!$AX$25)+1)*Leverancer!BQ$56/1000)</f>
        <v/>
      </c>
      <c r="AN66" s="136" t="str">
        <f>IF(AN$50="","",INDEX(Leverancer!BR:BR,ROW()-ROW(Leverancer!$AX$25)+1)*Leverancer!BR$56/1000)</f>
        <v/>
      </c>
      <c r="AO66" s="136" t="str">
        <f>IF(AO$50="","",INDEX(Leverancer!BS:BS,ROW()-ROW(Leverancer!$AX$25)+1)*Leverancer!BS$56/1000)</f>
        <v/>
      </c>
      <c r="AP66" s="136" t="str">
        <f>IF(AP$50="","",INDEX(Leverancer!BT:BT,ROW()-ROW(Leverancer!$AX$25)+1)*Leverancer!BT$56/1000)</f>
        <v/>
      </c>
      <c r="AQ66" s="136" t="str">
        <f>IF(AQ$50="","",INDEX(Leverancer!BU:BU,ROW()-ROW(Leverancer!$AX$25)+1)*Leverancer!BU$56/1000)</f>
        <v/>
      </c>
      <c r="AR66" s="136" t="str">
        <f>IF(AR$50="","",INDEX(Leverancer!BV:BV,ROW()-ROW(Leverancer!$AX$25)+1)*Leverancer!BV$56/1000)</f>
        <v/>
      </c>
      <c r="AS66" s="136" t="str">
        <f>IF(AS$50="","",INDEX(Leverancer!BW:BW,ROW()-ROW(Leverancer!$AX$25)+1)*Leverancer!BW$56/1000)</f>
        <v/>
      </c>
      <c r="AT66" s="136" t="str">
        <f>IF(AT$50="","",INDEX(Leverancer!BX:BX,ROW()-ROW(Leverancer!$AX$25)+1)*Leverancer!BX$56/1000)</f>
        <v/>
      </c>
      <c r="AU66" s="136" t="str">
        <f>IF(AU$50="","",INDEX(Leverancer!BY:BY,ROW()-ROW(Leverancer!$AX$25)+1)*Leverancer!BY$56/1000)</f>
        <v/>
      </c>
      <c r="AV66" s="136" t="str">
        <f>IF(AV$50="","",INDEX(Leverancer!BZ:BZ,ROW()-ROW(Leverancer!$AX$25)+1)*Leverancer!BZ$56/1000)</f>
        <v/>
      </c>
      <c r="AW66" s="136" t="str">
        <f>IF(AW$50="","",INDEX(Leverancer!CA:CA,ROW()-ROW(Leverancer!$AX$25)+1)*Leverancer!CA$56/1000)</f>
        <v/>
      </c>
      <c r="AX66" s="112"/>
      <c r="AY66" s="112"/>
      <c r="AZ66" s="109"/>
    </row>
    <row r="67" spans="1:52" ht="12.75" customHeight="1" x14ac:dyDescent="0.2">
      <c r="N67" s="107"/>
      <c r="O67" s="112"/>
      <c r="P67" s="112"/>
      <c r="Q67" s="138" t="str">
        <f>INDEX(Leverancer!$AR$1:$AR$1006,ROW()-ROW(Leverancer!$AX$25)+1)&amp;": "&amp;INDEX(Leverancer!$AS$1:$AS$1006,ROW()-ROW(Leverancer!$AX$25)+1)</f>
        <v xml:space="preserve">L15: </v>
      </c>
      <c r="R67" s="136"/>
      <c r="S67" s="141">
        <f t="shared" ca="1" si="10"/>
        <v>0</v>
      </c>
      <c r="T67" s="136">
        <f ca="1">IF(T$50="","",INDEX(Leverancer!AX:AX,ROW()-ROW(Leverancer!$AX$25)+1)*Leverancer!AX$56/1000)</f>
        <v>0</v>
      </c>
      <c r="U67" s="136">
        <f ca="1">IF(U$50="","",INDEX(Leverancer!AY:AY,ROW()-ROW(Leverancer!$AX$25)+1)*Leverancer!AY$56/1000)</f>
        <v>0</v>
      </c>
      <c r="V67" s="136">
        <f ca="1">IF(V$50="","",INDEX(Leverancer!AZ:AZ,ROW()-ROW(Leverancer!$AX$25)+1)*Leverancer!AZ$56/1000)</f>
        <v>0</v>
      </c>
      <c r="W67" s="136">
        <f ca="1">IF(W$50="","",INDEX(Leverancer!BA:BA,ROW()-ROW(Leverancer!$AX$25)+1)*Leverancer!BA$56/1000)</f>
        <v>0</v>
      </c>
      <c r="X67" s="136">
        <f ca="1">IF(X$50="","",INDEX(Leverancer!BB:BB,ROW()-ROW(Leverancer!$AX$25)+1)*Leverancer!BB$56/1000)</f>
        <v>0</v>
      </c>
      <c r="Y67" s="136" t="str">
        <f ca="1">IF(Y$50="","",INDEX(Leverancer!BC:BC,ROW()-ROW(Leverancer!$AX$25)+1)*Leverancer!BC$56/1000)</f>
        <v/>
      </c>
      <c r="Z67" s="136" t="str">
        <f ca="1">IF(Z$50="","",INDEX(Leverancer!BD:BD,ROW()-ROW(Leverancer!$AX$25)+1)*Leverancer!BD$56/1000)</f>
        <v/>
      </c>
      <c r="AA67" s="136" t="str">
        <f ca="1">IF(AA$50="","",INDEX(Leverancer!BE:BE,ROW()-ROW(Leverancer!$AX$25)+1)*Leverancer!BE$56/1000)</f>
        <v/>
      </c>
      <c r="AB67" s="136" t="str">
        <f ca="1">IF(AB$50="","",INDEX(Leverancer!BF:BF,ROW()-ROW(Leverancer!$AX$25)+1)*Leverancer!BF$56/1000)</f>
        <v/>
      </c>
      <c r="AC67" s="136" t="str">
        <f ca="1">IF(AC$50="","",INDEX(Leverancer!BG:BG,ROW()-ROW(Leverancer!$AX$25)+1)*Leverancer!BG$56/1000)</f>
        <v/>
      </c>
      <c r="AD67" s="136" t="str">
        <f ca="1">IF(AD$50="","",INDEX(Leverancer!BH:BH,ROW()-ROW(Leverancer!$AX$25)+1)*Leverancer!BH$56/1000)</f>
        <v/>
      </c>
      <c r="AE67" s="136" t="str">
        <f ca="1">IF(AE$50="","",INDEX(Leverancer!BI:BI,ROW()-ROW(Leverancer!$AX$25)+1)*Leverancer!BI$56/1000)</f>
        <v/>
      </c>
      <c r="AF67" s="136" t="str">
        <f ca="1">IF(AF$50="","",INDEX(Leverancer!BJ:BJ,ROW()-ROW(Leverancer!$AX$25)+1)*Leverancer!BJ$56/1000)</f>
        <v/>
      </c>
      <c r="AG67" s="136" t="str">
        <f ca="1">IF(AG$50="","",INDEX(Leverancer!BK:BK,ROW()-ROW(Leverancer!$AX$25)+1)*Leverancer!BK$56/1000)</f>
        <v/>
      </c>
      <c r="AH67" s="136" t="str">
        <f ca="1">IF(AH$50="","",INDEX(Leverancer!BL:BL,ROW()-ROW(Leverancer!$AX$25)+1)*Leverancer!BL$56/1000)</f>
        <v/>
      </c>
      <c r="AI67" s="136" t="str">
        <f ca="1">IF(AI$50="","",INDEX(Leverancer!BM:BM,ROW()-ROW(Leverancer!$AX$25)+1)*Leverancer!BM$56/1000)</f>
        <v/>
      </c>
      <c r="AJ67" s="136" t="str">
        <f ca="1">IF(AJ$50="","",INDEX(Leverancer!BN:BN,ROW()-ROW(Leverancer!$AX$25)+1)*Leverancer!BN$56/1000)</f>
        <v/>
      </c>
      <c r="AK67" s="136" t="str">
        <f ca="1">IF(AK$50="","",INDEX(Leverancer!BO:BO,ROW()-ROW(Leverancer!$AX$25)+1)*Leverancer!BO$56/1000)</f>
        <v/>
      </c>
      <c r="AL67" s="136" t="str">
        <f ca="1">IF(AL$50="","",INDEX(Leverancer!BP:BP,ROW()-ROW(Leverancer!$AX$25)+1)*Leverancer!BP$56/1000)</f>
        <v/>
      </c>
      <c r="AM67" s="136" t="str">
        <f ca="1">IF(AM$50="","",INDEX(Leverancer!BQ:BQ,ROW()-ROW(Leverancer!$AX$25)+1)*Leverancer!BQ$56/1000)</f>
        <v/>
      </c>
      <c r="AN67" s="136" t="str">
        <f>IF(AN$50="","",INDEX(Leverancer!BR:BR,ROW()-ROW(Leverancer!$AX$25)+1)*Leverancer!BR$56/1000)</f>
        <v/>
      </c>
      <c r="AO67" s="136" t="str">
        <f>IF(AO$50="","",INDEX(Leverancer!BS:BS,ROW()-ROW(Leverancer!$AX$25)+1)*Leverancer!BS$56/1000)</f>
        <v/>
      </c>
      <c r="AP67" s="136" t="str">
        <f>IF(AP$50="","",INDEX(Leverancer!BT:BT,ROW()-ROW(Leverancer!$AX$25)+1)*Leverancer!BT$56/1000)</f>
        <v/>
      </c>
      <c r="AQ67" s="136" t="str">
        <f>IF(AQ$50="","",INDEX(Leverancer!BU:BU,ROW()-ROW(Leverancer!$AX$25)+1)*Leverancer!BU$56/1000)</f>
        <v/>
      </c>
      <c r="AR67" s="136" t="str">
        <f>IF(AR$50="","",INDEX(Leverancer!BV:BV,ROW()-ROW(Leverancer!$AX$25)+1)*Leverancer!BV$56/1000)</f>
        <v/>
      </c>
      <c r="AS67" s="136" t="str">
        <f>IF(AS$50="","",INDEX(Leverancer!BW:BW,ROW()-ROW(Leverancer!$AX$25)+1)*Leverancer!BW$56/1000)</f>
        <v/>
      </c>
      <c r="AT67" s="136" t="str">
        <f>IF(AT$50="","",INDEX(Leverancer!BX:BX,ROW()-ROW(Leverancer!$AX$25)+1)*Leverancer!BX$56/1000)</f>
        <v/>
      </c>
      <c r="AU67" s="136" t="str">
        <f>IF(AU$50="","",INDEX(Leverancer!BY:BY,ROW()-ROW(Leverancer!$AX$25)+1)*Leverancer!BY$56/1000)</f>
        <v/>
      </c>
      <c r="AV67" s="136" t="str">
        <f>IF(AV$50="","",INDEX(Leverancer!BZ:BZ,ROW()-ROW(Leverancer!$AX$25)+1)*Leverancer!BZ$56/1000)</f>
        <v/>
      </c>
      <c r="AW67" s="136" t="str">
        <f>IF(AW$50="","",INDEX(Leverancer!CA:CA,ROW()-ROW(Leverancer!$AX$25)+1)*Leverancer!CA$56/1000)</f>
        <v/>
      </c>
      <c r="AX67" s="112"/>
      <c r="AY67" s="112"/>
      <c r="AZ67" s="109"/>
    </row>
    <row r="68" spans="1:52" ht="12.75" customHeight="1" x14ac:dyDescent="0.2">
      <c r="N68" s="107"/>
      <c r="O68" s="112"/>
      <c r="P68" s="112"/>
      <c r="Q68" s="138" t="str">
        <f>INDEX(Leverancer!$AR$1:$AR$1006,ROW()-ROW(Leverancer!$AX$25)+1)&amp;": "&amp;INDEX(Leverancer!$AS$1:$AS$1006,ROW()-ROW(Leverancer!$AX$25)+1)</f>
        <v xml:space="preserve">L16: </v>
      </c>
      <c r="R68" s="136"/>
      <c r="S68" s="141">
        <f t="shared" ca="1" si="10"/>
        <v>0</v>
      </c>
      <c r="T68" s="136">
        <f ca="1">IF(T$50="","",INDEX(Leverancer!AX:AX,ROW()-ROW(Leverancer!$AX$25)+1)*Leverancer!AX$56/1000)</f>
        <v>0</v>
      </c>
      <c r="U68" s="136">
        <f ca="1">IF(U$50="","",INDEX(Leverancer!AY:AY,ROW()-ROW(Leverancer!$AX$25)+1)*Leverancer!AY$56/1000)</f>
        <v>0</v>
      </c>
      <c r="V68" s="136">
        <f ca="1">IF(V$50="","",INDEX(Leverancer!AZ:AZ,ROW()-ROW(Leverancer!$AX$25)+1)*Leverancer!AZ$56/1000)</f>
        <v>0</v>
      </c>
      <c r="W68" s="136">
        <f ca="1">IF(W$50="","",INDEX(Leverancer!BA:BA,ROW()-ROW(Leverancer!$AX$25)+1)*Leverancer!BA$56/1000)</f>
        <v>0</v>
      </c>
      <c r="X68" s="136">
        <f ca="1">IF(X$50="","",INDEX(Leverancer!BB:BB,ROW()-ROW(Leverancer!$AX$25)+1)*Leverancer!BB$56/1000)</f>
        <v>0</v>
      </c>
      <c r="Y68" s="136" t="str">
        <f ca="1">IF(Y$50="","",INDEX(Leverancer!BC:BC,ROW()-ROW(Leverancer!$AX$25)+1)*Leverancer!BC$56/1000)</f>
        <v/>
      </c>
      <c r="Z68" s="136" t="str">
        <f ca="1">IF(Z$50="","",INDEX(Leverancer!BD:BD,ROW()-ROW(Leverancer!$AX$25)+1)*Leverancer!BD$56/1000)</f>
        <v/>
      </c>
      <c r="AA68" s="136" t="str">
        <f ca="1">IF(AA$50="","",INDEX(Leverancer!BE:BE,ROW()-ROW(Leverancer!$AX$25)+1)*Leverancer!BE$56/1000)</f>
        <v/>
      </c>
      <c r="AB68" s="136" t="str">
        <f ca="1">IF(AB$50="","",INDEX(Leverancer!BF:BF,ROW()-ROW(Leverancer!$AX$25)+1)*Leverancer!BF$56/1000)</f>
        <v/>
      </c>
      <c r="AC68" s="136" t="str">
        <f ca="1">IF(AC$50="","",INDEX(Leverancer!BG:BG,ROW()-ROW(Leverancer!$AX$25)+1)*Leverancer!BG$56/1000)</f>
        <v/>
      </c>
      <c r="AD68" s="136" t="str">
        <f ca="1">IF(AD$50="","",INDEX(Leverancer!BH:BH,ROW()-ROW(Leverancer!$AX$25)+1)*Leverancer!BH$56/1000)</f>
        <v/>
      </c>
      <c r="AE68" s="136" t="str">
        <f ca="1">IF(AE$50="","",INDEX(Leverancer!BI:BI,ROW()-ROW(Leverancer!$AX$25)+1)*Leverancer!BI$56/1000)</f>
        <v/>
      </c>
      <c r="AF68" s="136" t="str">
        <f ca="1">IF(AF$50="","",INDEX(Leverancer!BJ:BJ,ROW()-ROW(Leverancer!$AX$25)+1)*Leverancer!BJ$56/1000)</f>
        <v/>
      </c>
      <c r="AG68" s="136" t="str">
        <f ca="1">IF(AG$50="","",INDEX(Leverancer!BK:BK,ROW()-ROW(Leverancer!$AX$25)+1)*Leverancer!BK$56/1000)</f>
        <v/>
      </c>
      <c r="AH68" s="136" t="str">
        <f ca="1">IF(AH$50="","",INDEX(Leverancer!BL:BL,ROW()-ROW(Leverancer!$AX$25)+1)*Leverancer!BL$56/1000)</f>
        <v/>
      </c>
      <c r="AI68" s="136" t="str">
        <f ca="1">IF(AI$50="","",INDEX(Leverancer!BM:BM,ROW()-ROW(Leverancer!$AX$25)+1)*Leverancer!BM$56/1000)</f>
        <v/>
      </c>
      <c r="AJ68" s="136" t="str">
        <f ca="1">IF(AJ$50="","",INDEX(Leverancer!BN:BN,ROW()-ROW(Leverancer!$AX$25)+1)*Leverancer!BN$56/1000)</f>
        <v/>
      </c>
      <c r="AK68" s="136" t="str">
        <f ca="1">IF(AK$50="","",INDEX(Leverancer!BO:BO,ROW()-ROW(Leverancer!$AX$25)+1)*Leverancer!BO$56/1000)</f>
        <v/>
      </c>
      <c r="AL68" s="136" t="str">
        <f ca="1">IF(AL$50="","",INDEX(Leverancer!BP:BP,ROW()-ROW(Leverancer!$AX$25)+1)*Leverancer!BP$56/1000)</f>
        <v/>
      </c>
      <c r="AM68" s="136" t="str">
        <f ca="1">IF(AM$50="","",INDEX(Leverancer!BQ:BQ,ROW()-ROW(Leverancer!$AX$25)+1)*Leverancer!BQ$56/1000)</f>
        <v/>
      </c>
      <c r="AN68" s="136" t="str">
        <f>IF(AN$50="","",INDEX(Leverancer!BR:BR,ROW()-ROW(Leverancer!$AX$25)+1)*Leverancer!BR$56/1000)</f>
        <v/>
      </c>
      <c r="AO68" s="136" t="str">
        <f>IF(AO$50="","",INDEX(Leverancer!BS:BS,ROW()-ROW(Leverancer!$AX$25)+1)*Leverancer!BS$56/1000)</f>
        <v/>
      </c>
      <c r="AP68" s="136" t="str">
        <f>IF(AP$50="","",INDEX(Leverancer!BT:BT,ROW()-ROW(Leverancer!$AX$25)+1)*Leverancer!BT$56/1000)</f>
        <v/>
      </c>
      <c r="AQ68" s="136" t="str">
        <f>IF(AQ$50="","",INDEX(Leverancer!BU:BU,ROW()-ROW(Leverancer!$AX$25)+1)*Leverancer!BU$56/1000)</f>
        <v/>
      </c>
      <c r="AR68" s="136" t="str">
        <f>IF(AR$50="","",INDEX(Leverancer!BV:BV,ROW()-ROW(Leverancer!$AX$25)+1)*Leverancer!BV$56/1000)</f>
        <v/>
      </c>
      <c r="AS68" s="136" t="str">
        <f>IF(AS$50="","",INDEX(Leverancer!BW:BW,ROW()-ROW(Leverancer!$AX$25)+1)*Leverancer!BW$56/1000)</f>
        <v/>
      </c>
      <c r="AT68" s="136" t="str">
        <f>IF(AT$50="","",INDEX(Leverancer!BX:BX,ROW()-ROW(Leverancer!$AX$25)+1)*Leverancer!BX$56/1000)</f>
        <v/>
      </c>
      <c r="AU68" s="136" t="str">
        <f>IF(AU$50="","",INDEX(Leverancer!BY:BY,ROW()-ROW(Leverancer!$AX$25)+1)*Leverancer!BY$56/1000)</f>
        <v/>
      </c>
      <c r="AV68" s="136" t="str">
        <f>IF(AV$50="","",INDEX(Leverancer!BZ:BZ,ROW()-ROW(Leverancer!$AX$25)+1)*Leverancer!BZ$56/1000)</f>
        <v/>
      </c>
      <c r="AW68" s="136" t="str">
        <f>IF(AW$50="","",INDEX(Leverancer!CA:CA,ROW()-ROW(Leverancer!$AX$25)+1)*Leverancer!CA$56/1000)</f>
        <v/>
      </c>
      <c r="AX68" s="112"/>
      <c r="AY68" s="112"/>
      <c r="AZ68" s="109"/>
    </row>
    <row r="69" spans="1:52" ht="12.75" customHeight="1" x14ac:dyDescent="0.2">
      <c r="N69" s="107"/>
      <c r="O69" s="112"/>
      <c r="P69" s="112"/>
      <c r="Q69" s="138" t="str">
        <f>INDEX(Leverancer!$AR$1:$AR$1006,ROW()-ROW(Leverancer!$AX$25)+1)&amp;": "&amp;INDEX(Leverancer!$AS$1:$AS$1006,ROW()-ROW(Leverancer!$AX$25)+1)</f>
        <v xml:space="preserve">L17: </v>
      </c>
      <c r="R69" s="136"/>
      <c r="S69" s="141">
        <f t="shared" ca="1" si="10"/>
        <v>0</v>
      </c>
      <c r="T69" s="136">
        <f ca="1">IF(T$50="","",INDEX(Leverancer!AX:AX,ROW()-ROW(Leverancer!$AX$25)+1)*Leverancer!AX$56/1000)</f>
        <v>0</v>
      </c>
      <c r="U69" s="136">
        <f ca="1">IF(U$50="","",INDEX(Leverancer!AY:AY,ROW()-ROW(Leverancer!$AX$25)+1)*Leverancer!AY$56/1000)</f>
        <v>0</v>
      </c>
      <c r="V69" s="136">
        <f ca="1">IF(V$50="","",INDEX(Leverancer!AZ:AZ,ROW()-ROW(Leverancer!$AX$25)+1)*Leverancer!AZ$56/1000)</f>
        <v>0</v>
      </c>
      <c r="W69" s="136">
        <f ca="1">IF(W$50="","",INDEX(Leverancer!BA:BA,ROW()-ROW(Leverancer!$AX$25)+1)*Leverancer!BA$56/1000)</f>
        <v>0</v>
      </c>
      <c r="X69" s="136">
        <f ca="1">IF(X$50="","",INDEX(Leverancer!BB:BB,ROW()-ROW(Leverancer!$AX$25)+1)*Leverancer!BB$56/1000)</f>
        <v>0</v>
      </c>
      <c r="Y69" s="136" t="str">
        <f ca="1">IF(Y$50="","",INDEX(Leverancer!BC:BC,ROW()-ROW(Leverancer!$AX$25)+1)*Leverancer!BC$56/1000)</f>
        <v/>
      </c>
      <c r="Z69" s="136" t="str">
        <f ca="1">IF(Z$50="","",INDEX(Leverancer!BD:BD,ROW()-ROW(Leverancer!$AX$25)+1)*Leverancer!BD$56/1000)</f>
        <v/>
      </c>
      <c r="AA69" s="136" t="str">
        <f ca="1">IF(AA$50="","",INDEX(Leverancer!BE:BE,ROW()-ROW(Leverancer!$AX$25)+1)*Leverancer!BE$56/1000)</f>
        <v/>
      </c>
      <c r="AB69" s="136" t="str">
        <f ca="1">IF(AB$50="","",INDEX(Leverancer!BF:BF,ROW()-ROW(Leverancer!$AX$25)+1)*Leverancer!BF$56/1000)</f>
        <v/>
      </c>
      <c r="AC69" s="136" t="str">
        <f ca="1">IF(AC$50="","",INDEX(Leverancer!BG:BG,ROW()-ROW(Leverancer!$AX$25)+1)*Leverancer!BG$56/1000)</f>
        <v/>
      </c>
      <c r="AD69" s="136" t="str">
        <f ca="1">IF(AD$50="","",INDEX(Leverancer!BH:BH,ROW()-ROW(Leverancer!$AX$25)+1)*Leverancer!BH$56/1000)</f>
        <v/>
      </c>
      <c r="AE69" s="136" t="str">
        <f ca="1">IF(AE$50="","",INDEX(Leverancer!BI:BI,ROW()-ROW(Leverancer!$AX$25)+1)*Leverancer!BI$56/1000)</f>
        <v/>
      </c>
      <c r="AF69" s="136" t="str">
        <f ca="1">IF(AF$50="","",INDEX(Leverancer!BJ:BJ,ROW()-ROW(Leverancer!$AX$25)+1)*Leverancer!BJ$56/1000)</f>
        <v/>
      </c>
      <c r="AG69" s="136" t="str">
        <f ca="1">IF(AG$50="","",INDEX(Leverancer!BK:BK,ROW()-ROW(Leverancer!$AX$25)+1)*Leverancer!BK$56/1000)</f>
        <v/>
      </c>
      <c r="AH69" s="136" t="str">
        <f ca="1">IF(AH$50="","",INDEX(Leverancer!BL:BL,ROW()-ROW(Leverancer!$AX$25)+1)*Leverancer!BL$56/1000)</f>
        <v/>
      </c>
      <c r="AI69" s="136" t="str">
        <f ca="1">IF(AI$50="","",INDEX(Leverancer!BM:BM,ROW()-ROW(Leverancer!$AX$25)+1)*Leverancer!BM$56/1000)</f>
        <v/>
      </c>
      <c r="AJ69" s="136" t="str">
        <f ca="1">IF(AJ$50="","",INDEX(Leverancer!BN:BN,ROW()-ROW(Leverancer!$AX$25)+1)*Leverancer!BN$56/1000)</f>
        <v/>
      </c>
      <c r="AK69" s="136" t="str">
        <f ca="1">IF(AK$50="","",INDEX(Leverancer!BO:BO,ROW()-ROW(Leverancer!$AX$25)+1)*Leverancer!BO$56/1000)</f>
        <v/>
      </c>
      <c r="AL69" s="136" t="str">
        <f ca="1">IF(AL$50="","",INDEX(Leverancer!BP:BP,ROW()-ROW(Leverancer!$AX$25)+1)*Leverancer!BP$56/1000)</f>
        <v/>
      </c>
      <c r="AM69" s="136" t="str">
        <f ca="1">IF(AM$50="","",INDEX(Leverancer!BQ:BQ,ROW()-ROW(Leverancer!$AX$25)+1)*Leverancer!BQ$56/1000)</f>
        <v/>
      </c>
      <c r="AN69" s="136" t="str">
        <f>IF(AN$50="","",INDEX(Leverancer!BR:BR,ROW()-ROW(Leverancer!$AX$25)+1)*Leverancer!BR$56/1000)</f>
        <v/>
      </c>
      <c r="AO69" s="136" t="str">
        <f>IF(AO$50="","",INDEX(Leverancer!BS:BS,ROW()-ROW(Leverancer!$AX$25)+1)*Leverancer!BS$56/1000)</f>
        <v/>
      </c>
      <c r="AP69" s="136" t="str">
        <f>IF(AP$50="","",INDEX(Leverancer!BT:BT,ROW()-ROW(Leverancer!$AX$25)+1)*Leverancer!BT$56/1000)</f>
        <v/>
      </c>
      <c r="AQ69" s="136" t="str">
        <f>IF(AQ$50="","",INDEX(Leverancer!BU:BU,ROW()-ROW(Leverancer!$AX$25)+1)*Leverancer!BU$56/1000)</f>
        <v/>
      </c>
      <c r="AR69" s="136" t="str">
        <f>IF(AR$50="","",INDEX(Leverancer!BV:BV,ROW()-ROW(Leverancer!$AX$25)+1)*Leverancer!BV$56/1000)</f>
        <v/>
      </c>
      <c r="AS69" s="136" t="str">
        <f>IF(AS$50="","",INDEX(Leverancer!BW:BW,ROW()-ROW(Leverancer!$AX$25)+1)*Leverancer!BW$56/1000)</f>
        <v/>
      </c>
      <c r="AT69" s="136" t="str">
        <f>IF(AT$50="","",INDEX(Leverancer!BX:BX,ROW()-ROW(Leverancer!$AX$25)+1)*Leverancer!BX$56/1000)</f>
        <v/>
      </c>
      <c r="AU69" s="136" t="str">
        <f>IF(AU$50="","",INDEX(Leverancer!BY:BY,ROW()-ROW(Leverancer!$AX$25)+1)*Leverancer!BY$56/1000)</f>
        <v/>
      </c>
      <c r="AV69" s="136" t="str">
        <f>IF(AV$50="","",INDEX(Leverancer!BZ:BZ,ROW()-ROW(Leverancer!$AX$25)+1)*Leverancer!BZ$56/1000)</f>
        <v/>
      </c>
      <c r="AW69" s="136" t="str">
        <f>IF(AW$50="","",INDEX(Leverancer!CA:CA,ROW()-ROW(Leverancer!$AX$25)+1)*Leverancer!CA$56/1000)</f>
        <v/>
      </c>
      <c r="AX69" s="112"/>
      <c r="AY69" s="112"/>
      <c r="AZ69" s="109"/>
    </row>
    <row r="70" spans="1:52" ht="12.75" customHeight="1" x14ac:dyDescent="0.2">
      <c r="N70" s="107"/>
      <c r="O70" s="112"/>
      <c r="P70" s="112"/>
      <c r="Q70" s="138" t="str">
        <f>INDEX(Leverancer!$AR$1:$AR$1006,ROW()-ROW(Leverancer!$AX$25)+1)&amp;": "&amp;INDEX(Leverancer!$AS$1:$AS$1006,ROW()-ROW(Leverancer!$AX$25)+1)</f>
        <v xml:space="preserve">L18: </v>
      </c>
      <c r="R70" s="136"/>
      <c r="S70" s="141">
        <f t="shared" ca="1" si="10"/>
        <v>0</v>
      </c>
      <c r="T70" s="136">
        <f ca="1">IF(T$50="","",INDEX(Leverancer!AX:AX,ROW()-ROW(Leverancer!$AX$25)+1)*Leverancer!AX$56/1000)</f>
        <v>0</v>
      </c>
      <c r="U70" s="136">
        <f ca="1">IF(U$50="","",INDEX(Leverancer!AY:AY,ROW()-ROW(Leverancer!$AX$25)+1)*Leverancer!AY$56/1000)</f>
        <v>0</v>
      </c>
      <c r="V70" s="136">
        <f ca="1">IF(V$50="","",INDEX(Leverancer!AZ:AZ,ROW()-ROW(Leverancer!$AX$25)+1)*Leverancer!AZ$56/1000)</f>
        <v>0</v>
      </c>
      <c r="W70" s="136">
        <f ca="1">IF(W$50="","",INDEX(Leverancer!BA:BA,ROW()-ROW(Leverancer!$AX$25)+1)*Leverancer!BA$56/1000)</f>
        <v>0</v>
      </c>
      <c r="X70" s="136">
        <f ca="1">IF(X$50="","",INDEX(Leverancer!BB:BB,ROW()-ROW(Leverancer!$AX$25)+1)*Leverancer!BB$56/1000)</f>
        <v>0</v>
      </c>
      <c r="Y70" s="136" t="str">
        <f ca="1">IF(Y$50="","",INDEX(Leverancer!BC:BC,ROW()-ROW(Leverancer!$AX$25)+1)*Leverancer!BC$56/1000)</f>
        <v/>
      </c>
      <c r="Z70" s="136" t="str">
        <f ca="1">IF(Z$50="","",INDEX(Leverancer!BD:BD,ROW()-ROW(Leverancer!$AX$25)+1)*Leverancer!BD$56/1000)</f>
        <v/>
      </c>
      <c r="AA70" s="136" t="str">
        <f ca="1">IF(AA$50="","",INDEX(Leverancer!BE:BE,ROW()-ROW(Leverancer!$AX$25)+1)*Leverancer!BE$56/1000)</f>
        <v/>
      </c>
      <c r="AB70" s="136" t="str">
        <f ca="1">IF(AB$50="","",INDEX(Leverancer!BF:BF,ROW()-ROW(Leverancer!$AX$25)+1)*Leverancer!BF$56/1000)</f>
        <v/>
      </c>
      <c r="AC70" s="136" t="str">
        <f ca="1">IF(AC$50="","",INDEX(Leverancer!BG:BG,ROW()-ROW(Leverancer!$AX$25)+1)*Leverancer!BG$56/1000)</f>
        <v/>
      </c>
      <c r="AD70" s="136" t="str">
        <f ca="1">IF(AD$50="","",INDEX(Leverancer!BH:BH,ROW()-ROW(Leverancer!$AX$25)+1)*Leverancer!BH$56/1000)</f>
        <v/>
      </c>
      <c r="AE70" s="136" t="str">
        <f ca="1">IF(AE$50="","",INDEX(Leverancer!BI:BI,ROW()-ROW(Leverancer!$AX$25)+1)*Leverancer!BI$56/1000)</f>
        <v/>
      </c>
      <c r="AF70" s="136" t="str">
        <f ca="1">IF(AF$50="","",INDEX(Leverancer!BJ:BJ,ROW()-ROW(Leverancer!$AX$25)+1)*Leverancer!BJ$56/1000)</f>
        <v/>
      </c>
      <c r="AG70" s="136" t="str">
        <f ca="1">IF(AG$50="","",INDEX(Leverancer!BK:BK,ROW()-ROW(Leverancer!$AX$25)+1)*Leverancer!BK$56/1000)</f>
        <v/>
      </c>
      <c r="AH70" s="136" t="str">
        <f ca="1">IF(AH$50="","",INDEX(Leverancer!BL:BL,ROW()-ROW(Leverancer!$AX$25)+1)*Leverancer!BL$56/1000)</f>
        <v/>
      </c>
      <c r="AI70" s="136" t="str">
        <f ca="1">IF(AI$50="","",INDEX(Leverancer!BM:BM,ROW()-ROW(Leverancer!$AX$25)+1)*Leverancer!BM$56/1000)</f>
        <v/>
      </c>
      <c r="AJ70" s="136" t="str">
        <f ca="1">IF(AJ$50="","",INDEX(Leverancer!BN:BN,ROW()-ROW(Leverancer!$AX$25)+1)*Leverancer!BN$56/1000)</f>
        <v/>
      </c>
      <c r="AK70" s="136" t="str">
        <f ca="1">IF(AK$50="","",INDEX(Leverancer!BO:BO,ROW()-ROW(Leverancer!$AX$25)+1)*Leverancer!BO$56/1000)</f>
        <v/>
      </c>
      <c r="AL70" s="136" t="str">
        <f ca="1">IF(AL$50="","",INDEX(Leverancer!BP:BP,ROW()-ROW(Leverancer!$AX$25)+1)*Leverancer!BP$56/1000)</f>
        <v/>
      </c>
      <c r="AM70" s="136" t="str">
        <f ca="1">IF(AM$50="","",INDEX(Leverancer!BQ:BQ,ROW()-ROW(Leverancer!$AX$25)+1)*Leverancer!BQ$56/1000)</f>
        <v/>
      </c>
      <c r="AN70" s="136" t="str">
        <f>IF(AN$50="","",INDEX(Leverancer!BR:BR,ROW()-ROW(Leverancer!$AX$25)+1)*Leverancer!BR$56/1000)</f>
        <v/>
      </c>
      <c r="AO70" s="136" t="str">
        <f>IF(AO$50="","",INDEX(Leverancer!BS:BS,ROW()-ROW(Leverancer!$AX$25)+1)*Leverancer!BS$56/1000)</f>
        <v/>
      </c>
      <c r="AP70" s="136" t="str">
        <f>IF(AP$50="","",INDEX(Leverancer!BT:BT,ROW()-ROW(Leverancer!$AX$25)+1)*Leverancer!BT$56/1000)</f>
        <v/>
      </c>
      <c r="AQ70" s="136" t="str">
        <f>IF(AQ$50="","",INDEX(Leverancer!BU:BU,ROW()-ROW(Leverancer!$AX$25)+1)*Leverancer!BU$56/1000)</f>
        <v/>
      </c>
      <c r="AR70" s="136" t="str">
        <f>IF(AR$50="","",INDEX(Leverancer!BV:BV,ROW()-ROW(Leverancer!$AX$25)+1)*Leverancer!BV$56/1000)</f>
        <v/>
      </c>
      <c r="AS70" s="136" t="str">
        <f>IF(AS$50="","",INDEX(Leverancer!BW:BW,ROW()-ROW(Leverancer!$AX$25)+1)*Leverancer!BW$56/1000)</f>
        <v/>
      </c>
      <c r="AT70" s="136" t="str">
        <f>IF(AT$50="","",INDEX(Leverancer!BX:BX,ROW()-ROW(Leverancer!$AX$25)+1)*Leverancer!BX$56/1000)</f>
        <v/>
      </c>
      <c r="AU70" s="136" t="str">
        <f>IF(AU$50="","",INDEX(Leverancer!BY:BY,ROW()-ROW(Leverancer!$AX$25)+1)*Leverancer!BY$56/1000)</f>
        <v/>
      </c>
      <c r="AV70" s="136" t="str">
        <f>IF(AV$50="","",INDEX(Leverancer!BZ:BZ,ROW()-ROW(Leverancer!$AX$25)+1)*Leverancer!BZ$56/1000)</f>
        <v/>
      </c>
      <c r="AW70" s="136" t="str">
        <f>IF(AW$50="","",INDEX(Leverancer!CA:CA,ROW()-ROW(Leverancer!$AX$25)+1)*Leverancer!CA$56/1000)</f>
        <v/>
      </c>
      <c r="AX70" s="112"/>
      <c r="AY70" s="112"/>
      <c r="AZ70" s="109"/>
    </row>
    <row r="71" spans="1:52" ht="12.75" customHeight="1" x14ac:dyDescent="0.2">
      <c r="N71" s="107"/>
      <c r="O71" s="112"/>
      <c r="P71" s="112"/>
      <c r="Q71" s="138" t="str">
        <f>INDEX(Leverancer!$AR$1:$AR$1006,ROW()-ROW(Leverancer!$AX$25)+1)&amp;": "&amp;INDEX(Leverancer!$AS$1:$AS$1006,ROW()-ROW(Leverancer!$AX$25)+1)</f>
        <v xml:space="preserve">L19: </v>
      </c>
      <c r="R71" s="136"/>
      <c r="S71" s="141">
        <f t="shared" ca="1" si="10"/>
        <v>0</v>
      </c>
      <c r="T71" s="136">
        <f ca="1">IF(T$50="","",INDEX(Leverancer!AX:AX,ROW()-ROW(Leverancer!$AX$25)+1)*Leverancer!AX$56/1000)</f>
        <v>0</v>
      </c>
      <c r="U71" s="136">
        <f ca="1">IF(U$50="","",INDEX(Leverancer!AY:AY,ROW()-ROW(Leverancer!$AX$25)+1)*Leverancer!AY$56/1000)</f>
        <v>0</v>
      </c>
      <c r="V71" s="136">
        <f ca="1">IF(V$50="","",INDEX(Leverancer!AZ:AZ,ROW()-ROW(Leverancer!$AX$25)+1)*Leverancer!AZ$56/1000)</f>
        <v>0</v>
      </c>
      <c r="W71" s="136">
        <f ca="1">IF(W$50="","",INDEX(Leverancer!BA:BA,ROW()-ROW(Leverancer!$AX$25)+1)*Leverancer!BA$56/1000)</f>
        <v>0</v>
      </c>
      <c r="X71" s="136">
        <f ca="1">IF(X$50="","",INDEX(Leverancer!BB:BB,ROW()-ROW(Leverancer!$AX$25)+1)*Leverancer!BB$56/1000)</f>
        <v>0</v>
      </c>
      <c r="Y71" s="136" t="str">
        <f ca="1">IF(Y$50="","",INDEX(Leverancer!BC:BC,ROW()-ROW(Leverancer!$AX$25)+1)*Leverancer!BC$56/1000)</f>
        <v/>
      </c>
      <c r="Z71" s="136" t="str">
        <f ca="1">IF(Z$50="","",INDEX(Leverancer!BD:BD,ROW()-ROW(Leverancer!$AX$25)+1)*Leverancer!BD$56/1000)</f>
        <v/>
      </c>
      <c r="AA71" s="136" t="str">
        <f ca="1">IF(AA$50="","",INDEX(Leverancer!BE:BE,ROW()-ROW(Leverancer!$AX$25)+1)*Leverancer!BE$56/1000)</f>
        <v/>
      </c>
      <c r="AB71" s="136" t="str">
        <f ca="1">IF(AB$50="","",INDEX(Leverancer!BF:BF,ROW()-ROW(Leverancer!$AX$25)+1)*Leverancer!BF$56/1000)</f>
        <v/>
      </c>
      <c r="AC71" s="136" t="str">
        <f ca="1">IF(AC$50="","",INDEX(Leverancer!BG:BG,ROW()-ROW(Leverancer!$AX$25)+1)*Leverancer!BG$56/1000)</f>
        <v/>
      </c>
      <c r="AD71" s="136" t="str">
        <f ca="1">IF(AD$50="","",INDEX(Leverancer!BH:BH,ROW()-ROW(Leverancer!$AX$25)+1)*Leverancer!BH$56/1000)</f>
        <v/>
      </c>
      <c r="AE71" s="136" t="str">
        <f ca="1">IF(AE$50="","",INDEX(Leverancer!BI:BI,ROW()-ROW(Leverancer!$AX$25)+1)*Leverancer!BI$56/1000)</f>
        <v/>
      </c>
      <c r="AF71" s="136" t="str">
        <f ca="1">IF(AF$50="","",INDEX(Leverancer!BJ:BJ,ROW()-ROW(Leverancer!$AX$25)+1)*Leverancer!BJ$56/1000)</f>
        <v/>
      </c>
      <c r="AG71" s="136" t="str">
        <f ca="1">IF(AG$50="","",INDEX(Leverancer!BK:BK,ROW()-ROW(Leverancer!$AX$25)+1)*Leverancer!BK$56/1000)</f>
        <v/>
      </c>
      <c r="AH71" s="136" t="str">
        <f ca="1">IF(AH$50="","",INDEX(Leverancer!BL:BL,ROW()-ROW(Leverancer!$AX$25)+1)*Leverancer!BL$56/1000)</f>
        <v/>
      </c>
      <c r="AI71" s="136" t="str">
        <f ca="1">IF(AI$50="","",INDEX(Leverancer!BM:BM,ROW()-ROW(Leverancer!$AX$25)+1)*Leverancer!BM$56/1000)</f>
        <v/>
      </c>
      <c r="AJ71" s="136" t="str">
        <f ca="1">IF(AJ$50="","",INDEX(Leverancer!BN:BN,ROW()-ROW(Leverancer!$AX$25)+1)*Leverancer!BN$56/1000)</f>
        <v/>
      </c>
      <c r="AK71" s="136" t="str">
        <f ca="1">IF(AK$50="","",INDEX(Leverancer!BO:BO,ROW()-ROW(Leverancer!$AX$25)+1)*Leverancer!BO$56/1000)</f>
        <v/>
      </c>
      <c r="AL71" s="136" t="str">
        <f ca="1">IF(AL$50="","",INDEX(Leverancer!BP:BP,ROW()-ROW(Leverancer!$AX$25)+1)*Leverancer!BP$56/1000)</f>
        <v/>
      </c>
      <c r="AM71" s="136" t="str">
        <f ca="1">IF(AM$50="","",INDEX(Leverancer!BQ:BQ,ROW()-ROW(Leverancer!$AX$25)+1)*Leverancer!BQ$56/1000)</f>
        <v/>
      </c>
      <c r="AN71" s="136" t="str">
        <f>IF(AN$50="","",INDEX(Leverancer!BR:BR,ROW()-ROW(Leverancer!$AX$25)+1)*Leverancer!BR$56/1000)</f>
        <v/>
      </c>
      <c r="AO71" s="136" t="str">
        <f>IF(AO$50="","",INDEX(Leverancer!BS:BS,ROW()-ROW(Leverancer!$AX$25)+1)*Leverancer!BS$56/1000)</f>
        <v/>
      </c>
      <c r="AP71" s="136" t="str">
        <f>IF(AP$50="","",INDEX(Leverancer!BT:BT,ROW()-ROW(Leverancer!$AX$25)+1)*Leverancer!BT$56/1000)</f>
        <v/>
      </c>
      <c r="AQ71" s="136" t="str">
        <f>IF(AQ$50="","",INDEX(Leverancer!BU:BU,ROW()-ROW(Leverancer!$AX$25)+1)*Leverancer!BU$56/1000)</f>
        <v/>
      </c>
      <c r="AR71" s="136" t="str">
        <f>IF(AR$50="","",INDEX(Leverancer!BV:BV,ROW()-ROW(Leverancer!$AX$25)+1)*Leverancer!BV$56/1000)</f>
        <v/>
      </c>
      <c r="AS71" s="136" t="str">
        <f>IF(AS$50="","",INDEX(Leverancer!BW:BW,ROW()-ROW(Leverancer!$AX$25)+1)*Leverancer!BW$56/1000)</f>
        <v/>
      </c>
      <c r="AT71" s="136" t="str">
        <f>IF(AT$50="","",INDEX(Leverancer!BX:BX,ROW()-ROW(Leverancer!$AX$25)+1)*Leverancer!BX$56/1000)</f>
        <v/>
      </c>
      <c r="AU71" s="136" t="str">
        <f>IF(AU$50="","",INDEX(Leverancer!BY:BY,ROW()-ROW(Leverancer!$AX$25)+1)*Leverancer!BY$56/1000)</f>
        <v/>
      </c>
      <c r="AV71" s="136" t="str">
        <f>IF(AV$50="","",INDEX(Leverancer!BZ:BZ,ROW()-ROW(Leverancer!$AX$25)+1)*Leverancer!BZ$56/1000)</f>
        <v/>
      </c>
      <c r="AW71" s="136" t="str">
        <f>IF(AW$50="","",INDEX(Leverancer!CA:CA,ROW()-ROW(Leverancer!$AX$25)+1)*Leverancer!CA$56/1000)</f>
        <v/>
      </c>
      <c r="AX71" s="112"/>
      <c r="AY71" s="112"/>
      <c r="AZ71" s="109"/>
    </row>
    <row r="72" spans="1:52" ht="12.75" customHeight="1" x14ac:dyDescent="0.2">
      <c r="N72" s="107"/>
      <c r="O72" s="112"/>
      <c r="P72" s="112"/>
      <c r="Q72" s="138" t="str">
        <f>INDEX(Leverancer!$AR$1:$AR$1006,ROW()-ROW(Leverancer!$AX$25)+1)&amp;": "&amp;INDEX(Leverancer!$AS$1:$AS$1006,ROW()-ROW(Leverancer!$AX$25)+1)</f>
        <v xml:space="preserve">L20: </v>
      </c>
      <c r="R72" s="136"/>
      <c r="S72" s="141">
        <f t="shared" ca="1" si="10"/>
        <v>0</v>
      </c>
      <c r="T72" s="136">
        <f ca="1">IF(T$50="","",INDEX(Leverancer!AX:AX,ROW()-ROW(Leverancer!$AX$25)+1)*Leverancer!AX$56/1000)</f>
        <v>0</v>
      </c>
      <c r="U72" s="136">
        <f ca="1">IF(U$50="","",INDEX(Leverancer!AY:AY,ROW()-ROW(Leverancer!$AX$25)+1)*Leverancer!AY$56/1000)</f>
        <v>0</v>
      </c>
      <c r="V72" s="136">
        <f ca="1">IF(V$50="","",INDEX(Leverancer!AZ:AZ,ROW()-ROW(Leverancer!$AX$25)+1)*Leverancer!AZ$56/1000)</f>
        <v>0</v>
      </c>
      <c r="W72" s="136">
        <f ca="1">IF(W$50="","",INDEX(Leverancer!BA:BA,ROW()-ROW(Leverancer!$AX$25)+1)*Leverancer!BA$56/1000)</f>
        <v>0</v>
      </c>
      <c r="X72" s="136">
        <f ca="1">IF(X$50="","",INDEX(Leverancer!BB:BB,ROW()-ROW(Leverancer!$AX$25)+1)*Leverancer!BB$56/1000)</f>
        <v>0</v>
      </c>
      <c r="Y72" s="136" t="str">
        <f ca="1">IF(Y$50="","",INDEX(Leverancer!BC:BC,ROW()-ROW(Leverancer!$AX$25)+1)*Leverancer!BC$56/1000)</f>
        <v/>
      </c>
      <c r="Z72" s="136" t="str">
        <f ca="1">IF(Z$50="","",INDEX(Leverancer!BD:BD,ROW()-ROW(Leverancer!$AX$25)+1)*Leverancer!BD$56/1000)</f>
        <v/>
      </c>
      <c r="AA72" s="136" t="str">
        <f ca="1">IF(AA$50="","",INDEX(Leverancer!BE:BE,ROW()-ROW(Leverancer!$AX$25)+1)*Leverancer!BE$56/1000)</f>
        <v/>
      </c>
      <c r="AB72" s="136" t="str">
        <f ca="1">IF(AB$50="","",INDEX(Leverancer!BF:BF,ROW()-ROW(Leverancer!$AX$25)+1)*Leverancer!BF$56/1000)</f>
        <v/>
      </c>
      <c r="AC72" s="136" t="str">
        <f ca="1">IF(AC$50="","",INDEX(Leverancer!BG:BG,ROW()-ROW(Leverancer!$AX$25)+1)*Leverancer!BG$56/1000)</f>
        <v/>
      </c>
      <c r="AD72" s="136" t="str">
        <f ca="1">IF(AD$50="","",INDEX(Leverancer!BH:BH,ROW()-ROW(Leverancer!$AX$25)+1)*Leverancer!BH$56/1000)</f>
        <v/>
      </c>
      <c r="AE72" s="136" t="str">
        <f ca="1">IF(AE$50="","",INDEX(Leverancer!BI:BI,ROW()-ROW(Leverancer!$AX$25)+1)*Leverancer!BI$56/1000)</f>
        <v/>
      </c>
      <c r="AF72" s="136" t="str">
        <f ca="1">IF(AF$50="","",INDEX(Leverancer!BJ:BJ,ROW()-ROW(Leverancer!$AX$25)+1)*Leverancer!BJ$56/1000)</f>
        <v/>
      </c>
      <c r="AG72" s="136" t="str">
        <f ca="1">IF(AG$50="","",INDEX(Leverancer!BK:BK,ROW()-ROW(Leverancer!$AX$25)+1)*Leverancer!BK$56/1000)</f>
        <v/>
      </c>
      <c r="AH72" s="136" t="str">
        <f ca="1">IF(AH$50="","",INDEX(Leverancer!BL:BL,ROW()-ROW(Leverancer!$AX$25)+1)*Leverancer!BL$56/1000)</f>
        <v/>
      </c>
      <c r="AI72" s="136" t="str">
        <f ca="1">IF(AI$50="","",INDEX(Leverancer!BM:BM,ROW()-ROW(Leverancer!$AX$25)+1)*Leverancer!BM$56/1000)</f>
        <v/>
      </c>
      <c r="AJ72" s="136" t="str">
        <f ca="1">IF(AJ$50="","",INDEX(Leverancer!BN:BN,ROW()-ROW(Leverancer!$AX$25)+1)*Leverancer!BN$56/1000)</f>
        <v/>
      </c>
      <c r="AK72" s="136" t="str">
        <f ca="1">IF(AK$50="","",INDEX(Leverancer!BO:BO,ROW()-ROW(Leverancer!$AX$25)+1)*Leverancer!BO$56/1000)</f>
        <v/>
      </c>
      <c r="AL72" s="136" t="str">
        <f ca="1">IF(AL$50="","",INDEX(Leverancer!BP:BP,ROW()-ROW(Leverancer!$AX$25)+1)*Leverancer!BP$56/1000)</f>
        <v/>
      </c>
      <c r="AM72" s="136" t="str">
        <f ca="1">IF(AM$50="","",INDEX(Leverancer!BQ:BQ,ROW()-ROW(Leverancer!$AX$25)+1)*Leverancer!BQ$56/1000)</f>
        <v/>
      </c>
      <c r="AN72" s="136" t="str">
        <f>IF(AN$50="","",INDEX(Leverancer!BR:BR,ROW()-ROW(Leverancer!$AX$25)+1)*Leverancer!BR$56/1000)</f>
        <v/>
      </c>
      <c r="AO72" s="136" t="str">
        <f>IF(AO$50="","",INDEX(Leverancer!BS:BS,ROW()-ROW(Leverancer!$AX$25)+1)*Leverancer!BS$56/1000)</f>
        <v/>
      </c>
      <c r="AP72" s="136" t="str">
        <f>IF(AP$50="","",INDEX(Leverancer!BT:BT,ROW()-ROW(Leverancer!$AX$25)+1)*Leverancer!BT$56/1000)</f>
        <v/>
      </c>
      <c r="AQ72" s="136" t="str">
        <f>IF(AQ$50="","",INDEX(Leverancer!BU:BU,ROW()-ROW(Leverancer!$AX$25)+1)*Leverancer!BU$56/1000)</f>
        <v/>
      </c>
      <c r="AR72" s="136" t="str">
        <f>IF(AR$50="","",INDEX(Leverancer!BV:BV,ROW()-ROW(Leverancer!$AX$25)+1)*Leverancer!BV$56/1000)</f>
        <v/>
      </c>
      <c r="AS72" s="136" t="str">
        <f>IF(AS$50="","",INDEX(Leverancer!BW:BW,ROW()-ROW(Leverancer!$AX$25)+1)*Leverancer!BW$56/1000)</f>
        <v/>
      </c>
      <c r="AT72" s="136" t="str">
        <f>IF(AT$50="","",INDEX(Leverancer!BX:BX,ROW()-ROW(Leverancer!$AX$25)+1)*Leverancer!BX$56/1000)</f>
        <v/>
      </c>
      <c r="AU72" s="136" t="str">
        <f>IF(AU$50="","",INDEX(Leverancer!BY:BY,ROW()-ROW(Leverancer!$AX$25)+1)*Leverancer!BY$56/1000)</f>
        <v/>
      </c>
      <c r="AV72" s="136" t="str">
        <f>IF(AV$50="","",INDEX(Leverancer!BZ:BZ,ROW()-ROW(Leverancer!$AX$25)+1)*Leverancer!BZ$56/1000)</f>
        <v/>
      </c>
      <c r="AW72" s="136" t="str">
        <f>IF(AW$50="","",INDEX(Leverancer!CA:CA,ROW()-ROW(Leverancer!$AX$25)+1)*Leverancer!CA$56/1000)</f>
        <v/>
      </c>
      <c r="AX72" s="112"/>
      <c r="AY72" s="112"/>
      <c r="AZ72" s="109"/>
    </row>
    <row r="73" spans="1:52" ht="12.75" customHeight="1" x14ac:dyDescent="0.2">
      <c r="N73" s="107"/>
      <c r="O73" s="112"/>
      <c r="P73" s="112"/>
      <c r="Q73" s="139" t="str">
        <f>INDEX(g_lang_val,MATCH("le_2_5",g_lang_key,0))</f>
        <v>Risikopulje</v>
      </c>
      <c r="R73" s="144">
        <f ca="1">IF(S$74&lt;&gt;0,S73/(S57+S51+S73),0)</f>
        <v>0</v>
      </c>
      <c r="S73" s="141">
        <f t="shared" ca="1" si="10"/>
        <v>0</v>
      </c>
      <c r="T73" s="142">
        <f ca="1">IF(T$50="","",INDEX(Leverancer!AX:AX,64)/1000)</f>
        <v>0</v>
      </c>
      <c r="U73" s="142">
        <f ca="1">IF(U$50="","",INDEX(Leverancer!AY:AY,64)/1000)</f>
        <v>0</v>
      </c>
      <c r="V73" s="142">
        <f ca="1">IF(V$50="","",INDEX(Leverancer!AZ:AZ,64)/1000)</f>
        <v>0</v>
      </c>
      <c r="W73" s="142">
        <f ca="1">IF(W$50="","",INDEX(Leverancer!BA:BA,64)/1000)</f>
        <v>0</v>
      </c>
      <c r="X73" s="142">
        <f ca="1">IF(X$50="","",INDEX(Leverancer!BB:BB,64)/1000)</f>
        <v>0</v>
      </c>
      <c r="Y73" s="142" t="str">
        <f ca="1">IF(Y$50="","",INDEX(Leverancer!BC:BC,64)/1000)</f>
        <v/>
      </c>
      <c r="Z73" s="142" t="str">
        <f ca="1">IF(Z$50="","",INDEX(Leverancer!BD:BD,64)/1000)</f>
        <v/>
      </c>
      <c r="AA73" s="142" t="str">
        <f ca="1">IF(AA$50="","",INDEX(Leverancer!BE:BE,64)/1000)</f>
        <v/>
      </c>
      <c r="AB73" s="142" t="str">
        <f ca="1">IF(AB$50="","",INDEX(Leverancer!BF:BF,64)/1000)</f>
        <v/>
      </c>
      <c r="AC73" s="142" t="str">
        <f ca="1">IF(AC$50="","",INDEX(Leverancer!BG:BG,64)/1000)</f>
        <v/>
      </c>
      <c r="AD73" s="142" t="str">
        <f ca="1">IF(AD$50="","",INDEX(Leverancer!BH:BH,64)/1000)</f>
        <v/>
      </c>
      <c r="AE73" s="142" t="str">
        <f ca="1">IF(AE$50="","",INDEX(Leverancer!BI:BI,64)/1000)</f>
        <v/>
      </c>
      <c r="AF73" s="142" t="str">
        <f ca="1">IF(AF$50="","",INDEX(Leverancer!BJ:BJ,64)/1000)</f>
        <v/>
      </c>
      <c r="AG73" s="142" t="str">
        <f ca="1">IF(AG$50="","",INDEX(Leverancer!BK:BK,64)/1000)</f>
        <v/>
      </c>
      <c r="AH73" s="142" t="str">
        <f ca="1">IF(AH$50="","",INDEX(Leverancer!BL:BL,64)/1000)</f>
        <v/>
      </c>
      <c r="AI73" s="142" t="str">
        <f ca="1">IF(AI$50="","",INDEX(Leverancer!BM:BM,64)/1000)</f>
        <v/>
      </c>
      <c r="AJ73" s="142" t="str">
        <f ca="1">IF(AJ$50="","",INDEX(Leverancer!BN:BN,64)/1000)</f>
        <v/>
      </c>
      <c r="AK73" s="142" t="str">
        <f ca="1">IF(AK$50="","",INDEX(Leverancer!BO:BO,64)/1000)</f>
        <v/>
      </c>
      <c r="AL73" s="142" t="str">
        <f ca="1">IF(AL$50="","",INDEX(Leverancer!BP:BP,64)/1000)</f>
        <v/>
      </c>
      <c r="AM73" s="142" t="str">
        <f ca="1">IF(AM$50="","",INDEX(Leverancer!BQ:BQ,64)/1000)</f>
        <v/>
      </c>
      <c r="AN73" s="142" t="str">
        <f>IF(AN$50="","",INDEX(Leverancer!BR:BR,64)/1000)</f>
        <v/>
      </c>
      <c r="AO73" s="142" t="str">
        <f>IF(AO$50="","",INDEX(Leverancer!BS:BS,64)/1000)</f>
        <v/>
      </c>
      <c r="AP73" s="142" t="str">
        <f>IF(AP$50="","",INDEX(Leverancer!BT:BT,64)/1000)</f>
        <v/>
      </c>
      <c r="AQ73" s="142" t="str">
        <f>IF(AQ$50="","",INDEX(Leverancer!BU:BU,64)/1000)</f>
        <v/>
      </c>
      <c r="AR73" s="142" t="str">
        <f>IF(AR$50="","",INDEX(Leverancer!BV:BV,64)/1000)</f>
        <v/>
      </c>
      <c r="AS73" s="142" t="str">
        <f>IF(AS$50="","",INDEX(Leverancer!BW:BW,64)/1000)</f>
        <v/>
      </c>
      <c r="AT73" s="142" t="str">
        <f>IF(AT$50="","",INDEX(Leverancer!BX:BX,64)/1000)</f>
        <v/>
      </c>
      <c r="AU73" s="142" t="str">
        <f>IF(AU$50="","",INDEX(Leverancer!BY:BY,64)/1000)</f>
        <v/>
      </c>
      <c r="AV73" s="142" t="str">
        <f>IF(AV$50="","",INDEX(Leverancer!BZ:BZ,64)/1000)</f>
        <v/>
      </c>
      <c r="AW73" s="142" t="str">
        <f>IF(AW$50="","",INDEX(Leverancer!CA:CA,64)/1000)</f>
        <v/>
      </c>
      <c r="AX73" s="112"/>
      <c r="AY73" s="112"/>
      <c r="AZ73" s="109"/>
    </row>
    <row r="74" spans="1:52" ht="12.75" customHeight="1" x14ac:dyDescent="0.2">
      <c r="N74" s="107"/>
      <c r="O74" s="112"/>
      <c r="P74" s="112"/>
      <c r="Q74" s="139" t="str">
        <f>INDEX(g_lang_val,MATCH("tb_2_1_4",g_lang_key,0))</f>
        <v>Total, ekskl. renter</v>
      </c>
      <c r="R74" s="144">
        <f ca="1">R51+R57+R73</f>
        <v>0</v>
      </c>
      <c r="S74" s="141">
        <f t="shared" ca="1" si="10"/>
        <v>0</v>
      </c>
      <c r="T74" s="142">
        <f ca="1">IF(T$50="","",T51+T57+T73)</f>
        <v>0</v>
      </c>
      <c r="U74" s="142">
        <f t="shared" ref="U74:AM74" ca="1" si="12">IF(U$50="","",U51+U57+U73)</f>
        <v>0</v>
      </c>
      <c r="V74" s="142">
        <f t="shared" ca="1" si="12"/>
        <v>0</v>
      </c>
      <c r="W74" s="142">
        <f t="shared" ca="1" si="12"/>
        <v>0</v>
      </c>
      <c r="X74" s="142">
        <f t="shared" ca="1" si="12"/>
        <v>0</v>
      </c>
      <c r="Y74" s="142" t="str">
        <f t="shared" ca="1" si="12"/>
        <v/>
      </c>
      <c r="Z74" s="142" t="str">
        <f t="shared" ca="1" si="12"/>
        <v/>
      </c>
      <c r="AA74" s="142" t="str">
        <f t="shared" ca="1" si="12"/>
        <v/>
      </c>
      <c r="AB74" s="142" t="str">
        <f t="shared" ca="1" si="12"/>
        <v/>
      </c>
      <c r="AC74" s="142" t="str">
        <f t="shared" ca="1" si="12"/>
        <v/>
      </c>
      <c r="AD74" s="142" t="str">
        <f t="shared" ca="1" si="12"/>
        <v/>
      </c>
      <c r="AE74" s="142" t="str">
        <f t="shared" ca="1" si="12"/>
        <v/>
      </c>
      <c r="AF74" s="142" t="str">
        <f t="shared" ca="1" si="12"/>
        <v/>
      </c>
      <c r="AG74" s="142" t="str">
        <f t="shared" ca="1" si="12"/>
        <v/>
      </c>
      <c r="AH74" s="142" t="str">
        <f t="shared" ca="1" si="12"/>
        <v/>
      </c>
      <c r="AI74" s="142" t="str">
        <f t="shared" ca="1" si="12"/>
        <v/>
      </c>
      <c r="AJ74" s="142" t="str">
        <f t="shared" ca="1" si="12"/>
        <v/>
      </c>
      <c r="AK74" s="142" t="str">
        <f t="shared" ca="1" si="12"/>
        <v/>
      </c>
      <c r="AL74" s="142" t="str">
        <f t="shared" ca="1" si="12"/>
        <v/>
      </c>
      <c r="AM74" s="142" t="str">
        <f t="shared" ca="1" si="12"/>
        <v/>
      </c>
      <c r="AN74" s="112"/>
      <c r="AO74" s="112"/>
      <c r="AP74" s="112"/>
      <c r="AQ74" s="112"/>
      <c r="AR74" s="112"/>
      <c r="AS74" s="112"/>
      <c r="AT74" s="112"/>
      <c r="AU74" s="112"/>
      <c r="AV74" s="112"/>
      <c r="AW74" s="112"/>
      <c r="AX74" s="112"/>
      <c r="AY74" s="112"/>
      <c r="AZ74" s="109"/>
    </row>
    <row r="75" spans="1:52" ht="12.75" hidden="1" customHeight="1" x14ac:dyDescent="0.2">
      <c r="N75" s="107"/>
      <c r="O75" s="112"/>
      <c r="P75" s="112"/>
      <c r="Q75" s="145" t="s">
        <v>165</v>
      </c>
      <c r="R75" s="144" t="e">
        <f ca="1">S75/S74</f>
        <v>#DIV/0!</v>
      </c>
      <c r="S75" s="141">
        <f t="shared" ref="S75" si="13">SUM(T75:AM75)</f>
        <v>0</v>
      </c>
      <c r="T75" s="142">
        <f>SUMIF($B:$B,1,T:T)</f>
        <v>0</v>
      </c>
      <c r="U75" s="142">
        <f>SUMIF($B:$B,1,U:U)</f>
        <v>0</v>
      </c>
      <c r="V75" s="142">
        <f>SUMIF($B:$B,1,V:V)</f>
        <v>0</v>
      </c>
      <c r="W75" s="142">
        <f>SUMIF($B:$B,1,W:W)</f>
        <v>0</v>
      </c>
      <c r="X75" s="146"/>
      <c r="Y75" s="146"/>
      <c r="Z75" s="146"/>
      <c r="AA75" s="146"/>
      <c r="AB75" s="146"/>
      <c r="AC75" s="146"/>
      <c r="AD75" s="146"/>
      <c r="AE75" s="146"/>
      <c r="AF75" s="146"/>
      <c r="AG75" s="146"/>
      <c r="AH75" s="146"/>
      <c r="AI75" s="146"/>
      <c r="AJ75" s="146"/>
      <c r="AK75" s="146"/>
      <c r="AL75" s="146"/>
      <c r="AM75" s="146"/>
      <c r="AN75" s="112"/>
      <c r="AO75" s="112"/>
      <c r="AP75" s="112"/>
      <c r="AQ75" s="112"/>
      <c r="AR75" s="112"/>
      <c r="AS75" s="112"/>
      <c r="AT75" s="112"/>
      <c r="AU75" s="112"/>
      <c r="AV75" s="112"/>
      <c r="AW75" s="112"/>
      <c r="AX75" s="112"/>
      <c r="AY75" s="112"/>
      <c r="AZ75" s="109"/>
    </row>
    <row r="76" spans="1:52" ht="12.75" customHeight="1" x14ac:dyDescent="0.2">
      <c r="N76" s="107"/>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09"/>
    </row>
    <row r="77" spans="1:52" ht="25.5" customHeight="1" thickBot="1" x14ac:dyDescent="0.25">
      <c r="N77" s="126"/>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8"/>
    </row>
    <row r="78" spans="1:52" ht="32.25" customHeight="1" thickTop="1" x14ac:dyDescent="0.2">
      <c r="A78" s="110">
        <v>248</v>
      </c>
      <c r="B78" s="110">
        <v>248</v>
      </c>
      <c r="C78" s="110">
        <v>222</v>
      </c>
      <c r="N78" s="253" t="str">
        <f>INDEX(g_lang_val,MATCH("le_3_2",g_lang_key,0))</f>
        <v>Drifts-, vedligeholds- og udviklingsomkostninger</v>
      </c>
      <c r="O78" s="254"/>
      <c r="P78" s="254"/>
      <c r="Q78" s="254"/>
      <c r="R78" s="254"/>
      <c r="S78" s="254"/>
      <c r="T78" s="254"/>
      <c r="U78" s="254"/>
      <c r="V78" s="254"/>
      <c r="W78" s="254"/>
      <c r="X78" s="254"/>
      <c r="Y78" s="254"/>
      <c r="Z78" s="254"/>
      <c r="AA78" s="254"/>
      <c r="AB78" s="254"/>
      <c r="AC78" s="254"/>
      <c r="AD78" s="254"/>
      <c r="AE78" s="254"/>
      <c r="AF78" s="254"/>
      <c r="AG78" s="254"/>
      <c r="AH78" s="254"/>
      <c r="AI78" s="254"/>
      <c r="AJ78" s="254"/>
      <c r="AK78" s="254"/>
      <c r="AL78" s="254"/>
      <c r="AM78" s="254"/>
      <c r="AN78" s="254"/>
      <c r="AO78" s="254"/>
      <c r="AP78" s="254"/>
      <c r="AQ78" s="254"/>
      <c r="AR78" s="254"/>
      <c r="AS78" s="254"/>
      <c r="AT78" s="254"/>
      <c r="AU78" s="254"/>
      <c r="AV78" s="254"/>
      <c r="AW78" s="254"/>
      <c r="AX78" s="254"/>
      <c r="AY78" s="254"/>
      <c r="AZ78" s="255"/>
    </row>
    <row r="79" spans="1:52" ht="12.75" customHeight="1" x14ac:dyDescent="0.2">
      <c r="N79" s="107"/>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9"/>
    </row>
    <row r="80" spans="1:52" ht="22.9" customHeight="1" x14ac:dyDescent="0.2">
      <c r="N80" s="107"/>
      <c r="O80" s="110"/>
      <c r="P80" s="110"/>
      <c r="Q80" s="129" t="str">
        <f>INDEX(g_lang_val,MATCH("tb_1_1",g_lang_key,0)) &amp; " 4"</f>
        <v>Tabel 4</v>
      </c>
      <c r="R80" s="110"/>
      <c r="S80" s="110"/>
      <c r="T80" s="110"/>
      <c r="U80" s="110"/>
      <c r="V80" s="110"/>
      <c r="W80" s="110"/>
      <c r="X80" s="110"/>
      <c r="Y80" s="110"/>
      <c r="Z80" s="110"/>
      <c r="AA80" s="110"/>
      <c r="AB80" s="110"/>
      <c r="AC80" s="110"/>
      <c r="AD80" s="110"/>
      <c r="AE80" s="110"/>
      <c r="AF80" s="110"/>
      <c r="AG80" s="110"/>
      <c r="AH80" s="110"/>
      <c r="AI80" s="110"/>
      <c r="AJ80" s="110"/>
      <c r="AK80" s="110"/>
      <c r="AL80" s="110" t="s">
        <v>150</v>
      </c>
      <c r="AM80" s="110"/>
      <c r="AN80" s="110"/>
      <c r="AO80" s="110"/>
      <c r="AP80" s="110"/>
      <c r="AQ80" s="110"/>
      <c r="AR80" s="110"/>
      <c r="AS80" s="110"/>
      <c r="AT80" s="110"/>
      <c r="AU80" s="110"/>
      <c r="AV80" s="110"/>
      <c r="AW80" s="110"/>
      <c r="AX80" s="110"/>
      <c r="AY80" s="110"/>
      <c r="AZ80" s="109"/>
    </row>
    <row r="81" spans="14:52" ht="31.15" customHeight="1" x14ac:dyDescent="0.2">
      <c r="N81" s="107"/>
      <c r="O81" s="112"/>
      <c r="P81" s="112"/>
      <c r="Q81" s="130" t="str">
        <f>INDEX(g_lang_val,MATCH("le_3_2",g_lang_key,0))</f>
        <v>Drifts-, vedligeholds- og udviklingsomkostninger</v>
      </c>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09"/>
    </row>
    <row r="82" spans="14:52" ht="12.75" customHeight="1" thickBot="1" x14ac:dyDescent="0.25">
      <c r="N82" s="107"/>
      <c r="O82" s="112"/>
      <c r="P82" s="112"/>
      <c r="Q82" s="115" t="str">
        <f ca="1">INDEX(g_lang_val,MATCH("tb_1_1_1_1",g_lang_key,0)) &amp;g_reporting_year&amp;INDEX(g_lang_val,MATCH("tb_1_1_1_2",g_lang_key,0))</f>
        <v>Mio. kr. 2024-pl</v>
      </c>
      <c r="R82" s="143"/>
      <c r="S82" s="116" t="str">
        <f>INDEX(g_lang_val,MATCH("le_2_2",g_lang_key,0))</f>
        <v xml:space="preserve">Total </v>
      </c>
      <c r="T82" s="132">
        <f ca="1">T37</f>
        <v>2024</v>
      </c>
      <c r="U82" s="132">
        <f t="shared" ref="U82:AW82" ca="1" si="14">U37</f>
        <v>2025</v>
      </c>
      <c r="V82" s="132">
        <f t="shared" ca="1" si="14"/>
        <v>2026</v>
      </c>
      <c r="W82" s="132">
        <f t="shared" ca="1" si="14"/>
        <v>2027</v>
      </c>
      <c r="X82" s="132">
        <f t="shared" ca="1" si="14"/>
        <v>2028</v>
      </c>
      <c r="Y82" s="132" t="str">
        <f t="shared" ca="1" si="14"/>
        <v/>
      </c>
      <c r="Z82" s="132" t="str">
        <f t="shared" ca="1" si="14"/>
        <v/>
      </c>
      <c r="AA82" s="132" t="str">
        <f t="shared" ca="1" si="14"/>
        <v/>
      </c>
      <c r="AB82" s="132" t="str">
        <f t="shared" ca="1" si="14"/>
        <v/>
      </c>
      <c r="AC82" s="132" t="str">
        <f t="shared" ca="1" si="14"/>
        <v/>
      </c>
      <c r="AD82" s="132" t="str">
        <f t="shared" ca="1" si="14"/>
        <v/>
      </c>
      <c r="AE82" s="132" t="str">
        <f t="shared" ca="1" si="14"/>
        <v/>
      </c>
      <c r="AF82" s="132" t="str">
        <f t="shared" ca="1" si="14"/>
        <v/>
      </c>
      <c r="AG82" s="132" t="str">
        <f t="shared" ca="1" si="14"/>
        <v/>
      </c>
      <c r="AH82" s="132" t="str">
        <f t="shared" ca="1" si="14"/>
        <v/>
      </c>
      <c r="AI82" s="132" t="str">
        <f t="shared" ca="1" si="14"/>
        <v/>
      </c>
      <c r="AJ82" s="132" t="str">
        <f t="shared" ca="1" si="14"/>
        <v/>
      </c>
      <c r="AK82" s="132" t="str">
        <f t="shared" ca="1" si="14"/>
        <v/>
      </c>
      <c r="AL82" s="132" t="str">
        <f t="shared" ca="1" si="14"/>
        <v/>
      </c>
      <c r="AM82" s="132" t="str">
        <f t="shared" ca="1" si="14"/>
        <v/>
      </c>
      <c r="AN82" s="132" t="str">
        <f t="shared" ca="1" si="14"/>
        <v/>
      </c>
      <c r="AO82" s="132" t="str">
        <f t="shared" ca="1" si="14"/>
        <v/>
      </c>
      <c r="AP82" s="132" t="str">
        <f t="shared" ca="1" si="14"/>
        <v/>
      </c>
      <c r="AQ82" s="132" t="str">
        <f t="shared" ca="1" si="14"/>
        <v/>
      </c>
      <c r="AR82" s="132" t="str">
        <f t="shared" ca="1" si="14"/>
        <v/>
      </c>
      <c r="AS82" s="132" t="str">
        <f t="shared" ca="1" si="14"/>
        <v/>
      </c>
      <c r="AT82" s="132" t="str">
        <f t="shared" ca="1" si="14"/>
        <v/>
      </c>
      <c r="AU82" s="132" t="str">
        <f t="shared" ca="1" si="14"/>
        <v/>
      </c>
      <c r="AV82" s="132" t="str">
        <f t="shared" ca="1" si="14"/>
        <v/>
      </c>
      <c r="AW82" s="132" t="str">
        <f t="shared" ca="1" si="14"/>
        <v/>
      </c>
      <c r="AX82" s="112"/>
      <c r="AY82" s="112"/>
      <c r="AZ82" s="109"/>
    </row>
    <row r="83" spans="14:52" ht="12.75" customHeight="1" thickTop="1" x14ac:dyDescent="0.2">
      <c r="N83" s="107"/>
      <c r="O83" s="112"/>
      <c r="P83" s="112"/>
      <c r="Q83" s="138" t="str">
        <f>INDEX(Leverancer!$AR$1:$AR$1006,ROW()-ROW($Q$83) + ROW(Leverancer!$AR$76))&amp;": "&amp;INDEX(Leverancer!$AS$1:$AS$1006,ROW()-ROW($Q$83) + ROW(Leverancer!$AR$76))</f>
        <v xml:space="preserve">D1: </v>
      </c>
      <c r="R83" s="140"/>
      <c r="S83" s="167">
        <f ca="1">SUM(T83:BG83)</f>
        <v>0</v>
      </c>
      <c r="T83" s="136">
        <f ca="1">IF(T$37="","",INDEX(Leverancer!AX$1:AX$1006,ROW()-ROW($Q$82) + ROW(Leverancer!$AR$75))*Leverancer!AX$88/1000)</f>
        <v>0</v>
      </c>
      <c r="U83" s="136">
        <f ca="1">IF(U$37="","",INDEX(Leverancer!AY$1:AY$1006,ROW()-ROW($Q$82) + ROW(Leverancer!$AR$75))*Leverancer!AY$88/1000)</f>
        <v>0</v>
      </c>
      <c r="V83" s="136">
        <f ca="1">IF(V$37="","",INDEX(Leverancer!AZ$1:AZ$1006,ROW()-ROW($Q$82) + ROW(Leverancer!$AR$75))*Leverancer!AZ$88/1000)</f>
        <v>0</v>
      </c>
      <c r="W83" s="136">
        <f ca="1">IF(W$37="","",INDEX(Leverancer!BA$1:BA$1006,ROW()-ROW($Q$82) + ROW(Leverancer!$AR$75))*Leverancer!BA$88/1000)</f>
        <v>0</v>
      </c>
      <c r="X83" s="136">
        <f ca="1">IF(X$37="","",INDEX(Leverancer!BB$1:BB$1006,ROW()-ROW($Q$82) + ROW(Leverancer!$AR$75))*Leverancer!BB$88/1000)</f>
        <v>0</v>
      </c>
      <c r="Y83" s="136" t="str">
        <f ca="1">IF(Y$37="","",INDEX(Leverancer!BC$1:BC$1006,ROW()-ROW($Q$82) + ROW(Leverancer!$AR$75))*Leverancer!BC$88/1000)</f>
        <v/>
      </c>
      <c r="Z83" s="136" t="str">
        <f ca="1">IF(Z$37="","",INDEX(Leverancer!BD$1:BD$1006,ROW()-ROW($Q$82) + ROW(Leverancer!$AR$75))*Leverancer!BD$88/1000)</f>
        <v/>
      </c>
      <c r="AA83" s="136" t="str">
        <f ca="1">IF(AA$37="","",INDEX(Leverancer!BE$1:BE$1006,ROW()-ROW($Q$82) + ROW(Leverancer!$AR$75))*Leverancer!BE$88/1000)</f>
        <v/>
      </c>
      <c r="AB83" s="136" t="str">
        <f ca="1">IF(AB$37="","",INDEX(Leverancer!BF$1:BF$1006,ROW()-ROW($Q$82) + ROW(Leverancer!$AR$75))*Leverancer!BF$88/1000)</f>
        <v/>
      </c>
      <c r="AC83" s="136" t="str">
        <f ca="1">IF(AC$37="","",INDEX(Leverancer!BG$1:BG$1006,ROW()-ROW($Q$82) + ROW(Leverancer!$AR$75))*Leverancer!BG$88/1000)</f>
        <v/>
      </c>
      <c r="AD83" s="136" t="str">
        <f ca="1">IF(AD$37="","",INDEX(Leverancer!BH$1:BH$1006,ROW()-ROW($Q$82) + ROW(Leverancer!$AR$75))*Leverancer!BH$88/1000)</f>
        <v/>
      </c>
      <c r="AE83" s="136" t="str">
        <f ca="1">IF(AE$37="","",INDEX(Leverancer!BI$1:BI$1006,ROW()-ROW($Q$82) + ROW(Leverancer!$AR$75))*Leverancer!BI$88/1000)</f>
        <v/>
      </c>
      <c r="AF83" s="136" t="str">
        <f ca="1">IF(AF$37="","",INDEX(Leverancer!BJ$1:BJ$1006,ROW()-ROW($Q$82) + ROW(Leverancer!$AR$75))*Leverancer!BJ$88/1000)</f>
        <v/>
      </c>
      <c r="AG83" s="136" t="str">
        <f ca="1">IF(AG$37="","",INDEX(Leverancer!BK$1:BK$1006,ROW()-ROW($Q$82) + ROW(Leverancer!$AR$75))*Leverancer!BK$88/1000)</f>
        <v/>
      </c>
      <c r="AH83" s="136" t="str">
        <f ca="1">IF(AH$37="","",INDEX(Leverancer!BL$1:BL$1006,ROW()-ROW($Q$82) + ROW(Leverancer!$AR$75))*Leverancer!BL$88/1000)</f>
        <v/>
      </c>
      <c r="AI83" s="136" t="str">
        <f ca="1">IF(AI$37="","",INDEX(Leverancer!BM$1:BM$1006,ROW()-ROW($Q$82) + ROW(Leverancer!$AR$75))*Leverancer!BM$88/1000)</f>
        <v/>
      </c>
      <c r="AJ83" s="136" t="str">
        <f ca="1">IF(AJ$37="","",INDEX(Leverancer!BN$1:BN$1006,ROW()-ROW($Q$82) + ROW(Leverancer!$AR$75))*Leverancer!BN$88/1000)</f>
        <v/>
      </c>
      <c r="AK83" s="136" t="str">
        <f ca="1">IF(AK$37="","",INDEX(Leverancer!BO$1:BO$1006,ROW()-ROW($Q$82) + ROW(Leverancer!$AR$75))*Leverancer!BO$88/1000)</f>
        <v/>
      </c>
      <c r="AL83" s="136" t="str">
        <f ca="1">IF(AL$37="","",INDEX(Leverancer!BP$1:BP$1006,ROW()-ROW($Q$82) + ROW(Leverancer!$AR$75))*Leverancer!BP$88/1000)</f>
        <v/>
      </c>
      <c r="AM83" s="136" t="str">
        <f ca="1">IF(AM$37="","",INDEX(Leverancer!BQ$1:BQ$1006,ROW()-ROW($Q$82) + ROW(Leverancer!$AR$75))*Leverancer!BQ$88/1000)</f>
        <v/>
      </c>
      <c r="AN83" s="136" t="str">
        <f ca="1">IF(AN$37="","",INDEX(Leverancer!BR$1:BR$1006,ROW()-ROW($Q$82) + ROW(Leverancer!$AR$75))*Leverancer!BR$88/1000)</f>
        <v/>
      </c>
      <c r="AO83" s="136" t="str">
        <f ca="1">IF(AO$37="","",INDEX(Leverancer!BS$1:BS$1006,ROW()-ROW($Q$82) + ROW(Leverancer!$AR$75))*Leverancer!BS$88/1000)</f>
        <v/>
      </c>
      <c r="AP83" s="136" t="str">
        <f ca="1">IF(AP$37="","",INDEX(Leverancer!BT$1:BT$1006,ROW()-ROW($Q$82) + ROW(Leverancer!$AR$75))*Leverancer!BT$88/1000)</f>
        <v/>
      </c>
      <c r="AQ83" s="136" t="str">
        <f ca="1">IF(AQ$37="","",INDEX(Leverancer!BU$1:BU$1006,ROW()-ROW($Q$82) + ROW(Leverancer!$AR$75))*Leverancer!BU$88/1000)</f>
        <v/>
      </c>
      <c r="AR83" s="136" t="str">
        <f ca="1">IF(AR$37="","",INDEX(Leverancer!BV$1:BV$1006,ROW()-ROW($Q$82) + ROW(Leverancer!$AR$75))*Leverancer!BV$88/1000)</f>
        <v/>
      </c>
      <c r="AS83" s="136" t="str">
        <f ca="1">IF(AS$37="","",INDEX(Leverancer!BW$1:BW$1006,ROW()-ROW($Q$82) + ROW(Leverancer!$AR$75))*Leverancer!BW$88/1000)</f>
        <v/>
      </c>
      <c r="AT83" s="136" t="str">
        <f ca="1">IF(AT$37="","",INDEX(Leverancer!BX$1:BX$1006,ROW()-ROW($Q$82) + ROW(Leverancer!$AR$75))*Leverancer!BX$88/1000)</f>
        <v/>
      </c>
      <c r="AU83" s="136" t="str">
        <f ca="1">IF(AU$37="","",INDEX(Leverancer!BY$1:BY$1006,ROW()-ROW($Q$82) + ROW(Leverancer!$AR$75))*Leverancer!BY$88/1000)</f>
        <v/>
      </c>
      <c r="AV83" s="136" t="str">
        <f ca="1">IF(AV$37="","",INDEX(Leverancer!BZ$1:BZ$1006,ROW()-ROW($Q$82) + ROW(Leverancer!$AR$75))*Leverancer!BZ$88/1000)</f>
        <v/>
      </c>
      <c r="AW83" s="136" t="str">
        <f ca="1">IF(AW$37="","",INDEX(Leverancer!CA$1:CA$1006,ROW()-ROW($Q$82) + ROW(Leverancer!$AR$75))*Leverancer!CA$88/1000)</f>
        <v/>
      </c>
      <c r="AX83" s="112"/>
      <c r="AY83" s="112"/>
      <c r="AZ83" s="109"/>
    </row>
    <row r="84" spans="14:52" ht="12.75" customHeight="1" x14ac:dyDescent="0.2">
      <c r="N84" s="107"/>
      <c r="O84" s="112"/>
      <c r="P84" s="112"/>
      <c r="Q84" s="138" t="str">
        <f>INDEX(Leverancer!$AR$1:$AR$1006,ROW()-ROW($Q$83) + ROW(Leverancer!$AR$76))&amp;": "&amp;INDEX(Leverancer!$AS$1:$AS$1006,ROW()-ROW($Q$83) + ROW(Leverancer!$AR$76))</f>
        <v xml:space="preserve">D2: </v>
      </c>
      <c r="R84" s="136"/>
      <c r="S84" s="167">
        <f t="shared" ref="S84:S88" ca="1" si="15">SUM(T84:BG84)</f>
        <v>0</v>
      </c>
      <c r="T84" s="136">
        <f ca="1">IF(T$37="","",INDEX(Leverancer!AX$1:AX$1006,ROW()-ROW($Q$82) + ROW(Leverancer!$AR$75))*Leverancer!AX$88/1000)</f>
        <v>0</v>
      </c>
      <c r="U84" s="136">
        <f ca="1">IF(U$37="","",INDEX(Leverancer!AY$1:AY$1006,ROW()-ROW($Q$82) + ROW(Leverancer!$AR$75))*Leverancer!AY$88/1000)</f>
        <v>0</v>
      </c>
      <c r="V84" s="136">
        <f ca="1">IF(V$37="","",INDEX(Leverancer!AZ$1:AZ$1006,ROW()-ROW($Q$82) + ROW(Leverancer!$AR$75))*Leverancer!AZ$88/1000)</f>
        <v>0</v>
      </c>
      <c r="W84" s="136">
        <f ca="1">IF(W$37="","",INDEX(Leverancer!BA$1:BA$1006,ROW()-ROW($Q$82) + ROW(Leverancer!$AR$75))*Leverancer!BA$88/1000)</f>
        <v>0</v>
      </c>
      <c r="X84" s="136">
        <f ca="1">IF(X$37="","",INDEX(Leverancer!BB$1:BB$1006,ROW()-ROW($Q$82) + ROW(Leverancer!$AR$75))*Leverancer!BB$88/1000)</f>
        <v>0</v>
      </c>
      <c r="Y84" s="136" t="str">
        <f ca="1">IF(Y$37="","",INDEX(Leverancer!BC$1:BC$1006,ROW()-ROW($Q$82) + ROW(Leverancer!$AR$75))*Leverancer!BC$88/1000)</f>
        <v/>
      </c>
      <c r="Z84" s="136" t="str">
        <f ca="1">IF(Z$37="","",INDEX(Leverancer!BD$1:BD$1006,ROW()-ROW($Q$82) + ROW(Leverancer!$AR$75))*Leverancer!BD$88/1000)</f>
        <v/>
      </c>
      <c r="AA84" s="136" t="str">
        <f ca="1">IF(AA$37="","",INDEX(Leverancer!BE$1:BE$1006,ROW()-ROW($Q$82) + ROW(Leverancer!$AR$75))*Leverancer!BE$88/1000)</f>
        <v/>
      </c>
      <c r="AB84" s="136" t="str">
        <f ca="1">IF(AB$37="","",INDEX(Leverancer!BF$1:BF$1006,ROW()-ROW($Q$82) + ROW(Leverancer!$AR$75))*Leverancer!BF$88/1000)</f>
        <v/>
      </c>
      <c r="AC84" s="136" t="str">
        <f ca="1">IF(AC$37="","",INDEX(Leverancer!BG$1:BG$1006,ROW()-ROW($Q$82) + ROW(Leverancer!$AR$75))*Leverancer!BG$88/1000)</f>
        <v/>
      </c>
      <c r="AD84" s="136" t="str">
        <f ca="1">IF(AD$37="","",INDEX(Leverancer!BH$1:BH$1006,ROW()-ROW($Q$82) + ROW(Leverancer!$AR$75))*Leverancer!BH$88/1000)</f>
        <v/>
      </c>
      <c r="AE84" s="136" t="str">
        <f ca="1">IF(AE$37="","",INDEX(Leverancer!BI$1:BI$1006,ROW()-ROW($Q$82) + ROW(Leverancer!$AR$75))*Leverancer!BI$88/1000)</f>
        <v/>
      </c>
      <c r="AF84" s="136" t="str">
        <f ca="1">IF(AF$37="","",INDEX(Leverancer!BJ$1:BJ$1006,ROW()-ROW($Q$82) + ROW(Leverancer!$AR$75))*Leverancer!BJ$88/1000)</f>
        <v/>
      </c>
      <c r="AG84" s="136" t="str">
        <f ca="1">IF(AG$37="","",INDEX(Leverancer!BK$1:BK$1006,ROW()-ROW($Q$82) + ROW(Leverancer!$AR$75))*Leverancer!BK$88/1000)</f>
        <v/>
      </c>
      <c r="AH84" s="136" t="str">
        <f ca="1">IF(AH$37="","",INDEX(Leverancer!BL$1:BL$1006,ROW()-ROW($Q$82) + ROW(Leverancer!$AR$75))*Leverancer!BL$88/1000)</f>
        <v/>
      </c>
      <c r="AI84" s="136" t="str">
        <f ca="1">IF(AI$37="","",INDEX(Leverancer!BM$1:BM$1006,ROW()-ROW($Q$82) + ROW(Leverancer!$AR$75))*Leverancer!BM$88/1000)</f>
        <v/>
      </c>
      <c r="AJ84" s="136" t="str">
        <f ca="1">IF(AJ$37="","",INDEX(Leverancer!BN$1:BN$1006,ROW()-ROW($Q$82) + ROW(Leverancer!$AR$75))*Leverancer!BN$88/1000)</f>
        <v/>
      </c>
      <c r="AK84" s="136" t="str">
        <f ca="1">IF(AK$37="","",INDEX(Leverancer!BO$1:BO$1006,ROW()-ROW($Q$82) + ROW(Leverancer!$AR$75))*Leverancer!BO$88/1000)</f>
        <v/>
      </c>
      <c r="AL84" s="136" t="str">
        <f ca="1">IF(AL$37="","",INDEX(Leverancer!BP$1:BP$1006,ROW()-ROW($Q$82) + ROW(Leverancer!$AR$75))*Leverancer!BP$88/1000)</f>
        <v/>
      </c>
      <c r="AM84" s="136" t="str">
        <f ca="1">IF(AM$37="","",INDEX(Leverancer!BQ$1:BQ$1006,ROW()-ROW($Q$82) + ROW(Leverancer!$AR$75))*Leverancer!BQ$88/1000)</f>
        <v/>
      </c>
      <c r="AN84" s="136" t="str">
        <f ca="1">IF(AN$37="","",INDEX(Leverancer!BR$1:BR$1006,ROW()-ROW($Q$82) + ROW(Leverancer!$AR$75))*Leverancer!BR$88/1000)</f>
        <v/>
      </c>
      <c r="AO84" s="136" t="str">
        <f ca="1">IF(AO$37="","",INDEX(Leverancer!BS$1:BS$1006,ROW()-ROW($Q$82) + ROW(Leverancer!$AR$75))*Leverancer!BS$88/1000)</f>
        <v/>
      </c>
      <c r="AP84" s="136" t="str">
        <f ca="1">IF(AP$37="","",INDEX(Leverancer!BT$1:BT$1006,ROW()-ROW($Q$82) + ROW(Leverancer!$AR$75))*Leverancer!BT$88/1000)</f>
        <v/>
      </c>
      <c r="AQ84" s="136" t="str">
        <f ca="1">IF(AQ$37="","",INDEX(Leverancer!BU$1:BU$1006,ROW()-ROW($Q$82) + ROW(Leverancer!$AR$75))*Leverancer!BU$88/1000)</f>
        <v/>
      </c>
      <c r="AR84" s="136" t="str">
        <f ca="1">IF(AR$37="","",INDEX(Leverancer!BV$1:BV$1006,ROW()-ROW($Q$82) + ROW(Leverancer!$AR$75))*Leverancer!BV$88/1000)</f>
        <v/>
      </c>
      <c r="AS84" s="136" t="str">
        <f ca="1">IF(AS$37="","",INDEX(Leverancer!BW$1:BW$1006,ROW()-ROW($Q$82) + ROW(Leverancer!$AR$75))*Leverancer!BW$88/1000)</f>
        <v/>
      </c>
      <c r="AT84" s="136" t="str">
        <f ca="1">IF(AT$37="","",INDEX(Leverancer!BX$1:BX$1006,ROW()-ROW($Q$82) + ROW(Leverancer!$AR$75))*Leverancer!BX$88/1000)</f>
        <v/>
      </c>
      <c r="AU84" s="136" t="str">
        <f ca="1">IF(AU$37="","",INDEX(Leverancer!BY$1:BY$1006,ROW()-ROW($Q$82) + ROW(Leverancer!$AR$75))*Leverancer!BY$88/1000)</f>
        <v/>
      </c>
      <c r="AV84" s="136" t="str">
        <f ca="1">IF(AV$37="","",INDEX(Leverancer!BZ$1:BZ$1006,ROW()-ROW($Q$82) + ROW(Leverancer!$AR$75))*Leverancer!BZ$88/1000)</f>
        <v/>
      </c>
      <c r="AW84" s="136" t="str">
        <f ca="1">IF(AW$37="","",INDEX(Leverancer!CA$1:CA$1006,ROW()-ROW($Q$82) + ROW(Leverancer!$AR$75))*Leverancer!CA$88/1000)</f>
        <v/>
      </c>
      <c r="AX84" s="112"/>
      <c r="AY84" s="112"/>
      <c r="AZ84" s="109"/>
    </row>
    <row r="85" spans="14:52" ht="12.75" customHeight="1" x14ac:dyDescent="0.2">
      <c r="N85" s="107"/>
      <c r="O85" s="112"/>
      <c r="P85" s="112"/>
      <c r="Q85" s="138" t="str">
        <f>INDEX(Leverancer!$AR$1:$AR$1006,ROW()-ROW($Q$83) + ROW(Leverancer!$AR$76))&amp;": "&amp;INDEX(Leverancer!$AS$1:$AS$1006,ROW()-ROW($Q$83) + ROW(Leverancer!$AR$76))</f>
        <v xml:space="preserve">D3: </v>
      </c>
      <c r="R85" s="136"/>
      <c r="S85" s="167">
        <f t="shared" ca="1" si="15"/>
        <v>0</v>
      </c>
      <c r="T85" s="136">
        <f ca="1">IF(T$37="","",INDEX(Leverancer!AX$1:AX$1006,ROW()-ROW($Q$82) + ROW(Leverancer!$AR$75))*Leverancer!AX$88/1000)</f>
        <v>0</v>
      </c>
      <c r="U85" s="136">
        <f ca="1">IF(U$37="","",INDEX(Leverancer!AY$1:AY$1006,ROW()-ROW($Q$82) + ROW(Leverancer!$AR$75))*Leverancer!AY$88/1000)</f>
        <v>0</v>
      </c>
      <c r="V85" s="136">
        <f ca="1">IF(V$37="","",INDEX(Leverancer!AZ$1:AZ$1006,ROW()-ROW($Q$82) + ROW(Leverancer!$AR$75))*Leverancer!AZ$88/1000)</f>
        <v>0</v>
      </c>
      <c r="W85" s="136">
        <f ca="1">IF(W$37="","",INDEX(Leverancer!BA$1:BA$1006,ROW()-ROW($Q$82) + ROW(Leverancer!$AR$75))*Leverancer!BA$88/1000)</f>
        <v>0</v>
      </c>
      <c r="X85" s="136">
        <f ca="1">IF(X$37="","",INDEX(Leverancer!BB$1:BB$1006,ROW()-ROW($Q$82) + ROW(Leverancer!$AR$75))*Leverancer!BB$88/1000)</f>
        <v>0</v>
      </c>
      <c r="Y85" s="136" t="str">
        <f ca="1">IF(Y$37="","",INDEX(Leverancer!BC$1:BC$1006,ROW()-ROW($Q$82) + ROW(Leverancer!$AR$75))*Leverancer!BC$88/1000)</f>
        <v/>
      </c>
      <c r="Z85" s="136" t="str">
        <f ca="1">IF(Z$37="","",INDEX(Leverancer!BD$1:BD$1006,ROW()-ROW($Q$82) + ROW(Leverancer!$AR$75))*Leverancer!BD$88/1000)</f>
        <v/>
      </c>
      <c r="AA85" s="136" t="str">
        <f ca="1">IF(AA$37="","",INDEX(Leverancer!BE$1:BE$1006,ROW()-ROW($Q$82) + ROW(Leverancer!$AR$75))*Leverancer!BE$88/1000)</f>
        <v/>
      </c>
      <c r="AB85" s="136" t="str">
        <f ca="1">IF(AB$37="","",INDEX(Leverancer!BF$1:BF$1006,ROW()-ROW($Q$82) + ROW(Leverancer!$AR$75))*Leverancer!BF$88/1000)</f>
        <v/>
      </c>
      <c r="AC85" s="136" t="str">
        <f ca="1">IF(AC$37="","",INDEX(Leverancer!BG$1:BG$1006,ROW()-ROW($Q$82) + ROW(Leverancer!$AR$75))*Leverancer!BG$88/1000)</f>
        <v/>
      </c>
      <c r="AD85" s="136" t="str">
        <f ca="1">IF(AD$37="","",INDEX(Leverancer!BH$1:BH$1006,ROW()-ROW($Q$82) + ROW(Leverancer!$AR$75))*Leverancer!BH$88/1000)</f>
        <v/>
      </c>
      <c r="AE85" s="136" t="str">
        <f ca="1">IF(AE$37="","",INDEX(Leverancer!BI$1:BI$1006,ROW()-ROW($Q$82) + ROW(Leverancer!$AR$75))*Leverancer!BI$88/1000)</f>
        <v/>
      </c>
      <c r="AF85" s="136" t="str">
        <f ca="1">IF(AF$37="","",INDEX(Leverancer!BJ$1:BJ$1006,ROW()-ROW($Q$82) + ROW(Leverancer!$AR$75))*Leverancer!BJ$88/1000)</f>
        <v/>
      </c>
      <c r="AG85" s="136" t="str">
        <f ca="1">IF(AG$37="","",INDEX(Leverancer!BK$1:BK$1006,ROW()-ROW($Q$82) + ROW(Leverancer!$AR$75))*Leverancer!BK$88/1000)</f>
        <v/>
      </c>
      <c r="AH85" s="136" t="str">
        <f ca="1">IF(AH$37="","",INDEX(Leverancer!BL$1:BL$1006,ROW()-ROW($Q$82) + ROW(Leverancer!$AR$75))*Leverancer!BL$88/1000)</f>
        <v/>
      </c>
      <c r="AI85" s="136" t="str">
        <f ca="1">IF(AI$37="","",INDEX(Leverancer!BM$1:BM$1006,ROW()-ROW($Q$82) + ROW(Leverancer!$AR$75))*Leverancer!BM$88/1000)</f>
        <v/>
      </c>
      <c r="AJ85" s="136" t="str">
        <f ca="1">IF(AJ$37="","",INDEX(Leverancer!BN$1:BN$1006,ROW()-ROW($Q$82) + ROW(Leverancer!$AR$75))*Leverancer!BN$88/1000)</f>
        <v/>
      </c>
      <c r="AK85" s="136" t="str">
        <f ca="1">IF(AK$37="","",INDEX(Leverancer!BO$1:BO$1006,ROW()-ROW($Q$82) + ROW(Leverancer!$AR$75))*Leverancer!BO$88/1000)</f>
        <v/>
      </c>
      <c r="AL85" s="136" t="str">
        <f ca="1">IF(AL$37="","",INDEX(Leverancer!BP$1:BP$1006,ROW()-ROW($Q$82) + ROW(Leverancer!$AR$75))*Leverancer!BP$88/1000)</f>
        <v/>
      </c>
      <c r="AM85" s="136" t="str">
        <f ca="1">IF(AM$37="","",INDEX(Leverancer!BQ$1:BQ$1006,ROW()-ROW($Q$82) + ROW(Leverancer!$AR$75))*Leverancer!BQ$88/1000)</f>
        <v/>
      </c>
      <c r="AN85" s="136" t="str">
        <f ca="1">IF(AN$37="","",INDEX(Leverancer!BR$1:BR$1006,ROW()-ROW($Q$82) + ROW(Leverancer!$AR$75))*Leverancer!BR$88/1000)</f>
        <v/>
      </c>
      <c r="AO85" s="136" t="str">
        <f ca="1">IF(AO$37="","",INDEX(Leverancer!BS$1:BS$1006,ROW()-ROW($Q$82) + ROW(Leverancer!$AR$75))*Leverancer!BS$88/1000)</f>
        <v/>
      </c>
      <c r="AP85" s="136" t="str">
        <f ca="1">IF(AP$37="","",INDEX(Leverancer!BT$1:BT$1006,ROW()-ROW($Q$82) + ROW(Leverancer!$AR$75))*Leverancer!BT$88/1000)</f>
        <v/>
      </c>
      <c r="AQ85" s="136" t="str">
        <f ca="1">IF(AQ$37="","",INDEX(Leverancer!BU$1:BU$1006,ROW()-ROW($Q$82) + ROW(Leverancer!$AR$75))*Leverancer!BU$88/1000)</f>
        <v/>
      </c>
      <c r="AR85" s="136" t="str">
        <f ca="1">IF(AR$37="","",INDEX(Leverancer!BV$1:BV$1006,ROW()-ROW($Q$82) + ROW(Leverancer!$AR$75))*Leverancer!BV$88/1000)</f>
        <v/>
      </c>
      <c r="AS85" s="136" t="str">
        <f ca="1">IF(AS$37="","",INDEX(Leverancer!BW$1:BW$1006,ROW()-ROW($Q$82) + ROW(Leverancer!$AR$75))*Leverancer!BW$88/1000)</f>
        <v/>
      </c>
      <c r="AT85" s="136" t="str">
        <f ca="1">IF(AT$37="","",INDEX(Leverancer!BX$1:BX$1006,ROW()-ROW($Q$82) + ROW(Leverancer!$AR$75))*Leverancer!BX$88/1000)</f>
        <v/>
      </c>
      <c r="AU85" s="136" t="str">
        <f ca="1">IF(AU$37="","",INDEX(Leverancer!BY$1:BY$1006,ROW()-ROW($Q$82) + ROW(Leverancer!$AR$75))*Leverancer!BY$88/1000)</f>
        <v/>
      </c>
      <c r="AV85" s="136" t="str">
        <f ca="1">IF(AV$37="","",INDEX(Leverancer!BZ$1:BZ$1006,ROW()-ROW($Q$82) + ROW(Leverancer!$AR$75))*Leverancer!BZ$88/1000)</f>
        <v/>
      </c>
      <c r="AW85" s="136" t="str">
        <f ca="1">IF(AW$37="","",INDEX(Leverancer!CA$1:CA$1006,ROW()-ROW($Q$82) + ROW(Leverancer!$AR$75))*Leverancer!CA$88/1000)</f>
        <v/>
      </c>
      <c r="AX85" s="112"/>
      <c r="AY85" s="112"/>
      <c r="AZ85" s="109"/>
    </row>
    <row r="86" spans="14:52" ht="12.75" customHeight="1" x14ac:dyDescent="0.2">
      <c r="N86" s="107"/>
      <c r="O86" s="112"/>
      <c r="P86" s="112"/>
      <c r="Q86" s="138" t="str">
        <f>INDEX(Leverancer!$AR$1:$AR$1006,ROW()-ROW($Q$83) + ROW(Leverancer!$AR$76))&amp;": "&amp;INDEX(Leverancer!$AS$1:$AS$1006,ROW()-ROW($Q$83) + ROW(Leverancer!$AR$76))</f>
        <v xml:space="preserve">D4: </v>
      </c>
      <c r="R86" s="136"/>
      <c r="S86" s="167">
        <f t="shared" ca="1" si="15"/>
        <v>0</v>
      </c>
      <c r="T86" s="136">
        <f ca="1">IF(T$37="","",INDEX(Leverancer!AX$1:AX$1006,ROW()-ROW($Q$82) + ROW(Leverancer!$AR$75))*Leverancer!AX$88/1000)</f>
        <v>0</v>
      </c>
      <c r="U86" s="136">
        <f ca="1">IF(U$37="","",INDEX(Leverancer!AY$1:AY$1006,ROW()-ROW($Q$82) + ROW(Leverancer!$AR$75))*Leverancer!AY$88/1000)</f>
        <v>0</v>
      </c>
      <c r="V86" s="136">
        <f ca="1">IF(V$37="","",INDEX(Leverancer!AZ$1:AZ$1006,ROW()-ROW($Q$82) + ROW(Leverancer!$AR$75))*Leverancer!AZ$88/1000)</f>
        <v>0</v>
      </c>
      <c r="W86" s="136">
        <f ca="1">IF(W$37="","",INDEX(Leverancer!BA$1:BA$1006,ROW()-ROW($Q$82) + ROW(Leverancer!$AR$75))*Leverancer!BA$88/1000)</f>
        <v>0</v>
      </c>
      <c r="X86" s="136">
        <f ca="1">IF(X$37="","",INDEX(Leverancer!BB$1:BB$1006,ROW()-ROW($Q$82) + ROW(Leverancer!$AR$75))*Leverancer!BB$88/1000)</f>
        <v>0</v>
      </c>
      <c r="Y86" s="136" t="str">
        <f ca="1">IF(Y$37="","",INDEX(Leverancer!BC$1:BC$1006,ROW()-ROW($Q$82) + ROW(Leverancer!$AR$75))*Leverancer!BC$88/1000)</f>
        <v/>
      </c>
      <c r="Z86" s="136" t="str">
        <f ca="1">IF(Z$37="","",INDEX(Leverancer!BD$1:BD$1006,ROW()-ROW($Q$82) + ROW(Leverancer!$AR$75))*Leverancer!BD$88/1000)</f>
        <v/>
      </c>
      <c r="AA86" s="136" t="str">
        <f ca="1">IF(AA$37="","",INDEX(Leverancer!BE$1:BE$1006,ROW()-ROW($Q$82) + ROW(Leverancer!$AR$75))*Leverancer!BE$88/1000)</f>
        <v/>
      </c>
      <c r="AB86" s="136" t="str">
        <f ca="1">IF(AB$37="","",INDEX(Leverancer!BF$1:BF$1006,ROW()-ROW($Q$82) + ROW(Leverancer!$AR$75))*Leverancer!BF$88/1000)</f>
        <v/>
      </c>
      <c r="AC86" s="136" t="str">
        <f ca="1">IF(AC$37="","",INDEX(Leverancer!BG$1:BG$1006,ROW()-ROW($Q$82) + ROW(Leverancer!$AR$75))*Leverancer!BG$88/1000)</f>
        <v/>
      </c>
      <c r="AD86" s="136" t="str">
        <f ca="1">IF(AD$37="","",INDEX(Leverancer!BH$1:BH$1006,ROW()-ROW($Q$82) + ROW(Leverancer!$AR$75))*Leverancer!BH$88/1000)</f>
        <v/>
      </c>
      <c r="AE86" s="136" t="str">
        <f ca="1">IF(AE$37="","",INDEX(Leverancer!BI$1:BI$1006,ROW()-ROW($Q$82) + ROW(Leverancer!$AR$75))*Leverancer!BI$88/1000)</f>
        <v/>
      </c>
      <c r="AF86" s="136" t="str">
        <f ca="1">IF(AF$37="","",INDEX(Leverancer!BJ$1:BJ$1006,ROW()-ROW($Q$82) + ROW(Leverancer!$AR$75))*Leverancer!BJ$88/1000)</f>
        <v/>
      </c>
      <c r="AG86" s="136" t="str">
        <f ca="1">IF(AG$37="","",INDEX(Leverancer!BK$1:BK$1006,ROW()-ROW($Q$82) + ROW(Leverancer!$AR$75))*Leverancer!BK$88/1000)</f>
        <v/>
      </c>
      <c r="AH86" s="136" t="str">
        <f ca="1">IF(AH$37="","",INDEX(Leverancer!BL$1:BL$1006,ROW()-ROW($Q$82) + ROW(Leverancer!$AR$75))*Leverancer!BL$88/1000)</f>
        <v/>
      </c>
      <c r="AI86" s="136" t="str">
        <f ca="1">IF(AI$37="","",INDEX(Leverancer!BM$1:BM$1006,ROW()-ROW($Q$82) + ROW(Leverancer!$AR$75))*Leverancer!BM$88/1000)</f>
        <v/>
      </c>
      <c r="AJ86" s="136" t="str">
        <f ca="1">IF(AJ$37="","",INDEX(Leverancer!BN$1:BN$1006,ROW()-ROW($Q$82) + ROW(Leverancer!$AR$75))*Leverancer!BN$88/1000)</f>
        <v/>
      </c>
      <c r="AK86" s="136" t="str">
        <f ca="1">IF(AK$37="","",INDEX(Leverancer!BO$1:BO$1006,ROW()-ROW($Q$82) + ROW(Leverancer!$AR$75))*Leverancer!BO$88/1000)</f>
        <v/>
      </c>
      <c r="AL86" s="136" t="str">
        <f ca="1">IF(AL$37="","",INDEX(Leverancer!BP$1:BP$1006,ROW()-ROW($Q$82) + ROW(Leverancer!$AR$75))*Leverancer!BP$88/1000)</f>
        <v/>
      </c>
      <c r="AM86" s="136" t="str">
        <f ca="1">IF(AM$37="","",INDEX(Leverancer!BQ$1:BQ$1006,ROW()-ROW($Q$82) + ROW(Leverancer!$AR$75))*Leverancer!BQ$88/1000)</f>
        <v/>
      </c>
      <c r="AN86" s="136" t="str">
        <f ca="1">IF(AN$37="","",INDEX(Leverancer!BR$1:BR$1006,ROW()-ROW($Q$82) + ROW(Leverancer!$AR$75))*Leverancer!BR$88/1000)</f>
        <v/>
      </c>
      <c r="AO86" s="136" t="str">
        <f ca="1">IF(AO$37="","",INDEX(Leverancer!BS$1:BS$1006,ROW()-ROW($Q$82) + ROW(Leverancer!$AR$75))*Leverancer!BS$88/1000)</f>
        <v/>
      </c>
      <c r="AP86" s="136" t="str">
        <f ca="1">IF(AP$37="","",INDEX(Leverancer!BT$1:BT$1006,ROW()-ROW($Q$82) + ROW(Leverancer!$AR$75))*Leverancer!BT$88/1000)</f>
        <v/>
      </c>
      <c r="AQ86" s="136" t="str">
        <f ca="1">IF(AQ$37="","",INDEX(Leverancer!BU$1:BU$1006,ROW()-ROW($Q$82) + ROW(Leverancer!$AR$75))*Leverancer!BU$88/1000)</f>
        <v/>
      </c>
      <c r="AR86" s="136" t="str">
        <f ca="1">IF(AR$37="","",INDEX(Leverancer!BV$1:BV$1006,ROW()-ROW($Q$82) + ROW(Leverancer!$AR$75))*Leverancer!BV$88/1000)</f>
        <v/>
      </c>
      <c r="AS86" s="136" t="str">
        <f ca="1">IF(AS$37="","",INDEX(Leverancer!BW$1:BW$1006,ROW()-ROW($Q$82) + ROW(Leverancer!$AR$75))*Leverancer!BW$88/1000)</f>
        <v/>
      </c>
      <c r="AT86" s="136" t="str">
        <f ca="1">IF(AT$37="","",INDEX(Leverancer!BX$1:BX$1006,ROW()-ROW($Q$82) + ROW(Leverancer!$AR$75))*Leverancer!BX$88/1000)</f>
        <v/>
      </c>
      <c r="AU86" s="136" t="str">
        <f ca="1">IF(AU$37="","",INDEX(Leverancer!BY$1:BY$1006,ROW()-ROW($Q$82) + ROW(Leverancer!$AR$75))*Leverancer!BY$88/1000)</f>
        <v/>
      </c>
      <c r="AV86" s="136" t="str">
        <f ca="1">IF(AV$37="","",INDEX(Leverancer!BZ$1:BZ$1006,ROW()-ROW($Q$82) + ROW(Leverancer!$AR$75))*Leverancer!BZ$88/1000)</f>
        <v/>
      </c>
      <c r="AW86" s="136" t="str">
        <f ca="1">IF(AW$37="","",INDEX(Leverancer!CA$1:CA$1006,ROW()-ROW($Q$82) + ROW(Leverancer!$AR$75))*Leverancer!CA$88/1000)</f>
        <v/>
      </c>
      <c r="AX86" s="112"/>
      <c r="AY86" s="112"/>
      <c r="AZ86" s="109"/>
    </row>
    <row r="87" spans="14:52" ht="12.75" customHeight="1" x14ac:dyDescent="0.2">
      <c r="N87" s="107"/>
      <c r="O87" s="112"/>
      <c r="P87" s="112"/>
      <c r="Q87" s="138" t="str">
        <f>INDEX(Leverancer!$AR$1:$AR$1006,ROW()-ROW($Q$83) + ROW(Leverancer!$AR$76))&amp;": "&amp;INDEX(Leverancer!$AS$1:$AS$1006,ROW()-ROW($Q$83) + ROW(Leverancer!$AR$76))</f>
        <v xml:space="preserve">D5: </v>
      </c>
      <c r="R87" s="136"/>
      <c r="S87" s="167">
        <f t="shared" ca="1" si="15"/>
        <v>0</v>
      </c>
      <c r="T87" s="136">
        <f ca="1">IF(T$37="","",INDEX(Leverancer!AX$1:AX$1006,ROW()-ROW($Q$82) + ROW(Leverancer!$AR$75))*Leverancer!AX$88/1000)</f>
        <v>0</v>
      </c>
      <c r="U87" s="136">
        <f ca="1">IF(U$37="","",INDEX(Leverancer!AY$1:AY$1006,ROW()-ROW($Q$82) + ROW(Leverancer!$AR$75))*Leverancer!AY$88/1000)</f>
        <v>0</v>
      </c>
      <c r="V87" s="136">
        <f ca="1">IF(V$37="","",INDEX(Leverancer!AZ$1:AZ$1006,ROW()-ROW($Q$82) + ROW(Leverancer!$AR$75))*Leverancer!AZ$88/1000)</f>
        <v>0</v>
      </c>
      <c r="W87" s="136">
        <f ca="1">IF(W$37="","",INDEX(Leverancer!BA$1:BA$1006,ROW()-ROW($Q$82) + ROW(Leverancer!$AR$75))*Leverancer!BA$88/1000)</f>
        <v>0</v>
      </c>
      <c r="X87" s="136">
        <f ca="1">IF(X$37="","",INDEX(Leverancer!BB$1:BB$1006,ROW()-ROW($Q$82) + ROW(Leverancer!$AR$75))*Leverancer!BB$88/1000)</f>
        <v>0</v>
      </c>
      <c r="Y87" s="136" t="str">
        <f ca="1">IF(Y$37="","",INDEX(Leverancer!BC$1:BC$1006,ROW()-ROW($Q$82) + ROW(Leverancer!$AR$75))*Leverancer!BC$88/1000)</f>
        <v/>
      </c>
      <c r="Z87" s="136" t="str">
        <f ca="1">IF(Z$37="","",INDEX(Leverancer!BD$1:BD$1006,ROW()-ROW($Q$82) + ROW(Leverancer!$AR$75))*Leverancer!BD$88/1000)</f>
        <v/>
      </c>
      <c r="AA87" s="136" t="str">
        <f ca="1">IF(AA$37="","",INDEX(Leverancer!BE$1:BE$1006,ROW()-ROW($Q$82) + ROW(Leverancer!$AR$75))*Leverancer!BE$88/1000)</f>
        <v/>
      </c>
      <c r="AB87" s="136" t="str">
        <f ca="1">IF(AB$37="","",INDEX(Leverancer!BF$1:BF$1006,ROW()-ROW($Q$82) + ROW(Leverancer!$AR$75))*Leverancer!BF$88/1000)</f>
        <v/>
      </c>
      <c r="AC87" s="136" t="str">
        <f ca="1">IF(AC$37="","",INDEX(Leverancer!BG$1:BG$1006,ROW()-ROW($Q$82) + ROW(Leverancer!$AR$75))*Leverancer!BG$88/1000)</f>
        <v/>
      </c>
      <c r="AD87" s="136" t="str">
        <f ca="1">IF(AD$37="","",INDEX(Leverancer!BH$1:BH$1006,ROW()-ROW($Q$82) + ROW(Leverancer!$AR$75))*Leverancer!BH$88/1000)</f>
        <v/>
      </c>
      <c r="AE87" s="136" t="str">
        <f ca="1">IF(AE$37="","",INDEX(Leverancer!BI$1:BI$1006,ROW()-ROW($Q$82) + ROW(Leverancer!$AR$75))*Leverancer!BI$88/1000)</f>
        <v/>
      </c>
      <c r="AF87" s="136" t="str">
        <f ca="1">IF(AF$37="","",INDEX(Leverancer!BJ$1:BJ$1006,ROW()-ROW($Q$82) + ROW(Leverancer!$AR$75))*Leverancer!BJ$88/1000)</f>
        <v/>
      </c>
      <c r="AG87" s="136" t="str">
        <f ca="1">IF(AG$37="","",INDEX(Leverancer!BK$1:BK$1006,ROW()-ROW($Q$82) + ROW(Leverancer!$AR$75))*Leverancer!BK$88/1000)</f>
        <v/>
      </c>
      <c r="AH87" s="136" t="str">
        <f ca="1">IF(AH$37="","",INDEX(Leverancer!BL$1:BL$1006,ROW()-ROW($Q$82) + ROW(Leverancer!$AR$75))*Leverancer!BL$88/1000)</f>
        <v/>
      </c>
      <c r="AI87" s="136" t="str">
        <f ca="1">IF(AI$37="","",INDEX(Leverancer!BM$1:BM$1006,ROW()-ROW($Q$82) + ROW(Leverancer!$AR$75))*Leverancer!BM$88/1000)</f>
        <v/>
      </c>
      <c r="AJ87" s="136" t="str">
        <f ca="1">IF(AJ$37="","",INDEX(Leverancer!BN$1:BN$1006,ROW()-ROW($Q$82) + ROW(Leverancer!$AR$75))*Leverancer!BN$88/1000)</f>
        <v/>
      </c>
      <c r="AK87" s="136" t="str">
        <f ca="1">IF(AK$37="","",INDEX(Leverancer!BO$1:BO$1006,ROW()-ROW($Q$82) + ROW(Leverancer!$AR$75))*Leverancer!BO$88/1000)</f>
        <v/>
      </c>
      <c r="AL87" s="136" t="str">
        <f ca="1">IF(AL$37="","",INDEX(Leverancer!BP$1:BP$1006,ROW()-ROW($Q$82) + ROW(Leverancer!$AR$75))*Leverancer!BP$88/1000)</f>
        <v/>
      </c>
      <c r="AM87" s="136" t="str">
        <f ca="1">IF(AM$37="","",INDEX(Leverancer!BQ$1:BQ$1006,ROW()-ROW($Q$82) + ROW(Leverancer!$AR$75))*Leverancer!BQ$88/1000)</f>
        <v/>
      </c>
      <c r="AN87" s="136" t="str">
        <f ca="1">IF(AN$37="","",INDEX(Leverancer!BR$1:BR$1006,ROW()-ROW($Q$82) + ROW(Leverancer!$AR$75))*Leverancer!BR$88/1000)</f>
        <v/>
      </c>
      <c r="AO87" s="136" t="str">
        <f ca="1">IF(AO$37="","",INDEX(Leverancer!BS$1:BS$1006,ROW()-ROW($Q$82) + ROW(Leverancer!$AR$75))*Leverancer!BS$88/1000)</f>
        <v/>
      </c>
      <c r="AP87" s="136" t="str">
        <f ca="1">IF(AP$37="","",INDEX(Leverancer!BT$1:BT$1006,ROW()-ROW($Q$82) + ROW(Leverancer!$AR$75))*Leverancer!BT$88/1000)</f>
        <v/>
      </c>
      <c r="AQ87" s="136" t="str">
        <f ca="1">IF(AQ$37="","",INDEX(Leverancer!BU$1:BU$1006,ROW()-ROW($Q$82) + ROW(Leverancer!$AR$75))*Leverancer!BU$88/1000)</f>
        <v/>
      </c>
      <c r="AR87" s="136" t="str">
        <f ca="1">IF(AR$37="","",INDEX(Leverancer!BV$1:BV$1006,ROW()-ROW($Q$82) + ROW(Leverancer!$AR$75))*Leverancer!BV$88/1000)</f>
        <v/>
      </c>
      <c r="AS87" s="136" t="str">
        <f ca="1">IF(AS$37="","",INDEX(Leverancer!BW$1:BW$1006,ROW()-ROW($Q$82) + ROW(Leverancer!$AR$75))*Leverancer!BW$88/1000)</f>
        <v/>
      </c>
      <c r="AT87" s="136" t="str">
        <f ca="1">IF(AT$37="","",INDEX(Leverancer!BX$1:BX$1006,ROW()-ROW($Q$82) + ROW(Leverancer!$AR$75))*Leverancer!BX$88/1000)</f>
        <v/>
      </c>
      <c r="AU87" s="136" t="str">
        <f ca="1">IF(AU$37="","",INDEX(Leverancer!BY$1:BY$1006,ROW()-ROW($Q$82) + ROW(Leverancer!$AR$75))*Leverancer!BY$88/1000)</f>
        <v/>
      </c>
      <c r="AV87" s="136" t="str">
        <f ca="1">IF(AV$37="","",INDEX(Leverancer!BZ$1:BZ$1006,ROW()-ROW($Q$82) + ROW(Leverancer!$AR$75))*Leverancer!BZ$88/1000)</f>
        <v/>
      </c>
      <c r="AW87" s="136" t="str">
        <f ca="1">IF(AW$37="","",INDEX(Leverancer!CA$1:CA$1006,ROW()-ROW($Q$82) + ROW(Leverancer!$AR$75))*Leverancer!CA$88/1000)</f>
        <v/>
      </c>
      <c r="AX87" s="112"/>
      <c r="AY87" s="112"/>
      <c r="AZ87" s="109"/>
    </row>
    <row r="88" spans="14:52" ht="12.75" customHeight="1" x14ac:dyDescent="0.2">
      <c r="N88" s="107"/>
      <c r="O88" s="112"/>
      <c r="P88" s="112"/>
      <c r="Q88" s="165" t="str">
        <f>INDEX(g_lang_val,MATCH("le_2_2",g_lang_key,0))</f>
        <v xml:space="preserve">Total </v>
      </c>
      <c r="R88" s="164"/>
      <c r="S88" s="167">
        <f t="shared" ca="1" si="15"/>
        <v>0</v>
      </c>
      <c r="T88" s="164">
        <f ca="1">IF(T$37="","",SUM(T83:T87))</f>
        <v>0</v>
      </c>
      <c r="U88" s="164">
        <f t="shared" ref="U88:AW88" ca="1" si="16">IF(U$37="","",SUM(U83:U87))</f>
        <v>0</v>
      </c>
      <c r="V88" s="164">
        <f t="shared" ca="1" si="16"/>
        <v>0</v>
      </c>
      <c r="W88" s="164">
        <f t="shared" ca="1" si="16"/>
        <v>0</v>
      </c>
      <c r="X88" s="164">
        <f t="shared" ca="1" si="16"/>
        <v>0</v>
      </c>
      <c r="Y88" s="164" t="str">
        <f t="shared" ca="1" si="16"/>
        <v/>
      </c>
      <c r="Z88" s="164" t="str">
        <f t="shared" ca="1" si="16"/>
        <v/>
      </c>
      <c r="AA88" s="164" t="str">
        <f t="shared" ca="1" si="16"/>
        <v/>
      </c>
      <c r="AB88" s="164" t="str">
        <f t="shared" ca="1" si="16"/>
        <v/>
      </c>
      <c r="AC88" s="164" t="str">
        <f t="shared" ca="1" si="16"/>
        <v/>
      </c>
      <c r="AD88" s="164" t="str">
        <f t="shared" ca="1" si="16"/>
        <v/>
      </c>
      <c r="AE88" s="164" t="str">
        <f t="shared" ca="1" si="16"/>
        <v/>
      </c>
      <c r="AF88" s="164" t="str">
        <f t="shared" ca="1" si="16"/>
        <v/>
      </c>
      <c r="AG88" s="164" t="str">
        <f t="shared" ca="1" si="16"/>
        <v/>
      </c>
      <c r="AH88" s="164" t="str">
        <f t="shared" ca="1" si="16"/>
        <v/>
      </c>
      <c r="AI88" s="164" t="str">
        <f t="shared" ca="1" si="16"/>
        <v/>
      </c>
      <c r="AJ88" s="164" t="str">
        <f t="shared" ca="1" si="16"/>
        <v/>
      </c>
      <c r="AK88" s="164" t="str">
        <f t="shared" ca="1" si="16"/>
        <v/>
      </c>
      <c r="AL88" s="164" t="str">
        <f t="shared" ca="1" si="16"/>
        <v/>
      </c>
      <c r="AM88" s="164" t="str">
        <f t="shared" ca="1" si="16"/>
        <v/>
      </c>
      <c r="AN88" s="164" t="str">
        <f t="shared" ca="1" si="16"/>
        <v/>
      </c>
      <c r="AO88" s="164" t="str">
        <f t="shared" ca="1" si="16"/>
        <v/>
      </c>
      <c r="AP88" s="164" t="str">
        <f t="shared" ca="1" si="16"/>
        <v/>
      </c>
      <c r="AQ88" s="164" t="str">
        <f t="shared" ca="1" si="16"/>
        <v/>
      </c>
      <c r="AR88" s="164" t="str">
        <f t="shared" ca="1" si="16"/>
        <v/>
      </c>
      <c r="AS88" s="164" t="str">
        <f t="shared" ca="1" si="16"/>
        <v/>
      </c>
      <c r="AT88" s="164" t="str">
        <f t="shared" ca="1" si="16"/>
        <v/>
      </c>
      <c r="AU88" s="164" t="str">
        <f t="shared" ca="1" si="16"/>
        <v/>
      </c>
      <c r="AV88" s="164" t="str">
        <f t="shared" ca="1" si="16"/>
        <v/>
      </c>
      <c r="AW88" s="164" t="str">
        <f t="shared" ca="1" si="16"/>
        <v/>
      </c>
      <c r="AX88" s="112"/>
      <c r="AY88" s="112"/>
      <c r="AZ88" s="109"/>
    </row>
    <row r="89" spans="14:52" ht="12.75" customHeight="1" x14ac:dyDescent="0.2">
      <c r="N89" s="107"/>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09"/>
    </row>
    <row r="90" spans="14:52" ht="25.5" customHeight="1" thickBot="1" x14ac:dyDescent="0.25">
      <c r="N90" s="126"/>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8"/>
    </row>
    <row r="91" spans="14:52" ht="32.25" customHeight="1" thickTop="1" x14ac:dyDescent="0.2">
      <c r="N91" s="253" t="str">
        <f>INDEX(g_lang_val,MATCH("tb_2_4",g_lang_key,0))</f>
        <v>Afskrivningsprofiler</v>
      </c>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5"/>
    </row>
    <row r="92" spans="14:52" ht="12.75" customHeight="1" x14ac:dyDescent="0.2">
      <c r="N92" s="107"/>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9"/>
    </row>
    <row r="93" spans="14:52" ht="22.9" customHeight="1" x14ac:dyDescent="0.2">
      <c r="N93" s="107"/>
      <c r="O93" s="110"/>
      <c r="P93" s="110"/>
      <c r="Q93" s="129" t="str">
        <f>INDEX(g_lang_val,MATCH("tb_1_1",g_lang_key,0)) &amp; " 5"</f>
        <v>Tabel 5</v>
      </c>
      <c r="R93" s="110"/>
      <c r="S93" s="110"/>
      <c r="T93" s="110"/>
      <c r="U93" s="110"/>
      <c r="V93" s="110"/>
      <c r="W93" s="110"/>
      <c r="X93" s="110"/>
      <c r="Y93" s="110"/>
      <c r="Z93" s="110"/>
      <c r="AA93" s="110"/>
      <c r="AB93" s="110"/>
      <c r="AC93" s="110"/>
      <c r="AD93" s="110"/>
      <c r="AE93" s="110"/>
      <c r="AF93" s="110"/>
      <c r="AG93" s="110"/>
      <c r="AH93" s="110"/>
      <c r="AI93" s="110"/>
      <c r="AJ93" s="110"/>
      <c r="AK93" s="110"/>
      <c r="AL93" s="110" t="s">
        <v>150</v>
      </c>
      <c r="AM93" s="110"/>
      <c r="AN93" s="110"/>
      <c r="AO93" s="110"/>
      <c r="AP93" s="110"/>
      <c r="AQ93" s="110"/>
      <c r="AR93" s="110"/>
      <c r="AS93" s="110"/>
      <c r="AT93" s="110"/>
      <c r="AU93" s="110"/>
      <c r="AV93" s="110"/>
      <c r="AW93" s="110"/>
      <c r="AX93" s="110"/>
      <c r="AY93" s="110"/>
      <c r="AZ93" s="109"/>
    </row>
    <row r="94" spans="14:52" ht="31.15" customHeight="1" x14ac:dyDescent="0.2">
      <c r="N94" s="107"/>
      <c r="O94" s="112"/>
      <c r="P94" s="112"/>
      <c r="Q94" s="130" t="str">
        <f>INDEX(g_lang_val,MATCH("tb_2_4",g_lang_key,0))</f>
        <v>Afskrivningsprofiler</v>
      </c>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09"/>
    </row>
    <row r="95" spans="14:52" ht="12.75" customHeight="1" thickBot="1" x14ac:dyDescent="0.25">
      <c r="N95" s="107"/>
      <c r="O95" s="112"/>
      <c r="P95" s="112"/>
      <c r="Q95" s="115" t="str">
        <f ca="1">INDEX(g_lang_val,MATCH("tb_1_1_1_1",g_lang_key,0)) &amp;g_reporting_year&amp;INDEX(g_lang_val,MATCH("tb_1_1_1_2",g_lang_key,0))</f>
        <v>Mio. kr. 2024-pl</v>
      </c>
      <c r="R95" s="131"/>
      <c r="S95" s="116" t="str">
        <f>INDEX(g_lang_val,MATCH("le_2_2",g_lang_key,0))</f>
        <v xml:space="preserve">Total </v>
      </c>
      <c r="T95" s="132">
        <f ca="1">Leverancer!AX74</f>
        <v>2024</v>
      </c>
      <c r="U95" s="132">
        <f ca="1">Leverancer!AY74</f>
        <v>2025</v>
      </c>
      <c r="V95" s="132">
        <f ca="1">Leverancer!AZ74</f>
        <v>2026</v>
      </c>
      <c r="W95" s="132">
        <f ca="1">Leverancer!BA74</f>
        <v>2027</v>
      </c>
      <c r="X95" s="132">
        <f ca="1">Leverancer!BB74</f>
        <v>2028</v>
      </c>
      <c r="Y95" s="132" t="str">
        <f ca="1">Leverancer!BC74</f>
        <v/>
      </c>
      <c r="Z95" s="132" t="str">
        <f ca="1">Leverancer!BD74</f>
        <v/>
      </c>
      <c r="AA95" s="132" t="str">
        <f ca="1">Leverancer!BE74</f>
        <v/>
      </c>
      <c r="AB95" s="132" t="str">
        <f ca="1">Leverancer!BF74</f>
        <v/>
      </c>
      <c r="AC95" s="132" t="str">
        <f ca="1">Leverancer!BG74</f>
        <v/>
      </c>
      <c r="AD95" s="132" t="str">
        <f ca="1">Leverancer!BH74</f>
        <v/>
      </c>
      <c r="AE95" s="132" t="str">
        <f ca="1">Leverancer!BI74</f>
        <v/>
      </c>
      <c r="AF95" s="132" t="str">
        <f ca="1">Leverancer!BJ74</f>
        <v/>
      </c>
      <c r="AG95" s="132" t="str">
        <f ca="1">Leverancer!BK74</f>
        <v/>
      </c>
      <c r="AH95" s="132" t="str">
        <f ca="1">Leverancer!BL74</f>
        <v/>
      </c>
      <c r="AI95" s="132" t="str">
        <f ca="1">Leverancer!BM74</f>
        <v/>
      </c>
      <c r="AJ95" s="132" t="str">
        <f ca="1">Leverancer!BN74</f>
        <v/>
      </c>
      <c r="AK95" s="132" t="str">
        <f ca="1">Leverancer!BO74</f>
        <v/>
      </c>
      <c r="AL95" s="132" t="str">
        <f ca="1">Leverancer!BP74</f>
        <v/>
      </c>
      <c r="AM95" s="132" t="str">
        <f ca="1">Leverancer!BQ74</f>
        <v/>
      </c>
      <c r="AN95" s="132" t="str">
        <f ca="1">Leverancer!BR74</f>
        <v/>
      </c>
      <c r="AO95" s="132" t="str">
        <f ca="1">Leverancer!BS74</f>
        <v/>
      </c>
      <c r="AP95" s="132" t="str">
        <f ca="1">Leverancer!BT74</f>
        <v/>
      </c>
      <c r="AQ95" s="132" t="str">
        <f ca="1">Leverancer!BU74</f>
        <v/>
      </c>
      <c r="AR95" s="132" t="str">
        <f ca="1">Leverancer!BV74</f>
        <v/>
      </c>
      <c r="AS95" s="132" t="str">
        <f ca="1">Leverancer!BW74</f>
        <v/>
      </c>
      <c r="AT95" s="132" t="str">
        <f ca="1">Leverancer!BX74</f>
        <v/>
      </c>
      <c r="AU95" s="132" t="str">
        <f ca="1">Leverancer!BY74</f>
        <v/>
      </c>
      <c r="AV95" s="132" t="str">
        <f ca="1">Leverancer!BZ74</f>
        <v/>
      </c>
      <c r="AW95" s="132" t="str">
        <f ca="1">Leverancer!CA74</f>
        <v/>
      </c>
      <c r="AX95" s="112"/>
      <c r="AY95" s="112"/>
      <c r="AZ95" s="109"/>
    </row>
    <row r="96" spans="14:52" ht="12.75" customHeight="1" thickTop="1" x14ac:dyDescent="0.2">
      <c r="N96" s="107"/>
      <c r="O96" s="112"/>
      <c r="P96" s="112"/>
      <c r="Q96" s="140" t="str">
        <f>INDEX(g_assets_sc_1,3)</f>
        <v/>
      </c>
      <c r="R96" s="140"/>
      <c r="S96" s="135"/>
      <c r="T96" s="147">
        <f ca="1">T$95</f>
        <v>2024</v>
      </c>
      <c r="U96" s="147">
        <f t="shared" ref="U96:AW96" ca="1" si="17">U$95</f>
        <v>2025</v>
      </c>
      <c r="V96" s="147">
        <f t="shared" ca="1" si="17"/>
        <v>2026</v>
      </c>
      <c r="W96" s="147">
        <f t="shared" ca="1" si="17"/>
        <v>2027</v>
      </c>
      <c r="X96" s="147">
        <f t="shared" ca="1" si="17"/>
        <v>2028</v>
      </c>
      <c r="Y96" s="147" t="str">
        <f t="shared" ca="1" si="17"/>
        <v/>
      </c>
      <c r="Z96" s="147" t="str">
        <f t="shared" ca="1" si="17"/>
        <v/>
      </c>
      <c r="AA96" s="147" t="str">
        <f t="shared" ca="1" si="17"/>
        <v/>
      </c>
      <c r="AB96" s="147" t="str">
        <f t="shared" ca="1" si="17"/>
        <v/>
      </c>
      <c r="AC96" s="147" t="str">
        <f t="shared" ca="1" si="17"/>
        <v/>
      </c>
      <c r="AD96" s="147" t="str">
        <f t="shared" ca="1" si="17"/>
        <v/>
      </c>
      <c r="AE96" s="147" t="str">
        <f t="shared" ca="1" si="17"/>
        <v/>
      </c>
      <c r="AF96" s="147" t="str">
        <f t="shared" ca="1" si="17"/>
        <v/>
      </c>
      <c r="AG96" s="147" t="str">
        <f t="shared" ca="1" si="17"/>
        <v/>
      </c>
      <c r="AH96" s="147" t="str">
        <f t="shared" ca="1" si="17"/>
        <v/>
      </c>
      <c r="AI96" s="147" t="str">
        <f t="shared" ca="1" si="17"/>
        <v/>
      </c>
      <c r="AJ96" s="147" t="str">
        <f t="shared" ca="1" si="17"/>
        <v/>
      </c>
      <c r="AK96" s="147" t="str">
        <f t="shared" ca="1" si="17"/>
        <v/>
      </c>
      <c r="AL96" s="147" t="str">
        <f t="shared" ca="1" si="17"/>
        <v/>
      </c>
      <c r="AM96" s="147" t="str">
        <f t="shared" ca="1" si="17"/>
        <v/>
      </c>
      <c r="AN96" s="147" t="str">
        <f t="shared" ca="1" si="17"/>
        <v/>
      </c>
      <c r="AO96" s="147" t="str">
        <f t="shared" ca="1" si="17"/>
        <v/>
      </c>
      <c r="AP96" s="147" t="str">
        <f t="shared" ca="1" si="17"/>
        <v/>
      </c>
      <c r="AQ96" s="147" t="str">
        <f t="shared" ca="1" si="17"/>
        <v/>
      </c>
      <c r="AR96" s="147" t="str">
        <f t="shared" ca="1" si="17"/>
        <v/>
      </c>
      <c r="AS96" s="147" t="str">
        <f t="shared" ca="1" si="17"/>
        <v/>
      </c>
      <c r="AT96" s="147" t="str">
        <f t="shared" ca="1" si="17"/>
        <v/>
      </c>
      <c r="AU96" s="147" t="str">
        <f t="shared" ca="1" si="17"/>
        <v/>
      </c>
      <c r="AV96" s="147" t="str">
        <f t="shared" ca="1" si="17"/>
        <v/>
      </c>
      <c r="AW96" s="147" t="str">
        <f t="shared" ca="1" si="17"/>
        <v/>
      </c>
      <c r="AX96" s="112"/>
      <c r="AY96" s="112"/>
      <c r="AZ96" s="109"/>
    </row>
    <row r="97" spans="3:52" ht="12.75" customHeight="1" x14ac:dyDescent="0.2">
      <c r="C97" s="148">
        <f>INDEX(g_sc_1_assets_dates,G97)</f>
        <v>0</v>
      </c>
      <c r="G97" s="149">
        <v>1</v>
      </c>
      <c r="N97" s="107"/>
      <c r="O97" s="112"/>
      <c r="P97" s="112"/>
      <c r="Q97" s="137" t="str">
        <f>INDEX(g_lang_val,MATCH("tb_2_4_1",g_lang_key,0))</f>
        <v>Køb af anlægsaktiver</v>
      </c>
      <c r="R97" s="138"/>
      <c r="S97" s="141">
        <f ca="1">SUM(T97:BG97)</f>
        <v>0</v>
      </c>
      <c r="T97" s="136">
        <f ca="1">IF(T96="","",SUMPRODUCT(--(Leverancer!$F$28:$F$48=($G97+2)),Leverancer!G$28:G$48)/1000)</f>
        <v>0</v>
      </c>
      <c r="U97" s="136">
        <f ca="1">IF(U96="","",SUMPRODUCT(--(Leverancer!$F$28:$F$48=($G97+2)),Leverancer!H$28:H$48)/1000)</f>
        <v>0</v>
      </c>
      <c r="V97" s="136">
        <f ca="1">IF(V96="","",SUMPRODUCT(--(Leverancer!$F$28:$F$48=($G97+2)),Leverancer!I$28:I$48)/1000)</f>
        <v>0</v>
      </c>
      <c r="W97" s="136">
        <f ca="1">IF(W96="","",SUMPRODUCT(--(Leverancer!$F$28:$F$48=($G97+2)),Leverancer!J$28:J$48)/1000)</f>
        <v>0</v>
      </c>
      <c r="X97" s="136">
        <f ca="1">IF(X96="","",SUMPRODUCT(--(Leverancer!$F$28:$F$48=($G97+2)),Leverancer!K$28:K$48)/1000)</f>
        <v>0</v>
      </c>
      <c r="Y97" s="136" t="str">
        <f ca="1">IF(Y96="","",SUMPRODUCT(--(Leverancer!$F$28:$F$48=($G97+2)),Leverancer!L$28:L$48)/1000)</f>
        <v/>
      </c>
      <c r="Z97" s="136" t="str">
        <f ca="1">IF(Z96="","",SUMPRODUCT(--(Leverancer!$F$28:$F$48=($G97+2)),Leverancer!M$28:M$48)/1000)</f>
        <v/>
      </c>
      <c r="AA97" s="136" t="str">
        <f ca="1">IF(AA96="","",SUMPRODUCT(--(Leverancer!$F$28:$F$48=($G97+2)),Leverancer!N$28:N$48)/1000)</f>
        <v/>
      </c>
      <c r="AB97" s="136" t="str">
        <f ca="1">IF(AB96="","",SUMPRODUCT(--(Leverancer!$F$28:$F$48=($G97+2)),Leverancer!O$28:O$48)/1000)</f>
        <v/>
      </c>
      <c r="AC97" s="136" t="str">
        <f ca="1">IF(AC96="","",SUMPRODUCT(--(Leverancer!$F$28:$F$48=($G97+2)),Leverancer!P$28:P$48)/1000)</f>
        <v/>
      </c>
      <c r="AD97" s="136" t="str">
        <f ca="1">IF(AD96="","",SUMPRODUCT(--(Leverancer!$F$28:$F$48=($G97+2)),Leverancer!Q$28:Q$48)/1000)</f>
        <v/>
      </c>
      <c r="AE97" s="136" t="str">
        <f ca="1">IF(AE96="","",SUMPRODUCT(--(Leverancer!$F$28:$F$48=($G97+2)),Leverancer!R$28:R$48)/1000)</f>
        <v/>
      </c>
      <c r="AF97" s="136" t="str">
        <f ca="1">IF(AF96="","",SUMPRODUCT(--(Leverancer!$F$28:$F$48=($G97+2)),Leverancer!S$28:S$48)/1000)</f>
        <v/>
      </c>
      <c r="AG97" s="136" t="str">
        <f ca="1">IF(AG96="","",SUMPRODUCT(--(Leverancer!$F$28:$F$48=($G97+2)),Leverancer!T$28:T$48)/1000)</f>
        <v/>
      </c>
      <c r="AH97" s="136" t="str">
        <f ca="1">IF(AH96="","",SUMPRODUCT(--(Leverancer!$F$28:$F$48=($G97+2)),Leverancer!U$28:U$48)/1000)</f>
        <v/>
      </c>
      <c r="AI97" s="136" t="str">
        <f ca="1">IF(AI96="","",SUMPRODUCT(--(Leverancer!$F$28:$F$48=($G97+2)),Leverancer!V$28:V$48)/1000)</f>
        <v/>
      </c>
      <c r="AJ97" s="136" t="str">
        <f ca="1">IF(AJ96="","",SUMPRODUCT(--(Leverancer!$F$28:$F$48=($G97+2)),Leverancer!W$28:W$48)/1000)</f>
        <v/>
      </c>
      <c r="AK97" s="136" t="str">
        <f ca="1">IF(AK96="","",SUMPRODUCT(--(Leverancer!$F$28:$F$48=($G97+2)),Leverancer!X$28:X$48)/1000)</f>
        <v/>
      </c>
      <c r="AL97" s="136" t="str">
        <f ca="1">IF(AL96="","",SUMPRODUCT(--(Leverancer!$F$28:$F$48=($G97+2)),Leverancer!Y$28:Y$48)/1000)</f>
        <v/>
      </c>
      <c r="AM97" s="136" t="str">
        <f ca="1">IF(AM96="","",SUMPRODUCT(--(Leverancer!$F$28:$F$48=($G97+2)),Leverancer!Z$28:Z$48)/1000)</f>
        <v/>
      </c>
      <c r="AN97" s="136" t="str">
        <f ca="1">IF(AN96="","",SUMPRODUCT(--(Leverancer!$F$28:$F$48=($G97+2)),Leverancer!AA$28:AA$48)/1000)</f>
        <v/>
      </c>
      <c r="AO97" s="136" t="str">
        <f ca="1">IF(AO96="","",SUMPRODUCT(--(Leverancer!$F$28:$F$48=($G97+2)),Leverancer!AB$28:AB$48)/1000)</f>
        <v/>
      </c>
      <c r="AP97" s="136" t="str">
        <f ca="1">IF(AP96="","",SUMPRODUCT(--(Leverancer!$F$28:$F$48=($G97+2)),Leverancer!AC$28:AC$48)/1000)</f>
        <v/>
      </c>
      <c r="AQ97" s="136" t="str">
        <f ca="1">IF(AQ96="","",SUMPRODUCT(--(Leverancer!$F$28:$F$48=($G97+2)),Leverancer!AD$28:AD$48)/1000)</f>
        <v/>
      </c>
      <c r="AR97" s="136" t="str">
        <f ca="1">IF(AR96="","",SUMPRODUCT(--(Leverancer!$F$28:$F$48=($G97+2)),Leverancer!AE$28:AE$48)/1000)</f>
        <v/>
      </c>
      <c r="AS97" s="136" t="str">
        <f ca="1">IF(AS96="","",SUMPRODUCT(--(Leverancer!$F$28:$F$48=($G97+2)),Leverancer!AF$28:AF$48)/1000)</f>
        <v/>
      </c>
      <c r="AT97" s="136" t="str">
        <f ca="1">IF(AT96="","",SUMPRODUCT(--(Leverancer!$F$28:$F$48=($G97+2)),Leverancer!AG$28:AG$48)/1000)</f>
        <v/>
      </c>
      <c r="AU97" s="136" t="str">
        <f ca="1">IF(AU96="","",SUMPRODUCT(--(Leverancer!$F$28:$F$48=($G97+2)),Leverancer!AH$28:AH$48)/1000)</f>
        <v/>
      </c>
      <c r="AV97" s="136" t="str">
        <f ca="1">IF(AV96="","",SUMPRODUCT(--(Leverancer!$F$28:$F$48=($G97+2)),Leverancer!AI$28:AI$48)/1000)</f>
        <v/>
      </c>
      <c r="AW97" s="136" t="str">
        <f ca="1">IF(AW96="","",SUMPRODUCT(--(Leverancer!$F$28:$F$48=($G97+2)),Leverancer!AJ$28:AJ$48)/1000)</f>
        <v/>
      </c>
      <c r="AX97" s="112"/>
      <c r="AY97" s="112"/>
      <c r="AZ97" s="109"/>
    </row>
    <row r="98" spans="3:52" ht="12.75" customHeight="1" x14ac:dyDescent="0.2">
      <c r="C98" s="150">
        <f>IFERROR(YEAR(C97),"")</f>
        <v>1900</v>
      </c>
      <c r="D98" s="150">
        <f>IFERROR(MONTH(C97),"")</f>
        <v>1</v>
      </c>
      <c r="E98" s="150">
        <f>INDEX(g_sc_1_assets_years,G97)</f>
        <v>0</v>
      </c>
      <c r="N98" s="107"/>
      <c r="O98" s="112"/>
      <c r="P98" s="112"/>
      <c r="Q98" s="137" t="str">
        <f>INDEX(g_lang_val,MATCH("tb_2_4_2",g_lang_key,0))</f>
        <v>Afskrivninger</v>
      </c>
      <c r="R98" s="138"/>
      <c r="S98" s="141">
        <f ca="1">SUM(T98:BG98)</f>
        <v>0</v>
      </c>
      <c r="T98" s="136">
        <f t="shared" ref="T98" ca="1" si="18">IF(T96="","",IF(T96&lt;$C98,0,IF(T96=$C98,T97/$C99*$E99+S99/$C99*$E99,IF(AND(T96&gt;$C98,T96&lt;ROUNDDOWN(($C98+($D98+$C99-1)/12),0)),(T97/2+S99)/($C99-$E99-12*(T96-$C98-1))*12,IF(AND($D99&lt;0,T96=ROUNDDOWN(($C98+($D98+$C99-1)/12),0)),S99,IF(T96=ROUNDDOWN(($C98+($D98+$C99-1)/12),0),(T97+S99)/$C99*($D99+(T96-$C98-1)*12+$E99),IF(T96&gt;ROUNDDOWN(($C98+($D98+$C99)/12),0),0,0)))))))</f>
        <v>0</v>
      </c>
      <c r="U98" s="136">
        <f t="shared" ref="U98" ca="1" si="19">IF(U96="","",IF(U96&lt;$C98,0,IF(U96=$C98,U97/$C99*$E99+T99/$C99*$E99,IF(AND(U96&gt;$C98,U96&lt;ROUNDDOWN(($C98+($D98+$C99-1)/12),0)),(U97/2+T99)/($C99-$E99-12*(U96-$C98-1))*12,IF(AND($D99&lt;0,U96=ROUNDDOWN(($C98+($D98+$C99-1)/12),0)),T99,IF(U96=ROUNDDOWN(($C98+($D98+$C99-1)/12),0),(U97+T99)/$C99*($D99+(U96-$C98-1)*12+$E99),IF(U96&gt;ROUNDDOWN(($C98+($D98+$C99)/12),0),0,0)))))))</f>
        <v>0</v>
      </c>
      <c r="V98" s="136">
        <f t="shared" ref="V98" ca="1" si="20">IF(V96="","",IF(V96&lt;$C98,0,IF(V96=$C98,V97/$C99*$E99+U99/$C99*$E99,IF(AND(V96&gt;$C98,V96&lt;ROUNDDOWN(($C98+($D98+$C99-1)/12),0)),(V97/2+U99)/($C99-$E99-12*(V96-$C98-1))*12,IF(AND($D99&lt;0,V96=ROUNDDOWN(($C98+($D98+$C99-1)/12),0)),U99,IF(V96=ROUNDDOWN(($C98+($D98+$C99-1)/12),0),(V97+U99)/$C99*($D99+(V96-$C98-1)*12+$E99),IF(V96&gt;ROUNDDOWN(($C98+($D98+$C99)/12),0),0,0)))))))</f>
        <v>0</v>
      </c>
      <c r="W98" s="136">
        <f t="shared" ref="W98" ca="1" si="21">IF(W96="","",IF(W96&lt;$C98,0,IF(W96=$C98,W97/$C99*$E99+V99/$C99*$E99,IF(AND(W96&gt;$C98,W96&lt;ROUNDDOWN(($C98+($D98+$C99-1)/12),0)),(W97/2+V99)/($C99-$E99-12*(W96-$C98-1))*12,IF(AND($D99&lt;0,W96=ROUNDDOWN(($C98+($D98+$C99-1)/12),0)),V99,IF(W96=ROUNDDOWN(($C98+($D98+$C99-1)/12),0),(W97+V99)/$C99*($D99+(W96-$C98-1)*12+$E99),IF(W96&gt;ROUNDDOWN(($C98+($D98+$C99)/12),0),0,0)))))))</f>
        <v>0</v>
      </c>
      <c r="X98" s="136">
        <f t="shared" ref="X98" ca="1" si="22">IF(X96="","",IF(X96&lt;$C98,0,IF(X96=$C98,X97/$C99*$E99+W99/$C99*$E99,IF(AND(X96&gt;$C98,X96&lt;ROUNDDOWN(($C98+($D98+$C99-1)/12),0)),(X97/2+W99)/($C99-$E99-12*(X96-$C98-1))*12,IF(AND($D99&lt;0,X96=ROUNDDOWN(($C98+($D98+$C99-1)/12),0)),W99,IF(X96=ROUNDDOWN(($C98+($D98+$C99-1)/12),0),(X97+W99)/$C99*($D99+(X96-$C98-1)*12+$E99),IF(X96&gt;ROUNDDOWN(($C98+($D98+$C99)/12),0),0,0)))))))</f>
        <v>0</v>
      </c>
      <c r="Y98" s="136" t="str">
        <f t="shared" ref="Y98" ca="1" si="23">IF(Y96="","",IF(Y96&lt;$C98,0,IF(Y96=$C98,Y97/$C99*$E99+X99/$C99*$E99,IF(AND(Y96&gt;$C98,Y96&lt;ROUNDDOWN(($C98+($D98+$C99-1)/12),0)),(Y97/2+X99)/($C99-$E99-12*(Y96-$C98-1))*12,IF(AND($D99&lt;0,Y96=ROUNDDOWN(($C98+($D98+$C99-1)/12),0)),X99,IF(Y96=ROUNDDOWN(($C98+($D98+$C99-1)/12),0),(Y97+X99)/$C99*($D99+(Y96-$C98-1)*12+$E99),IF(Y96&gt;ROUNDDOWN(($C98+($D98+$C99)/12),0),0,0)))))))</f>
        <v/>
      </c>
      <c r="Z98" s="136" t="str">
        <f t="shared" ref="Z98" ca="1" si="24">IF(Z96="","",IF(Z96&lt;$C98,0,IF(Z96=$C98,Z97/$C99*$E99+Y99/$C99*$E99,IF(AND(Z96&gt;$C98,Z96&lt;ROUNDDOWN(($C98+($D98+$C99-1)/12),0)),(Z97/2+Y99)/($C99-$E99-12*(Z96-$C98-1))*12,IF(AND($D99&lt;0,Z96=ROUNDDOWN(($C98+($D98+$C99-1)/12),0)),Y99,IF(Z96=ROUNDDOWN(($C98+($D98+$C99-1)/12),0),(Z97+Y99)/$C99*($D99+(Z96-$C98-1)*12+$E99),IF(Z96&gt;ROUNDDOWN(($C98+($D98+$C99)/12),0),0,0)))))))</f>
        <v/>
      </c>
      <c r="AA98" s="136" t="str">
        <f t="shared" ref="AA98" ca="1" si="25">IF(AA96="","",IF(AA96&lt;$C98,0,IF(AA96=$C98,AA97/$C99*$E99+Z99/$C99*$E99,IF(AND(AA96&gt;$C98,AA96&lt;ROUNDDOWN(($C98+($D98+$C99-1)/12),0)),(AA97/2+Z99)/($C99-$E99-12*(AA96-$C98-1))*12,IF(AND($D99&lt;0,AA96=ROUNDDOWN(($C98+($D98+$C99-1)/12),0)),Z99,IF(AA96=ROUNDDOWN(($C98+($D98+$C99-1)/12),0),(AA97+Z99)/$C99*($D99+(AA96-$C98-1)*12+$E99),IF(AA96&gt;ROUNDDOWN(($C98+($D98+$C99)/12),0),0,0)))))))</f>
        <v/>
      </c>
      <c r="AB98" s="136" t="str">
        <f t="shared" ref="AB98" ca="1" si="26">IF(AB96="","",IF(AB96&lt;$C98,0,IF(AB96=$C98,AB97/$C99*$E99+AA99/$C99*$E99,IF(AND(AB96&gt;$C98,AB96&lt;ROUNDDOWN(($C98+($D98+$C99-1)/12),0)),(AB97/2+AA99)/($C99-$E99-12*(AB96-$C98-1))*12,IF(AND($D99&lt;0,AB96=ROUNDDOWN(($C98+($D98+$C99-1)/12),0)),AA99,IF(AB96=ROUNDDOWN(($C98+($D98+$C99-1)/12),0),(AB97+AA99)/$C99*($D99+(AB96-$C98-1)*12+$E99),IF(AB96&gt;ROUNDDOWN(($C98+($D98+$C99)/12),0),0,0)))))))</f>
        <v/>
      </c>
      <c r="AC98" s="136" t="str">
        <f t="shared" ref="AC98" ca="1" si="27">IF(AC96="","",IF(AC96&lt;$C98,0,IF(AC96=$C98,AC97/$C99*$E99+AB99/$C99*$E99,IF(AND(AC96&gt;$C98,AC96&lt;ROUNDDOWN(($C98+($D98+$C99-1)/12),0)),(AC97/2+AB99)/($C99-$E99-12*(AC96-$C98-1))*12,IF(AND($D99&lt;0,AC96=ROUNDDOWN(($C98+($D98+$C99-1)/12),0)),AB99,IF(AC96=ROUNDDOWN(($C98+($D98+$C99-1)/12),0),(AC97+AB99)/$C99*($D99+(AC96-$C98-1)*12+$E99),IF(AC96&gt;ROUNDDOWN(($C98+($D98+$C99)/12),0),0,0)))))))</f>
        <v/>
      </c>
      <c r="AD98" s="136" t="str">
        <f t="shared" ref="AD98" ca="1" si="28">IF(AD96="","",IF(AD96&lt;$C98,0,IF(AD96=$C98,AD97/$C99*$E99+AC99/$C99*$E99,IF(AND(AD96&gt;$C98,AD96&lt;ROUNDDOWN(($C98+($D98+$C99-1)/12),0)),(AD97/2+AC99)/($C99-$E99-12*(AD96-$C98-1))*12,IF(AND($D99&lt;0,AD96=ROUNDDOWN(($C98+($D98+$C99-1)/12),0)),AC99,IF(AD96=ROUNDDOWN(($C98+($D98+$C99-1)/12),0),(AD97+AC99)/$C99*($D99+(AD96-$C98-1)*12+$E99),IF(AD96&gt;ROUNDDOWN(($C98+($D98+$C99)/12),0),0,0)))))))</f>
        <v/>
      </c>
      <c r="AE98" s="136" t="str">
        <f t="shared" ref="AE98" ca="1" si="29">IF(AE96="","",IF(AE96&lt;$C98,0,IF(AE96=$C98,AE97/$C99*$E99+AD99/$C99*$E99,IF(AND(AE96&gt;$C98,AE96&lt;ROUNDDOWN(($C98+($D98+$C99-1)/12),0)),(AE97/2+AD99)/($C99-$E99-12*(AE96-$C98-1))*12,IF(AND($D99&lt;0,AE96=ROUNDDOWN(($C98+($D98+$C99-1)/12),0)),AD99,IF(AE96=ROUNDDOWN(($C98+($D98+$C99-1)/12),0),(AE97+AD99)/$C99*($D99+(AE96-$C98-1)*12+$E99),IF(AE96&gt;ROUNDDOWN(($C98+($D98+$C99)/12),0),0,0)))))))</f>
        <v/>
      </c>
      <c r="AF98" s="136" t="str">
        <f t="shared" ref="AF98" ca="1" si="30">IF(AF96="","",IF(AF96&lt;$C98,0,IF(AF96=$C98,AF97/$C99*$E99+AE99/$C99*$E99,IF(AND(AF96&gt;$C98,AF96&lt;ROUNDDOWN(($C98+($D98+$C99-1)/12),0)),(AF97/2+AE99)/($C99-$E99-12*(AF96-$C98-1))*12,IF(AND($D99&lt;0,AF96=ROUNDDOWN(($C98+($D98+$C99-1)/12),0)),AE99,IF(AF96=ROUNDDOWN(($C98+($D98+$C99-1)/12),0),(AF97+AE99)/$C99*($D99+(AF96-$C98-1)*12+$E99),IF(AF96&gt;ROUNDDOWN(($C98+($D98+$C99)/12),0),0,0)))))))</f>
        <v/>
      </c>
      <c r="AG98" s="136" t="str">
        <f t="shared" ref="AG98" ca="1" si="31">IF(AG96="","",IF(AG96&lt;$C98,0,IF(AG96=$C98,AG97/$C99*$E99+AF99/$C99*$E99,IF(AND(AG96&gt;$C98,AG96&lt;ROUNDDOWN(($C98+($D98+$C99-1)/12),0)),(AG97/2+AF99)/($C99-$E99-12*(AG96-$C98-1))*12,IF(AND($D99&lt;0,AG96=ROUNDDOWN(($C98+($D98+$C99-1)/12),0)),AF99,IF(AG96=ROUNDDOWN(($C98+($D98+$C99-1)/12),0),(AG97+AF99)/$C99*($D99+(AG96-$C98-1)*12+$E99),IF(AG96&gt;ROUNDDOWN(($C98+($D98+$C99)/12),0),0,0)))))))</f>
        <v/>
      </c>
      <c r="AH98" s="136" t="str">
        <f t="shared" ref="AH98" ca="1" si="32">IF(AH96="","",IF(AH96&lt;$C98,0,IF(AH96=$C98,AH97/$C99*$E99+AG99/$C99*$E99,IF(AND(AH96&gt;$C98,AH96&lt;ROUNDDOWN(($C98+($D98+$C99-1)/12),0)),(AH97/2+AG99)/($C99-$E99-12*(AH96-$C98-1))*12,IF(AND($D99&lt;0,AH96=ROUNDDOWN(($C98+($D98+$C99-1)/12),0)),AG99,IF(AH96=ROUNDDOWN(($C98+($D98+$C99-1)/12),0),(AH97+AG99)/$C99*($D99+(AH96-$C98-1)*12+$E99),IF(AH96&gt;ROUNDDOWN(($C98+($D98+$C99)/12),0),0,0)))))))</f>
        <v/>
      </c>
      <c r="AI98" s="136" t="str">
        <f t="shared" ref="AI98" ca="1" si="33">IF(AI96="","",IF(AI96&lt;$C98,0,IF(AI96=$C98,AI97/$C99*$E99+AH99/$C99*$E99,IF(AND(AI96&gt;$C98,AI96&lt;ROUNDDOWN(($C98+($D98+$C99-1)/12),0)),(AI97/2+AH99)/($C99-$E99-12*(AI96-$C98-1))*12,IF(AND($D99&lt;0,AI96=ROUNDDOWN(($C98+($D98+$C99-1)/12),0)),AH99,IF(AI96=ROUNDDOWN(($C98+($D98+$C99-1)/12),0),(AI97+AH99)/$C99*($D99+(AI96-$C98-1)*12+$E99),IF(AI96&gt;ROUNDDOWN(($C98+($D98+$C99)/12),0),0,0)))))))</f>
        <v/>
      </c>
      <c r="AJ98" s="136" t="str">
        <f t="shared" ref="AJ98" ca="1" si="34">IF(AJ96="","",IF(AJ96&lt;$C98,0,IF(AJ96=$C98,AJ97/$C99*$E99+AI99/$C99*$E99,IF(AND(AJ96&gt;$C98,AJ96&lt;ROUNDDOWN(($C98+($D98+$C99-1)/12),0)),(AJ97/2+AI99)/($C99-$E99-12*(AJ96-$C98-1))*12,IF(AND($D99&lt;0,AJ96=ROUNDDOWN(($C98+($D98+$C99-1)/12),0)),AI99,IF(AJ96=ROUNDDOWN(($C98+($D98+$C99-1)/12),0),(AJ97+AI99)/$C99*($D99+(AJ96-$C98-1)*12+$E99),IF(AJ96&gt;ROUNDDOWN(($C98+($D98+$C99)/12),0),0,0)))))))</f>
        <v/>
      </c>
      <c r="AK98" s="136" t="str">
        <f t="shared" ref="AK98" ca="1" si="35">IF(AK96="","",IF(AK96&lt;$C98,0,IF(AK96=$C98,AK97/$C99*$E99+AJ99/$C99*$E99,IF(AND(AK96&gt;$C98,AK96&lt;ROUNDDOWN(($C98+($D98+$C99-1)/12),0)),(AK97/2+AJ99)/($C99-$E99-12*(AK96-$C98-1))*12,IF(AND($D99&lt;0,AK96=ROUNDDOWN(($C98+($D98+$C99-1)/12),0)),AJ99,IF(AK96=ROUNDDOWN(($C98+($D98+$C99-1)/12),0),(AK97+AJ99)/$C99*($D99+(AK96-$C98-1)*12+$E99),IF(AK96&gt;ROUNDDOWN(($C98+($D98+$C99)/12),0),0,0)))))))</f>
        <v/>
      </c>
      <c r="AL98" s="136" t="str">
        <f t="shared" ref="AL98" ca="1" si="36">IF(AL96="","",IF(AL96&lt;$C98,0,IF(AL96=$C98,AL97/$C99*$E99+AK99/$C99*$E99,IF(AND(AL96&gt;$C98,AL96&lt;ROUNDDOWN(($C98+($D98+$C99-1)/12),0)),(AL97/2+AK99)/($C99-$E99-12*(AL96-$C98-1))*12,IF(AND($D99&lt;0,AL96=ROUNDDOWN(($C98+($D98+$C99-1)/12),0)),AK99,IF(AL96=ROUNDDOWN(($C98+($D98+$C99-1)/12),0),(AL97+AK99)/$C99*($D99+(AL96-$C98-1)*12+$E99),IF(AL96&gt;ROUNDDOWN(($C98+($D98+$C99)/12),0),0,0)))))))</f>
        <v/>
      </c>
      <c r="AM98" s="136" t="str">
        <f t="shared" ref="AM98" ca="1" si="37">IF(AM96="","",IF(AM96&lt;$C98,0,IF(AM96=$C98,AM97/$C99*$E99+AL99/$C99*$E99,IF(AND(AM96&gt;$C98,AM96&lt;ROUNDDOWN(($C98+($D98+$C99-1)/12),0)),(AM97/2+AL99)/($C99-$E99-12*(AM96-$C98-1))*12,IF(AND($D99&lt;0,AM96=ROUNDDOWN(($C98+($D98+$C99-1)/12),0)),AL99,IF(AM96=ROUNDDOWN(($C98+($D98+$C99-1)/12),0),(AM97+AL99)/$C99*($D99+(AM96-$C98-1)*12+$E99),IF(AM96&gt;ROUNDDOWN(($C98+($D98+$C99)/12),0),0,0)))))))</f>
        <v/>
      </c>
      <c r="AN98" s="136" t="str">
        <f t="shared" ref="AN98" ca="1" si="38">IF(AN96="","",IF(AN96&lt;$C98,0,IF(AN96=$C98,AN97/$C99*$E99+AM99/$C99*$E99,IF(AND(AN96&gt;$C98,AN96&lt;ROUNDDOWN(($C98+($D98+$C99-1)/12),0)),(AN97/2+AM99)/($C99-$E99-12*(AN96-$C98-1))*12,IF(AND($D99&lt;0,AN96=ROUNDDOWN(($C98+($D98+$C99-1)/12),0)),AM99,IF(AN96=ROUNDDOWN(($C98+($D98+$C99-1)/12),0),(AN97+AM99)/$C99*($D99+(AN96-$C98-1)*12+$E99),IF(AN96&gt;ROUNDDOWN(($C98+($D98+$C99)/12),0),0,0)))))))</f>
        <v/>
      </c>
      <c r="AO98" s="136" t="str">
        <f t="shared" ref="AO98" ca="1" si="39">IF(AO96="","",IF(AO96&lt;$C98,0,IF(AO96=$C98,AO97/$C99*$E99+AN99/$C99*$E99,IF(AND(AO96&gt;$C98,AO96&lt;ROUNDDOWN(($C98+($D98+$C99-1)/12),0)),(AO97/2+AN99)/($C99-$E99-12*(AO96-$C98-1))*12,IF(AND($D99&lt;0,AO96=ROUNDDOWN(($C98+($D98+$C99-1)/12),0)),AN99,IF(AO96=ROUNDDOWN(($C98+($D98+$C99-1)/12),0),(AO97+AN99)/$C99*($D99+(AO96-$C98-1)*12+$E99),IF(AO96&gt;ROUNDDOWN(($C98+($D98+$C99)/12),0),0,0)))))))</f>
        <v/>
      </c>
      <c r="AP98" s="136" t="str">
        <f t="shared" ref="AP98" ca="1" si="40">IF(AP96="","",IF(AP96&lt;$C98,0,IF(AP96=$C98,AP97/$C99*$E99+AO99/$C99*$E99,IF(AND(AP96&gt;$C98,AP96&lt;ROUNDDOWN(($C98+($D98+$C99-1)/12),0)),(AP97/2+AO99)/($C99-$E99-12*(AP96-$C98-1))*12,IF(AND($D99&lt;0,AP96=ROUNDDOWN(($C98+($D98+$C99-1)/12),0)),AO99,IF(AP96=ROUNDDOWN(($C98+($D98+$C99-1)/12),0),(AP97+AO99)/$C99*($D99+(AP96-$C98-1)*12+$E99),IF(AP96&gt;ROUNDDOWN(($C98+($D98+$C99)/12),0),0,0)))))))</f>
        <v/>
      </c>
      <c r="AQ98" s="136" t="str">
        <f t="shared" ref="AQ98" ca="1" si="41">IF(AQ96="","",IF(AQ96&lt;$C98,0,IF(AQ96=$C98,AQ97/$C99*$E99+AP99/$C99*$E99,IF(AND(AQ96&gt;$C98,AQ96&lt;ROUNDDOWN(($C98+($D98+$C99-1)/12),0)),(AQ97/2+AP99)/($C99-$E99-12*(AQ96-$C98-1))*12,IF(AND($D99&lt;0,AQ96=ROUNDDOWN(($C98+($D98+$C99-1)/12),0)),AP99,IF(AQ96=ROUNDDOWN(($C98+($D98+$C99-1)/12),0),(AQ97+AP99)/$C99*($D99+(AQ96-$C98-1)*12+$E99),IF(AQ96&gt;ROUNDDOWN(($C98+($D98+$C99)/12),0),0,0)))))))</f>
        <v/>
      </c>
      <c r="AR98" s="136" t="str">
        <f t="shared" ref="AR98" ca="1" si="42">IF(AR96="","",IF(AR96&lt;$C98,0,IF(AR96=$C98,AR97/$C99*$E99+AQ99/$C99*$E99,IF(AND(AR96&gt;$C98,AR96&lt;ROUNDDOWN(($C98+($D98+$C99-1)/12),0)),(AR97/2+AQ99)/($C99-$E99-12*(AR96-$C98-1))*12,IF(AND($D99&lt;0,AR96=ROUNDDOWN(($C98+($D98+$C99-1)/12),0)),AQ99,IF(AR96=ROUNDDOWN(($C98+($D98+$C99-1)/12),0),(AR97+AQ99)/$C99*($D99+(AR96-$C98-1)*12+$E99),IF(AR96&gt;ROUNDDOWN(($C98+($D98+$C99)/12),0),0,0)))))))</f>
        <v/>
      </c>
      <c r="AS98" s="136" t="str">
        <f t="shared" ref="AS98" ca="1" si="43">IF(AS96="","",IF(AS96&lt;$C98,0,IF(AS96=$C98,AS97/$C99*$E99+AR99/$C99*$E99,IF(AND(AS96&gt;$C98,AS96&lt;ROUNDDOWN(($C98+($D98+$C99-1)/12),0)),(AS97/2+AR99)/($C99-$E99-12*(AS96-$C98-1))*12,IF(AND($D99&lt;0,AS96=ROUNDDOWN(($C98+($D98+$C99-1)/12),0)),AR99,IF(AS96=ROUNDDOWN(($C98+($D98+$C99-1)/12),0),(AS97+AR99)/$C99*($D99+(AS96-$C98-1)*12+$E99),IF(AS96&gt;ROUNDDOWN(($C98+($D98+$C99)/12),0),0,0)))))))</f>
        <v/>
      </c>
      <c r="AT98" s="136" t="str">
        <f t="shared" ref="AT98" ca="1" si="44">IF(AT96="","",IF(AT96&lt;$C98,0,IF(AT96=$C98,AT97/$C99*$E99+AS99/$C99*$E99,IF(AND(AT96&gt;$C98,AT96&lt;ROUNDDOWN(($C98+($D98+$C99-1)/12),0)),(AT97/2+AS99)/($C99-$E99-12*(AT96-$C98-1))*12,IF(AND($D99&lt;0,AT96=ROUNDDOWN(($C98+($D98+$C99-1)/12),0)),AS99,IF(AT96=ROUNDDOWN(($C98+($D98+$C99-1)/12),0),(AT97+AS99)/$C99*($D99+(AT96-$C98-1)*12+$E99),IF(AT96&gt;ROUNDDOWN(($C98+($D98+$C99)/12),0),0,0)))))))</f>
        <v/>
      </c>
      <c r="AU98" s="136" t="str">
        <f t="shared" ref="AU98" ca="1" si="45">IF(AU96="","",IF(AU96&lt;$C98,0,IF(AU96=$C98,AU97/$C99*$E99+AT99/$C99*$E99,IF(AND(AU96&gt;$C98,AU96&lt;ROUNDDOWN(($C98+($D98+$C99-1)/12),0)),(AU97/2+AT99)/($C99-$E99-12*(AU96-$C98-1))*12,IF(AND($D99&lt;0,AU96=ROUNDDOWN(($C98+($D98+$C99-1)/12),0)),AT99,IF(AU96=ROUNDDOWN(($C98+($D98+$C99-1)/12),0),(AU97+AT99)/$C99*($D99+(AU96-$C98-1)*12+$E99),IF(AU96&gt;ROUNDDOWN(($C98+($D98+$C99)/12),0),0,0)))))))</f>
        <v/>
      </c>
      <c r="AV98" s="136" t="str">
        <f t="shared" ref="AV98" ca="1" si="46">IF(AV96="","",IF(AV96&lt;$C98,0,IF(AV96=$C98,AV97/$C99*$E99+AU99/$C99*$E99,IF(AND(AV96&gt;$C98,AV96&lt;ROUNDDOWN(($C98+($D98+$C99-1)/12),0)),(AV97/2+AU99)/($C99-$E99-12*(AV96-$C98-1))*12,IF(AND($D99&lt;0,AV96=ROUNDDOWN(($C98+($D98+$C99-1)/12),0)),AU99,IF(AV96=ROUNDDOWN(($C98+($D98+$C99-1)/12),0),(AV97+AU99)/$C99*($D99+(AV96-$C98-1)*12+$E99),IF(AV96&gt;ROUNDDOWN(($C98+($D98+$C99)/12),0),0,0)))))))</f>
        <v/>
      </c>
      <c r="AW98" s="136" t="str">
        <f t="shared" ref="AW98" ca="1" si="47">IF(AW96="","",IF(AW96&lt;$C98,0,IF(AW96=$C98,AW97/$C99*$E99+AV99/$C99*$E99,IF(AND(AW96&gt;$C98,AW96&lt;ROUNDDOWN(($C98+($D98+$C99-1)/12),0)),(AW97/2+AV99)/($C99-$E99-12*(AW96-$C98-1))*12,IF(AND($D99&lt;0,AW96=ROUNDDOWN(($C98+($D98+$C99-1)/12),0)),AV99,IF(AW96=ROUNDDOWN(($C98+($D98+$C99-1)/12),0),(AW97+AV99)/$C99*($D99+(AW96-$C98-1)*12+$E99),IF(AW96&gt;ROUNDDOWN(($C98+($D98+$C99)/12),0),0,0)))))))</f>
        <v/>
      </c>
      <c r="AX98" s="112"/>
      <c r="AY98" s="112"/>
      <c r="AZ98" s="109"/>
    </row>
    <row r="99" spans="3:52" ht="12.75" customHeight="1" x14ac:dyDescent="0.2">
      <c r="C99" s="150">
        <f>ROUNDUP((E98-ROUNDDOWN(E98,0))*12,0)+ROUNDDOWN(E98,0)*12</f>
        <v>0</v>
      </c>
      <c r="D99" s="150">
        <f>C99-E99-ROUNDDOWN(E98,0)*12</f>
        <v>-12</v>
      </c>
      <c r="E99" s="150">
        <f>13-MONTH(C97)</f>
        <v>12</v>
      </c>
      <c r="N99" s="107"/>
      <c r="O99" s="112"/>
      <c r="P99" s="112"/>
      <c r="Q99" s="137" t="str">
        <f>INDEX(g_lang_val,MATCH("tb_2_4_3",g_lang_key,0))</f>
        <v>FF4-gæld, ultimo året</v>
      </c>
      <c r="R99" s="138"/>
      <c r="S99" s="141"/>
      <c r="T99" s="136">
        <f t="shared" ref="T99" ca="1" si="48">IF(T96="","",S99+T97-T98)</f>
        <v>0</v>
      </c>
      <c r="U99" s="136">
        <f t="shared" ref="U99" ca="1" si="49">IF(U96="","",T99+U97-U98)</f>
        <v>0</v>
      </c>
      <c r="V99" s="136">
        <f t="shared" ref="V99" ca="1" si="50">IF(V96="","",U99+V97-V98)</f>
        <v>0</v>
      </c>
      <c r="W99" s="136">
        <f t="shared" ref="W99" ca="1" si="51">IF(W96="","",V99+W97-W98)</f>
        <v>0</v>
      </c>
      <c r="X99" s="136">
        <f t="shared" ref="X99" ca="1" si="52">IF(X96="","",W99+X97-X98)</f>
        <v>0</v>
      </c>
      <c r="Y99" s="136" t="str">
        <f t="shared" ref="Y99" ca="1" si="53">IF(Y96="","",X99+Y97-Y98)</f>
        <v/>
      </c>
      <c r="Z99" s="136" t="str">
        <f t="shared" ref="Z99" ca="1" si="54">IF(Z96="","",Y99+Z97-Z98)</f>
        <v/>
      </c>
      <c r="AA99" s="136" t="str">
        <f t="shared" ref="AA99" ca="1" si="55">IF(AA96="","",Z99+AA97-AA98)</f>
        <v/>
      </c>
      <c r="AB99" s="136" t="str">
        <f t="shared" ref="AB99" ca="1" si="56">IF(AB96="","",AA99+AB97-AB98)</f>
        <v/>
      </c>
      <c r="AC99" s="136" t="str">
        <f t="shared" ref="AC99" ca="1" si="57">IF(AC96="","",AB99+AC97-AC98)</f>
        <v/>
      </c>
      <c r="AD99" s="136" t="str">
        <f t="shared" ref="AD99" ca="1" si="58">IF(AD96="","",AC99+AD97-AD98)</f>
        <v/>
      </c>
      <c r="AE99" s="136" t="str">
        <f t="shared" ref="AE99" ca="1" si="59">IF(AE96="","",AD99+AE97-AE98)</f>
        <v/>
      </c>
      <c r="AF99" s="136" t="str">
        <f t="shared" ref="AF99" ca="1" si="60">IF(AF96="","",AE99+AF97-AF98)</f>
        <v/>
      </c>
      <c r="AG99" s="136" t="str">
        <f t="shared" ref="AG99" ca="1" si="61">IF(AG96="","",AF99+AG97-AG98)</f>
        <v/>
      </c>
      <c r="AH99" s="136" t="str">
        <f t="shared" ref="AH99" ca="1" si="62">IF(AH96="","",AG99+AH97-AH98)</f>
        <v/>
      </c>
      <c r="AI99" s="136" t="str">
        <f t="shared" ref="AI99" ca="1" si="63">IF(AI96="","",AH99+AI97-AI98)</f>
        <v/>
      </c>
      <c r="AJ99" s="136" t="str">
        <f t="shared" ref="AJ99" ca="1" si="64">IF(AJ96="","",AI99+AJ97-AJ98)</f>
        <v/>
      </c>
      <c r="AK99" s="136" t="str">
        <f t="shared" ref="AK99" ca="1" si="65">IF(AK96="","",AJ99+AK97-AK98)</f>
        <v/>
      </c>
      <c r="AL99" s="136" t="str">
        <f t="shared" ref="AL99" ca="1" si="66">IF(AL96="","",AK99+AL97-AL98)</f>
        <v/>
      </c>
      <c r="AM99" s="136" t="str">
        <f t="shared" ref="AM99" ca="1" si="67">IF(AM96="","",AL99+AM97-AM98)</f>
        <v/>
      </c>
      <c r="AN99" s="136" t="str">
        <f t="shared" ref="AN99" ca="1" si="68">IF(AN96="","",AM99+AN97-AN98)</f>
        <v/>
      </c>
      <c r="AO99" s="136" t="str">
        <f t="shared" ref="AO99" ca="1" si="69">IF(AO96="","",AN99+AO97-AO98)</f>
        <v/>
      </c>
      <c r="AP99" s="136" t="str">
        <f t="shared" ref="AP99" ca="1" si="70">IF(AP96="","",AO99+AP97-AP98)</f>
        <v/>
      </c>
      <c r="AQ99" s="136" t="str">
        <f t="shared" ref="AQ99" ca="1" si="71">IF(AQ96="","",AP99+AQ97-AQ98)</f>
        <v/>
      </c>
      <c r="AR99" s="136" t="str">
        <f t="shared" ref="AR99" ca="1" si="72">IF(AR96="","",AQ99+AR97-AR98)</f>
        <v/>
      </c>
      <c r="AS99" s="136" t="str">
        <f t="shared" ref="AS99" ca="1" si="73">IF(AS96="","",AR99+AS97-AS98)</f>
        <v/>
      </c>
      <c r="AT99" s="136" t="str">
        <f t="shared" ref="AT99" ca="1" si="74">IF(AT96="","",AS99+AT97-AT98)</f>
        <v/>
      </c>
      <c r="AU99" s="136" t="str">
        <f t="shared" ref="AU99" ca="1" si="75">IF(AU96="","",AT99+AU97-AU98)</f>
        <v/>
      </c>
      <c r="AV99" s="136" t="str">
        <f t="shared" ref="AV99" ca="1" si="76">IF(AV96="","",AU99+AV97-AV98)</f>
        <v/>
      </c>
      <c r="AW99" s="136" t="str">
        <f t="shared" ref="AW99" ca="1" si="77">IF(AW96="","",AV99+AW97-AW98)</f>
        <v/>
      </c>
      <c r="AX99" s="112"/>
      <c r="AY99" s="112"/>
      <c r="AZ99" s="109"/>
    </row>
    <row r="100" spans="3:52" ht="12.75" customHeight="1" x14ac:dyDescent="0.2">
      <c r="N100" s="107"/>
      <c r="O100" s="112"/>
      <c r="P100" s="112"/>
      <c r="Q100" s="137" t="str">
        <f>INDEX(g_lang_val,MATCH("tb_2_4_4",g_lang_key,0))</f>
        <v>Renter (FF4)</v>
      </c>
      <c r="R100" s="138"/>
      <c r="S100" s="141">
        <f ca="1">SUM(T100:BG100)</f>
        <v>0</v>
      </c>
      <c r="T100" s="136">
        <f t="shared" ref="T100" ca="1" si="78">IF(T96="","",g_interest_FF4*(S99+(T97/2)-(T98/2)))</f>
        <v>0</v>
      </c>
      <c r="U100" s="136">
        <f t="shared" ref="U100" ca="1" si="79">IF(U96="","",g_interest_FF4*(T99+(U97/2)-(U98/2)))</f>
        <v>0</v>
      </c>
      <c r="V100" s="136">
        <f t="shared" ref="V100" ca="1" si="80">IF(V96="","",g_interest_FF4*(U99+(V97/2)-(V98/2)))</f>
        <v>0</v>
      </c>
      <c r="W100" s="136">
        <f t="shared" ref="W100" ca="1" si="81">IF(W96="","",g_interest_FF4*(V99+(W97/2)-(W98/2)))</f>
        <v>0</v>
      </c>
      <c r="X100" s="136">
        <f t="shared" ref="X100" ca="1" si="82">IF(X96="","",g_interest_FF4*(W99+(X97/2)-(X98/2)))</f>
        <v>0</v>
      </c>
      <c r="Y100" s="136" t="str">
        <f t="shared" ref="Y100" ca="1" si="83">IF(Y96="","",g_interest_FF4*(X99+(Y97/2)-(Y98/2)))</f>
        <v/>
      </c>
      <c r="Z100" s="136" t="str">
        <f t="shared" ref="Z100" ca="1" si="84">IF(Z96="","",g_interest_FF4*(Y99+(Z97/2)-(Z98/2)))</f>
        <v/>
      </c>
      <c r="AA100" s="136" t="str">
        <f t="shared" ref="AA100" ca="1" si="85">IF(AA96="","",g_interest_FF4*(Z99+(AA97/2)-(AA98/2)))</f>
        <v/>
      </c>
      <c r="AB100" s="136" t="str">
        <f t="shared" ref="AB100" ca="1" si="86">IF(AB96="","",g_interest_FF4*(AA99+(AB97/2)-(AB98/2)))</f>
        <v/>
      </c>
      <c r="AC100" s="136" t="str">
        <f t="shared" ref="AC100" ca="1" si="87">IF(AC96="","",g_interest_FF4*(AB99+(AC97/2)-(AC98/2)))</f>
        <v/>
      </c>
      <c r="AD100" s="136" t="str">
        <f t="shared" ref="AD100" ca="1" si="88">IF(AD96="","",g_interest_FF4*(AC99+(AD97/2)-(AD98/2)))</f>
        <v/>
      </c>
      <c r="AE100" s="136" t="str">
        <f t="shared" ref="AE100" ca="1" si="89">IF(AE96="","",g_interest_FF4*(AD99+(AE97/2)-(AE98/2)))</f>
        <v/>
      </c>
      <c r="AF100" s="136" t="str">
        <f t="shared" ref="AF100" ca="1" si="90">IF(AF96="","",g_interest_FF4*(AE99+(AF97/2)-(AF98/2)))</f>
        <v/>
      </c>
      <c r="AG100" s="136" t="str">
        <f t="shared" ref="AG100" ca="1" si="91">IF(AG96="","",g_interest_FF4*(AF99+(AG97/2)-(AG98/2)))</f>
        <v/>
      </c>
      <c r="AH100" s="136" t="str">
        <f t="shared" ref="AH100" ca="1" si="92">IF(AH96="","",g_interest_FF4*(AG99+(AH97/2)-(AH98/2)))</f>
        <v/>
      </c>
      <c r="AI100" s="136" t="str">
        <f t="shared" ref="AI100" ca="1" si="93">IF(AI96="","",g_interest_FF4*(AH99+(AI97/2)-(AI98/2)))</f>
        <v/>
      </c>
      <c r="AJ100" s="136" t="str">
        <f t="shared" ref="AJ100" ca="1" si="94">IF(AJ96="","",g_interest_FF4*(AI99+(AJ97/2)-(AJ98/2)))</f>
        <v/>
      </c>
      <c r="AK100" s="136" t="str">
        <f t="shared" ref="AK100" ca="1" si="95">IF(AK96="","",g_interest_FF4*(AJ99+(AK97/2)-(AK98/2)))</f>
        <v/>
      </c>
      <c r="AL100" s="136" t="str">
        <f t="shared" ref="AL100" ca="1" si="96">IF(AL96="","",g_interest_FF4*(AK99+(AL97/2)-(AL98/2)))</f>
        <v/>
      </c>
      <c r="AM100" s="136" t="str">
        <f t="shared" ref="AM100" ca="1" si="97">IF(AM96="","",g_interest_FF4*(AL99+(AM97/2)-(AM98/2)))</f>
        <v/>
      </c>
      <c r="AN100" s="136" t="str">
        <f t="shared" ref="AN100" ca="1" si="98">IF(AN96="","",g_interest_FF4*(AM99+(AN97/2)-(AN98/2)))</f>
        <v/>
      </c>
      <c r="AO100" s="136" t="str">
        <f t="shared" ref="AO100" ca="1" si="99">IF(AO96="","",g_interest_FF4*(AN99+(AO97/2)-(AO98/2)))</f>
        <v/>
      </c>
      <c r="AP100" s="136" t="str">
        <f t="shared" ref="AP100" ca="1" si="100">IF(AP96="","",g_interest_FF4*(AO99+(AP97/2)-(AP98/2)))</f>
        <v/>
      </c>
      <c r="AQ100" s="136" t="str">
        <f t="shared" ref="AQ100" ca="1" si="101">IF(AQ96="","",g_interest_FF4*(AP99+(AQ97/2)-(AQ98/2)))</f>
        <v/>
      </c>
      <c r="AR100" s="136" t="str">
        <f t="shared" ref="AR100" ca="1" si="102">IF(AR96="","",g_interest_FF4*(AQ99+(AR97/2)-(AR98/2)))</f>
        <v/>
      </c>
      <c r="AS100" s="136" t="str">
        <f t="shared" ref="AS100" ca="1" si="103">IF(AS96="","",g_interest_FF4*(AR99+(AS97/2)-(AS98/2)))</f>
        <v/>
      </c>
      <c r="AT100" s="136" t="str">
        <f t="shared" ref="AT100" ca="1" si="104">IF(AT96="","",g_interest_FF4*(AS99+(AT97/2)-(AT98/2)))</f>
        <v/>
      </c>
      <c r="AU100" s="136" t="str">
        <f t="shared" ref="AU100" ca="1" si="105">IF(AU96="","",g_interest_FF4*(AT99+(AU97/2)-(AU98/2)))</f>
        <v/>
      </c>
      <c r="AV100" s="136" t="str">
        <f t="shared" ref="AV100" ca="1" si="106">IF(AV96="","",g_interest_FF4*(AU99+(AV97/2)-(AV98/2)))</f>
        <v/>
      </c>
      <c r="AW100" s="136" t="str">
        <f t="shared" ref="AW100" ca="1" si="107">IF(AW96="","",g_interest_FF4*(AV99+(AW97/2)-(AW98/2)))</f>
        <v/>
      </c>
      <c r="AX100" s="112"/>
      <c r="AY100" s="112"/>
      <c r="AZ100" s="109"/>
    </row>
    <row r="101" spans="3:52" ht="12.75" customHeight="1" x14ac:dyDescent="0.2">
      <c r="N101" s="107"/>
      <c r="O101" s="112"/>
      <c r="P101" s="112"/>
      <c r="Q101" s="140" t="str">
        <f>INDEX(g_assets_sc_1,4)</f>
        <v/>
      </c>
      <c r="R101" s="140"/>
      <c r="S101" s="135"/>
      <c r="T101" s="147">
        <f ca="1">T$95</f>
        <v>2024</v>
      </c>
      <c r="U101" s="147">
        <f t="shared" ref="U101:AW101" ca="1" si="108">U$95</f>
        <v>2025</v>
      </c>
      <c r="V101" s="147">
        <f t="shared" ca="1" si="108"/>
        <v>2026</v>
      </c>
      <c r="W101" s="147">
        <f t="shared" ca="1" si="108"/>
        <v>2027</v>
      </c>
      <c r="X101" s="147">
        <f t="shared" ca="1" si="108"/>
        <v>2028</v>
      </c>
      <c r="Y101" s="147" t="str">
        <f t="shared" ca="1" si="108"/>
        <v/>
      </c>
      <c r="Z101" s="147" t="str">
        <f t="shared" ca="1" si="108"/>
        <v/>
      </c>
      <c r="AA101" s="147" t="str">
        <f t="shared" ca="1" si="108"/>
        <v/>
      </c>
      <c r="AB101" s="147" t="str">
        <f t="shared" ca="1" si="108"/>
        <v/>
      </c>
      <c r="AC101" s="147" t="str">
        <f t="shared" ca="1" si="108"/>
        <v/>
      </c>
      <c r="AD101" s="147" t="str">
        <f t="shared" ca="1" si="108"/>
        <v/>
      </c>
      <c r="AE101" s="147" t="str">
        <f t="shared" ca="1" si="108"/>
        <v/>
      </c>
      <c r="AF101" s="147" t="str">
        <f t="shared" ca="1" si="108"/>
        <v/>
      </c>
      <c r="AG101" s="147" t="str">
        <f t="shared" ca="1" si="108"/>
        <v/>
      </c>
      <c r="AH101" s="147" t="str">
        <f t="shared" ca="1" si="108"/>
        <v/>
      </c>
      <c r="AI101" s="147" t="str">
        <f t="shared" ca="1" si="108"/>
        <v/>
      </c>
      <c r="AJ101" s="147" t="str">
        <f t="shared" ca="1" si="108"/>
        <v/>
      </c>
      <c r="AK101" s="147" t="str">
        <f t="shared" ca="1" si="108"/>
        <v/>
      </c>
      <c r="AL101" s="147" t="str">
        <f t="shared" ca="1" si="108"/>
        <v/>
      </c>
      <c r="AM101" s="147" t="str">
        <f t="shared" ca="1" si="108"/>
        <v/>
      </c>
      <c r="AN101" s="147" t="str">
        <f t="shared" ca="1" si="108"/>
        <v/>
      </c>
      <c r="AO101" s="147" t="str">
        <f t="shared" ca="1" si="108"/>
        <v/>
      </c>
      <c r="AP101" s="147" t="str">
        <f t="shared" ca="1" si="108"/>
        <v/>
      </c>
      <c r="AQ101" s="147" t="str">
        <f t="shared" ca="1" si="108"/>
        <v/>
      </c>
      <c r="AR101" s="147" t="str">
        <f t="shared" ca="1" si="108"/>
        <v/>
      </c>
      <c r="AS101" s="147" t="str">
        <f t="shared" ca="1" si="108"/>
        <v/>
      </c>
      <c r="AT101" s="147" t="str">
        <f t="shared" ca="1" si="108"/>
        <v/>
      </c>
      <c r="AU101" s="147" t="str">
        <f t="shared" ca="1" si="108"/>
        <v/>
      </c>
      <c r="AV101" s="147" t="str">
        <f t="shared" ca="1" si="108"/>
        <v/>
      </c>
      <c r="AW101" s="147" t="str">
        <f t="shared" ca="1" si="108"/>
        <v/>
      </c>
      <c r="AX101" s="112"/>
      <c r="AY101" s="112"/>
      <c r="AZ101" s="109"/>
    </row>
    <row r="102" spans="3:52" ht="12.75" customHeight="1" x14ac:dyDescent="0.2">
      <c r="C102" s="148">
        <f>INDEX(g_sc_1_assets_dates,G102)</f>
        <v>0</v>
      </c>
      <c r="G102" s="149">
        <v>2</v>
      </c>
      <c r="N102" s="107"/>
      <c r="O102" s="112"/>
      <c r="P102" s="112"/>
      <c r="Q102" s="137" t="str">
        <f>INDEX(g_lang_val,MATCH("tb_2_4_1",g_lang_key,0))</f>
        <v>Køb af anlægsaktiver</v>
      </c>
      <c r="R102" s="138"/>
      <c r="S102" s="141">
        <f ca="1">SUM(T102:BG102)</f>
        <v>0</v>
      </c>
      <c r="T102" s="136">
        <f ca="1">IF(T101="","",SUMPRODUCT(--(Leverancer!$F$28:$F$48=($G102+2)),Leverancer!G$28:G$48)/1000)</f>
        <v>0</v>
      </c>
      <c r="U102" s="136">
        <f ca="1">IF(U101="","",SUMPRODUCT(--(Leverancer!$F$28:$F$48=($G102+2)),Leverancer!H$28:H$48)/1000)</f>
        <v>0</v>
      </c>
      <c r="V102" s="136">
        <f ca="1">IF(V101="","",SUMPRODUCT(--(Leverancer!$F$28:$F$48=($G102+2)),Leverancer!I$28:I$48)/1000)</f>
        <v>0</v>
      </c>
      <c r="W102" s="136">
        <f ca="1">IF(W101="","",SUMPRODUCT(--(Leverancer!$F$28:$F$48=($G102+2)),Leverancer!J$28:J$48)/1000)</f>
        <v>0</v>
      </c>
      <c r="X102" s="136">
        <f ca="1">IF(X101="","",SUMPRODUCT(--(Leverancer!$F$28:$F$48=($G102+2)),Leverancer!K$28:K$48)/1000)</f>
        <v>0</v>
      </c>
      <c r="Y102" s="136" t="str">
        <f ca="1">IF(Y101="","",SUMPRODUCT(--(Leverancer!$F$28:$F$48=($G102+2)),Leverancer!L$28:L$48)/1000)</f>
        <v/>
      </c>
      <c r="Z102" s="136" t="str">
        <f ca="1">IF(Z101="","",SUMPRODUCT(--(Leverancer!$F$28:$F$48=($G102+2)),Leverancer!M$28:M$48)/1000)</f>
        <v/>
      </c>
      <c r="AA102" s="136" t="str">
        <f ca="1">IF(AA101="","",SUMPRODUCT(--(Leverancer!$F$28:$F$48=($G102+2)),Leverancer!N$28:N$48)/1000)</f>
        <v/>
      </c>
      <c r="AB102" s="136" t="str">
        <f ca="1">IF(AB101="","",SUMPRODUCT(--(Leverancer!$F$28:$F$48=($G102+2)),Leverancer!O$28:O$48)/1000)</f>
        <v/>
      </c>
      <c r="AC102" s="136" t="str">
        <f ca="1">IF(AC101="","",SUMPRODUCT(--(Leverancer!$F$28:$F$48=($G102+2)),Leverancer!P$28:P$48)/1000)</f>
        <v/>
      </c>
      <c r="AD102" s="136" t="str">
        <f ca="1">IF(AD101="","",SUMPRODUCT(--(Leverancer!$F$28:$F$48=($G102+2)),Leverancer!Q$28:Q$48)/1000)</f>
        <v/>
      </c>
      <c r="AE102" s="136" t="str">
        <f ca="1">IF(AE101="","",SUMPRODUCT(--(Leverancer!$F$28:$F$48=($G102+2)),Leverancer!R$28:R$48)/1000)</f>
        <v/>
      </c>
      <c r="AF102" s="136" t="str">
        <f ca="1">IF(AF101="","",SUMPRODUCT(--(Leverancer!$F$28:$F$48=($G102+2)),Leverancer!S$28:S$48)/1000)</f>
        <v/>
      </c>
      <c r="AG102" s="136" t="str">
        <f ca="1">IF(AG101="","",SUMPRODUCT(--(Leverancer!$F$28:$F$48=($G102+2)),Leverancer!T$28:T$48)/1000)</f>
        <v/>
      </c>
      <c r="AH102" s="136" t="str">
        <f ca="1">IF(AH101="","",SUMPRODUCT(--(Leverancer!$F$28:$F$48=($G102+2)),Leverancer!U$28:U$48)/1000)</f>
        <v/>
      </c>
      <c r="AI102" s="136" t="str">
        <f ca="1">IF(AI101="","",SUMPRODUCT(--(Leverancer!$F$28:$F$48=($G102+2)),Leverancer!V$28:V$48)/1000)</f>
        <v/>
      </c>
      <c r="AJ102" s="136" t="str">
        <f ca="1">IF(AJ101="","",SUMPRODUCT(--(Leverancer!$F$28:$F$48=($G102+2)),Leverancer!W$28:W$48)/1000)</f>
        <v/>
      </c>
      <c r="AK102" s="136" t="str">
        <f ca="1">IF(AK101="","",SUMPRODUCT(--(Leverancer!$F$28:$F$48=($G102+2)),Leverancer!X$28:X$48)/1000)</f>
        <v/>
      </c>
      <c r="AL102" s="136" t="str">
        <f ca="1">IF(AL101="","",SUMPRODUCT(--(Leverancer!$F$28:$F$48=($G102+2)),Leverancer!Y$28:Y$48)/1000)</f>
        <v/>
      </c>
      <c r="AM102" s="136" t="str">
        <f ca="1">IF(AM101="","",SUMPRODUCT(--(Leverancer!$F$28:$F$48=($G102+2)),Leverancer!Z$28:Z$48)/1000)</f>
        <v/>
      </c>
      <c r="AN102" s="136" t="str">
        <f ca="1">IF(AN101="","",SUMPRODUCT(--(Leverancer!$F$28:$F$48=($G102+2)),Leverancer!AA$28:AA$48)/1000)</f>
        <v/>
      </c>
      <c r="AO102" s="136" t="str">
        <f ca="1">IF(AO101="","",SUMPRODUCT(--(Leverancer!$F$28:$F$48=($G102+2)),Leverancer!AB$28:AB$48)/1000)</f>
        <v/>
      </c>
      <c r="AP102" s="136" t="str">
        <f ca="1">IF(AP101="","",SUMPRODUCT(--(Leverancer!$F$28:$F$48=($G102+2)),Leverancer!AC$28:AC$48)/1000)</f>
        <v/>
      </c>
      <c r="AQ102" s="136" t="str">
        <f ca="1">IF(AQ101="","",SUMPRODUCT(--(Leverancer!$F$28:$F$48=($G102+2)),Leverancer!AD$28:AD$48)/1000)</f>
        <v/>
      </c>
      <c r="AR102" s="136" t="str">
        <f ca="1">IF(AR101="","",SUMPRODUCT(--(Leverancer!$F$28:$F$48=($G102+2)),Leverancer!AE$28:AE$48)/1000)</f>
        <v/>
      </c>
      <c r="AS102" s="136" t="str">
        <f ca="1">IF(AS101="","",SUMPRODUCT(--(Leverancer!$F$28:$F$48=($G102+2)),Leverancer!AF$28:AF$48)/1000)</f>
        <v/>
      </c>
      <c r="AT102" s="136" t="str">
        <f ca="1">IF(AT101="","",SUMPRODUCT(--(Leverancer!$F$28:$F$48=($G102+2)),Leverancer!AG$28:AG$48)/1000)</f>
        <v/>
      </c>
      <c r="AU102" s="136" t="str">
        <f ca="1">IF(AU101="","",SUMPRODUCT(--(Leverancer!$F$28:$F$48=($G102+2)),Leverancer!AH$28:AH$48)/1000)</f>
        <v/>
      </c>
      <c r="AV102" s="136" t="str">
        <f ca="1">IF(AV101="","",SUMPRODUCT(--(Leverancer!$F$28:$F$48=($G102+2)),Leverancer!AI$28:AI$48)/1000)</f>
        <v/>
      </c>
      <c r="AW102" s="136" t="str">
        <f ca="1">IF(AW101="","",SUMPRODUCT(--(Leverancer!$F$28:$F$48=($G102+2)),Leverancer!AJ$28:AJ$48)/1000)</f>
        <v/>
      </c>
      <c r="AX102" s="112"/>
      <c r="AY102" s="112"/>
      <c r="AZ102" s="109"/>
    </row>
    <row r="103" spans="3:52" ht="12.75" customHeight="1" x14ac:dyDescent="0.2">
      <c r="C103" s="150">
        <f>IFERROR(YEAR(C102),"")</f>
        <v>1900</v>
      </c>
      <c r="D103" s="150">
        <f>IFERROR(MONTH(C102),"")</f>
        <v>1</v>
      </c>
      <c r="E103" s="150">
        <f>INDEX(g_sc_1_assets_years,G102)</f>
        <v>0</v>
      </c>
      <c r="N103" s="107"/>
      <c r="O103" s="112"/>
      <c r="P103" s="112"/>
      <c r="Q103" s="137" t="str">
        <f>INDEX(g_lang_val,MATCH("tb_2_4_2",g_lang_key,0))</f>
        <v>Afskrivninger</v>
      </c>
      <c r="R103" s="138"/>
      <c r="S103" s="141">
        <f ca="1">SUM(T103:BG103)</f>
        <v>0</v>
      </c>
      <c r="T103" s="136">
        <f t="shared" ref="T103" ca="1" si="109">IF(T101="","",IF(T101&lt;$C103,0,IF(T101=$C103,T102/$C104*$E104+S104/$C104*$E104,IF(AND(T101&gt;$C103,T101&lt;ROUNDDOWN(($C103+($D103+$C104-1)/12),0)),(T102/2+S104)/($C104-$E104-12*(T101-$C103-1))*12,IF(AND($D104&lt;0,T101=ROUNDDOWN(($C103+($D103+$C104-1)/12),0)),S104,IF(T101=ROUNDDOWN(($C103+($D103+$C104-1)/12),0),(T102+S104)/$C104*($D104+(T101-$C103-1)*12+$E104),IF(T101&gt;ROUNDDOWN(($C103+($D103+$C104)/12),0),0,0)))))))</f>
        <v>0</v>
      </c>
      <c r="U103" s="136">
        <f t="shared" ref="U103" ca="1" si="110">IF(U101="","",IF(U101&lt;$C103,0,IF(U101=$C103,U102/$C104*$E104+T104/$C104*$E104,IF(AND(U101&gt;$C103,U101&lt;ROUNDDOWN(($C103+($D103+$C104-1)/12),0)),(U102/2+T104)/($C104-$E104-12*(U101-$C103-1))*12,IF(AND($D104&lt;0,U101=ROUNDDOWN(($C103+($D103+$C104-1)/12),0)),T104,IF(U101=ROUNDDOWN(($C103+($D103+$C104-1)/12),0),(U102+T104)/$C104*($D104+(U101-$C103-1)*12+$E104),IF(U101&gt;ROUNDDOWN(($C103+($D103+$C104)/12),0),0,0)))))))</f>
        <v>0</v>
      </c>
      <c r="V103" s="136">
        <f t="shared" ref="V103" ca="1" si="111">IF(V101="","",IF(V101&lt;$C103,0,IF(V101=$C103,V102/$C104*$E104+U104/$C104*$E104,IF(AND(V101&gt;$C103,V101&lt;ROUNDDOWN(($C103+($D103+$C104-1)/12),0)),(V102/2+U104)/($C104-$E104-12*(V101-$C103-1))*12,IF(AND($D104&lt;0,V101=ROUNDDOWN(($C103+($D103+$C104-1)/12),0)),U104,IF(V101=ROUNDDOWN(($C103+($D103+$C104-1)/12),0),(V102+U104)/$C104*($D104+(V101-$C103-1)*12+$E104),IF(V101&gt;ROUNDDOWN(($C103+($D103+$C104)/12),0),0,0)))))))</f>
        <v>0</v>
      </c>
      <c r="W103" s="136">
        <f t="shared" ref="W103" ca="1" si="112">IF(W101="","",IF(W101&lt;$C103,0,IF(W101=$C103,W102/$C104*$E104+V104/$C104*$E104,IF(AND(W101&gt;$C103,W101&lt;ROUNDDOWN(($C103+($D103+$C104-1)/12),0)),(W102/2+V104)/($C104-$E104-12*(W101-$C103-1))*12,IF(AND($D104&lt;0,W101=ROUNDDOWN(($C103+($D103+$C104-1)/12),0)),V104,IF(W101=ROUNDDOWN(($C103+($D103+$C104-1)/12),0),(W102+V104)/$C104*($D104+(W101-$C103-1)*12+$E104),IF(W101&gt;ROUNDDOWN(($C103+($D103+$C104)/12),0),0,0)))))))</f>
        <v>0</v>
      </c>
      <c r="X103" s="136">
        <f t="shared" ref="X103" ca="1" si="113">IF(X101="","",IF(X101&lt;$C103,0,IF(X101=$C103,X102/$C104*$E104+W104/$C104*$E104,IF(AND(X101&gt;$C103,X101&lt;ROUNDDOWN(($C103+($D103+$C104-1)/12),0)),(X102/2+W104)/($C104-$E104-12*(X101-$C103-1))*12,IF(AND($D104&lt;0,X101=ROUNDDOWN(($C103+($D103+$C104-1)/12),0)),W104,IF(X101=ROUNDDOWN(($C103+($D103+$C104-1)/12),0),(X102+W104)/$C104*($D104+(X101-$C103-1)*12+$E104),IF(X101&gt;ROUNDDOWN(($C103+($D103+$C104)/12),0),0,0)))))))</f>
        <v>0</v>
      </c>
      <c r="Y103" s="136" t="str">
        <f t="shared" ref="Y103" ca="1" si="114">IF(Y101="","",IF(Y101&lt;$C103,0,IF(Y101=$C103,Y102/$C104*$E104+X104/$C104*$E104,IF(AND(Y101&gt;$C103,Y101&lt;ROUNDDOWN(($C103+($D103+$C104-1)/12),0)),(Y102/2+X104)/($C104-$E104-12*(Y101-$C103-1))*12,IF(AND($D104&lt;0,Y101=ROUNDDOWN(($C103+($D103+$C104-1)/12),0)),X104,IF(Y101=ROUNDDOWN(($C103+($D103+$C104-1)/12),0),(Y102+X104)/$C104*($D104+(Y101-$C103-1)*12+$E104),IF(Y101&gt;ROUNDDOWN(($C103+($D103+$C104)/12),0),0,0)))))))</f>
        <v/>
      </c>
      <c r="Z103" s="136" t="str">
        <f t="shared" ref="Z103" ca="1" si="115">IF(Z101="","",IF(Z101&lt;$C103,0,IF(Z101=$C103,Z102/$C104*$E104+Y104/$C104*$E104,IF(AND(Z101&gt;$C103,Z101&lt;ROUNDDOWN(($C103+($D103+$C104-1)/12),0)),(Z102/2+Y104)/($C104-$E104-12*(Z101-$C103-1))*12,IF(AND($D104&lt;0,Z101=ROUNDDOWN(($C103+($D103+$C104-1)/12),0)),Y104,IF(Z101=ROUNDDOWN(($C103+($D103+$C104-1)/12),0),(Z102+Y104)/$C104*($D104+(Z101-$C103-1)*12+$E104),IF(Z101&gt;ROUNDDOWN(($C103+($D103+$C104)/12),0),0,0)))))))</f>
        <v/>
      </c>
      <c r="AA103" s="136" t="str">
        <f t="shared" ref="AA103" ca="1" si="116">IF(AA101="","",IF(AA101&lt;$C103,0,IF(AA101=$C103,AA102/$C104*$E104+Z104/$C104*$E104,IF(AND(AA101&gt;$C103,AA101&lt;ROUNDDOWN(($C103+($D103+$C104-1)/12),0)),(AA102/2+Z104)/($C104-$E104-12*(AA101-$C103-1))*12,IF(AND($D104&lt;0,AA101=ROUNDDOWN(($C103+($D103+$C104-1)/12),0)),Z104,IF(AA101=ROUNDDOWN(($C103+($D103+$C104-1)/12),0),(AA102+Z104)/$C104*($D104+(AA101-$C103-1)*12+$E104),IF(AA101&gt;ROUNDDOWN(($C103+($D103+$C104)/12),0),0,0)))))))</f>
        <v/>
      </c>
      <c r="AB103" s="136" t="str">
        <f t="shared" ref="AB103" ca="1" si="117">IF(AB101="","",IF(AB101&lt;$C103,0,IF(AB101=$C103,AB102/$C104*$E104+AA104/$C104*$E104,IF(AND(AB101&gt;$C103,AB101&lt;ROUNDDOWN(($C103+($D103+$C104-1)/12),0)),(AB102/2+AA104)/($C104-$E104-12*(AB101-$C103-1))*12,IF(AND($D104&lt;0,AB101=ROUNDDOWN(($C103+($D103+$C104-1)/12),0)),AA104,IF(AB101=ROUNDDOWN(($C103+($D103+$C104-1)/12),0),(AB102+AA104)/$C104*($D104+(AB101-$C103-1)*12+$E104),IF(AB101&gt;ROUNDDOWN(($C103+($D103+$C104)/12),0),0,0)))))))</f>
        <v/>
      </c>
      <c r="AC103" s="136" t="str">
        <f t="shared" ref="AC103" ca="1" si="118">IF(AC101="","",IF(AC101&lt;$C103,0,IF(AC101=$C103,AC102/$C104*$E104+AB104/$C104*$E104,IF(AND(AC101&gt;$C103,AC101&lt;ROUNDDOWN(($C103+($D103+$C104-1)/12),0)),(AC102/2+AB104)/($C104-$E104-12*(AC101-$C103-1))*12,IF(AND($D104&lt;0,AC101=ROUNDDOWN(($C103+($D103+$C104-1)/12),0)),AB104,IF(AC101=ROUNDDOWN(($C103+($D103+$C104-1)/12),0),(AC102+AB104)/$C104*($D104+(AC101-$C103-1)*12+$E104),IF(AC101&gt;ROUNDDOWN(($C103+($D103+$C104)/12),0),0,0)))))))</f>
        <v/>
      </c>
      <c r="AD103" s="136" t="str">
        <f t="shared" ref="AD103" ca="1" si="119">IF(AD101="","",IF(AD101&lt;$C103,0,IF(AD101=$C103,AD102/$C104*$E104+AC104/$C104*$E104,IF(AND(AD101&gt;$C103,AD101&lt;ROUNDDOWN(($C103+($D103+$C104-1)/12),0)),(AD102/2+AC104)/($C104-$E104-12*(AD101-$C103-1))*12,IF(AND($D104&lt;0,AD101=ROUNDDOWN(($C103+($D103+$C104-1)/12),0)),AC104,IF(AD101=ROUNDDOWN(($C103+($D103+$C104-1)/12),0),(AD102+AC104)/$C104*($D104+(AD101-$C103-1)*12+$E104),IF(AD101&gt;ROUNDDOWN(($C103+($D103+$C104)/12),0),0,0)))))))</f>
        <v/>
      </c>
      <c r="AE103" s="136" t="str">
        <f t="shared" ref="AE103" ca="1" si="120">IF(AE101="","",IF(AE101&lt;$C103,0,IF(AE101=$C103,AE102/$C104*$E104+AD104/$C104*$E104,IF(AND(AE101&gt;$C103,AE101&lt;ROUNDDOWN(($C103+($D103+$C104-1)/12),0)),(AE102/2+AD104)/($C104-$E104-12*(AE101-$C103-1))*12,IF(AND($D104&lt;0,AE101=ROUNDDOWN(($C103+($D103+$C104-1)/12),0)),AD104,IF(AE101=ROUNDDOWN(($C103+($D103+$C104-1)/12),0),(AE102+AD104)/$C104*($D104+(AE101-$C103-1)*12+$E104),IF(AE101&gt;ROUNDDOWN(($C103+($D103+$C104)/12),0),0,0)))))))</f>
        <v/>
      </c>
      <c r="AF103" s="136" t="str">
        <f t="shared" ref="AF103" ca="1" si="121">IF(AF101="","",IF(AF101&lt;$C103,0,IF(AF101=$C103,AF102/$C104*$E104+AE104/$C104*$E104,IF(AND(AF101&gt;$C103,AF101&lt;ROUNDDOWN(($C103+($D103+$C104-1)/12),0)),(AF102/2+AE104)/($C104-$E104-12*(AF101-$C103-1))*12,IF(AND($D104&lt;0,AF101=ROUNDDOWN(($C103+($D103+$C104-1)/12),0)),AE104,IF(AF101=ROUNDDOWN(($C103+($D103+$C104-1)/12),0),(AF102+AE104)/$C104*($D104+(AF101-$C103-1)*12+$E104),IF(AF101&gt;ROUNDDOWN(($C103+($D103+$C104)/12),0),0,0)))))))</f>
        <v/>
      </c>
      <c r="AG103" s="136" t="str">
        <f t="shared" ref="AG103" ca="1" si="122">IF(AG101="","",IF(AG101&lt;$C103,0,IF(AG101=$C103,AG102/$C104*$E104+AF104/$C104*$E104,IF(AND(AG101&gt;$C103,AG101&lt;ROUNDDOWN(($C103+($D103+$C104-1)/12),0)),(AG102/2+AF104)/($C104-$E104-12*(AG101-$C103-1))*12,IF(AND($D104&lt;0,AG101=ROUNDDOWN(($C103+($D103+$C104-1)/12),0)),AF104,IF(AG101=ROUNDDOWN(($C103+($D103+$C104-1)/12),0),(AG102+AF104)/$C104*($D104+(AG101-$C103-1)*12+$E104),IF(AG101&gt;ROUNDDOWN(($C103+($D103+$C104)/12),0),0,0)))))))</f>
        <v/>
      </c>
      <c r="AH103" s="136" t="str">
        <f t="shared" ref="AH103" ca="1" si="123">IF(AH101="","",IF(AH101&lt;$C103,0,IF(AH101=$C103,AH102/$C104*$E104+AG104/$C104*$E104,IF(AND(AH101&gt;$C103,AH101&lt;ROUNDDOWN(($C103+($D103+$C104-1)/12),0)),(AH102/2+AG104)/($C104-$E104-12*(AH101-$C103-1))*12,IF(AND($D104&lt;0,AH101=ROUNDDOWN(($C103+($D103+$C104-1)/12),0)),AG104,IF(AH101=ROUNDDOWN(($C103+($D103+$C104-1)/12),0),(AH102+AG104)/$C104*($D104+(AH101-$C103-1)*12+$E104),IF(AH101&gt;ROUNDDOWN(($C103+($D103+$C104)/12),0),0,0)))))))</f>
        <v/>
      </c>
      <c r="AI103" s="136" t="str">
        <f t="shared" ref="AI103" ca="1" si="124">IF(AI101="","",IF(AI101&lt;$C103,0,IF(AI101=$C103,AI102/$C104*$E104+AH104/$C104*$E104,IF(AND(AI101&gt;$C103,AI101&lt;ROUNDDOWN(($C103+($D103+$C104-1)/12),0)),(AI102/2+AH104)/($C104-$E104-12*(AI101-$C103-1))*12,IF(AND($D104&lt;0,AI101=ROUNDDOWN(($C103+($D103+$C104-1)/12),0)),AH104,IF(AI101=ROUNDDOWN(($C103+($D103+$C104-1)/12),0),(AI102+AH104)/$C104*($D104+(AI101-$C103-1)*12+$E104),IF(AI101&gt;ROUNDDOWN(($C103+($D103+$C104)/12),0),0,0)))))))</f>
        <v/>
      </c>
      <c r="AJ103" s="136" t="str">
        <f t="shared" ref="AJ103" ca="1" si="125">IF(AJ101="","",IF(AJ101&lt;$C103,0,IF(AJ101=$C103,AJ102/$C104*$E104+AI104/$C104*$E104,IF(AND(AJ101&gt;$C103,AJ101&lt;ROUNDDOWN(($C103+($D103+$C104-1)/12),0)),(AJ102/2+AI104)/($C104-$E104-12*(AJ101-$C103-1))*12,IF(AND($D104&lt;0,AJ101=ROUNDDOWN(($C103+($D103+$C104-1)/12),0)),AI104,IF(AJ101=ROUNDDOWN(($C103+($D103+$C104-1)/12),0),(AJ102+AI104)/$C104*($D104+(AJ101-$C103-1)*12+$E104),IF(AJ101&gt;ROUNDDOWN(($C103+($D103+$C104)/12),0),0,0)))))))</f>
        <v/>
      </c>
      <c r="AK103" s="136" t="str">
        <f t="shared" ref="AK103" ca="1" si="126">IF(AK101="","",IF(AK101&lt;$C103,0,IF(AK101=$C103,AK102/$C104*$E104+AJ104/$C104*$E104,IF(AND(AK101&gt;$C103,AK101&lt;ROUNDDOWN(($C103+($D103+$C104-1)/12),0)),(AK102/2+AJ104)/($C104-$E104-12*(AK101-$C103-1))*12,IF(AND($D104&lt;0,AK101=ROUNDDOWN(($C103+($D103+$C104-1)/12),0)),AJ104,IF(AK101=ROUNDDOWN(($C103+($D103+$C104-1)/12),0),(AK102+AJ104)/$C104*($D104+(AK101-$C103-1)*12+$E104),IF(AK101&gt;ROUNDDOWN(($C103+($D103+$C104)/12),0),0,0)))))))</f>
        <v/>
      </c>
      <c r="AL103" s="136" t="str">
        <f t="shared" ref="AL103" ca="1" si="127">IF(AL101="","",IF(AL101&lt;$C103,0,IF(AL101=$C103,AL102/$C104*$E104+AK104/$C104*$E104,IF(AND(AL101&gt;$C103,AL101&lt;ROUNDDOWN(($C103+($D103+$C104-1)/12),0)),(AL102/2+AK104)/($C104-$E104-12*(AL101-$C103-1))*12,IF(AND($D104&lt;0,AL101=ROUNDDOWN(($C103+($D103+$C104-1)/12),0)),AK104,IF(AL101=ROUNDDOWN(($C103+($D103+$C104-1)/12),0),(AL102+AK104)/$C104*($D104+(AL101-$C103-1)*12+$E104),IF(AL101&gt;ROUNDDOWN(($C103+($D103+$C104)/12),0),0,0)))))))</f>
        <v/>
      </c>
      <c r="AM103" s="136" t="str">
        <f t="shared" ref="AM103" ca="1" si="128">IF(AM101="","",IF(AM101&lt;$C103,0,IF(AM101=$C103,AM102/$C104*$E104+AL104/$C104*$E104,IF(AND(AM101&gt;$C103,AM101&lt;ROUNDDOWN(($C103+($D103+$C104-1)/12),0)),(AM102/2+AL104)/($C104-$E104-12*(AM101-$C103-1))*12,IF(AND($D104&lt;0,AM101=ROUNDDOWN(($C103+($D103+$C104-1)/12),0)),AL104,IF(AM101=ROUNDDOWN(($C103+($D103+$C104-1)/12),0),(AM102+AL104)/$C104*($D104+(AM101-$C103-1)*12+$E104),IF(AM101&gt;ROUNDDOWN(($C103+($D103+$C104)/12),0),0,0)))))))</f>
        <v/>
      </c>
      <c r="AN103" s="136" t="str">
        <f t="shared" ref="AN103" ca="1" si="129">IF(AN101="","",IF(AN101&lt;$C103,0,IF(AN101=$C103,AN102/$C104*$E104+AM104/$C104*$E104,IF(AND(AN101&gt;$C103,AN101&lt;ROUNDDOWN(($C103+($D103+$C104-1)/12),0)),(AN102/2+AM104)/($C104-$E104-12*(AN101-$C103-1))*12,IF(AND($D104&lt;0,AN101=ROUNDDOWN(($C103+($D103+$C104-1)/12),0)),AM104,IF(AN101=ROUNDDOWN(($C103+($D103+$C104-1)/12),0),(AN102+AM104)/$C104*($D104+(AN101-$C103-1)*12+$E104),IF(AN101&gt;ROUNDDOWN(($C103+($D103+$C104)/12),0),0,0)))))))</f>
        <v/>
      </c>
      <c r="AO103" s="136" t="str">
        <f t="shared" ref="AO103" ca="1" si="130">IF(AO101="","",IF(AO101&lt;$C103,0,IF(AO101=$C103,AO102/$C104*$E104+AN104/$C104*$E104,IF(AND(AO101&gt;$C103,AO101&lt;ROUNDDOWN(($C103+($D103+$C104-1)/12),0)),(AO102/2+AN104)/($C104-$E104-12*(AO101-$C103-1))*12,IF(AND($D104&lt;0,AO101=ROUNDDOWN(($C103+($D103+$C104-1)/12),0)),AN104,IF(AO101=ROUNDDOWN(($C103+($D103+$C104-1)/12),0),(AO102+AN104)/$C104*($D104+(AO101-$C103-1)*12+$E104),IF(AO101&gt;ROUNDDOWN(($C103+($D103+$C104)/12),0),0,0)))))))</f>
        <v/>
      </c>
      <c r="AP103" s="136" t="str">
        <f t="shared" ref="AP103" ca="1" si="131">IF(AP101="","",IF(AP101&lt;$C103,0,IF(AP101=$C103,AP102/$C104*$E104+AO104/$C104*$E104,IF(AND(AP101&gt;$C103,AP101&lt;ROUNDDOWN(($C103+($D103+$C104-1)/12),0)),(AP102/2+AO104)/($C104-$E104-12*(AP101-$C103-1))*12,IF(AND($D104&lt;0,AP101=ROUNDDOWN(($C103+($D103+$C104-1)/12),0)),AO104,IF(AP101=ROUNDDOWN(($C103+($D103+$C104-1)/12),0),(AP102+AO104)/$C104*($D104+(AP101-$C103-1)*12+$E104),IF(AP101&gt;ROUNDDOWN(($C103+($D103+$C104)/12),0),0,0)))))))</f>
        <v/>
      </c>
      <c r="AQ103" s="136" t="str">
        <f t="shared" ref="AQ103" ca="1" si="132">IF(AQ101="","",IF(AQ101&lt;$C103,0,IF(AQ101=$C103,AQ102/$C104*$E104+AP104/$C104*$E104,IF(AND(AQ101&gt;$C103,AQ101&lt;ROUNDDOWN(($C103+($D103+$C104-1)/12),0)),(AQ102/2+AP104)/($C104-$E104-12*(AQ101-$C103-1))*12,IF(AND($D104&lt;0,AQ101=ROUNDDOWN(($C103+($D103+$C104-1)/12),0)),AP104,IF(AQ101=ROUNDDOWN(($C103+($D103+$C104-1)/12),0),(AQ102+AP104)/$C104*($D104+(AQ101-$C103-1)*12+$E104),IF(AQ101&gt;ROUNDDOWN(($C103+($D103+$C104)/12),0),0,0)))))))</f>
        <v/>
      </c>
      <c r="AR103" s="136" t="str">
        <f t="shared" ref="AR103" ca="1" si="133">IF(AR101="","",IF(AR101&lt;$C103,0,IF(AR101=$C103,AR102/$C104*$E104+AQ104/$C104*$E104,IF(AND(AR101&gt;$C103,AR101&lt;ROUNDDOWN(($C103+($D103+$C104-1)/12),0)),(AR102/2+AQ104)/($C104-$E104-12*(AR101-$C103-1))*12,IF(AND($D104&lt;0,AR101=ROUNDDOWN(($C103+($D103+$C104-1)/12),0)),AQ104,IF(AR101=ROUNDDOWN(($C103+($D103+$C104-1)/12),0),(AR102+AQ104)/$C104*($D104+(AR101-$C103-1)*12+$E104),IF(AR101&gt;ROUNDDOWN(($C103+($D103+$C104)/12),0),0,0)))))))</f>
        <v/>
      </c>
      <c r="AS103" s="136" t="str">
        <f t="shared" ref="AS103" ca="1" si="134">IF(AS101="","",IF(AS101&lt;$C103,0,IF(AS101=$C103,AS102/$C104*$E104+AR104/$C104*$E104,IF(AND(AS101&gt;$C103,AS101&lt;ROUNDDOWN(($C103+($D103+$C104-1)/12),0)),(AS102/2+AR104)/($C104-$E104-12*(AS101-$C103-1))*12,IF(AND($D104&lt;0,AS101=ROUNDDOWN(($C103+($D103+$C104-1)/12),0)),AR104,IF(AS101=ROUNDDOWN(($C103+($D103+$C104-1)/12),0),(AS102+AR104)/$C104*($D104+(AS101-$C103-1)*12+$E104),IF(AS101&gt;ROUNDDOWN(($C103+($D103+$C104)/12),0),0,0)))))))</f>
        <v/>
      </c>
      <c r="AT103" s="136" t="str">
        <f t="shared" ref="AT103" ca="1" si="135">IF(AT101="","",IF(AT101&lt;$C103,0,IF(AT101=$C103,AT102/$C104*$E104+AS104/$C104*$E104,IF(AND(AT101&gt;$C103,AT101&lt;ROUNDDOWN(($C103+($D103+$C104-1)/12),0)),(AT102/2+AS104)/($C104-$E104-12*(AT101-$C103-1))*12,IF(AND($D104&lt;0,AT101=ROUNDDOWN(($C103+($D103+$C104-1)/12),0)),AS104,IF(AT101=ROUNDDOWN(($C103+($D103+$C104-1)/12),0),(AT102+AS104)/$C104*($D104+(AT101-$C103-1)*12+$E104),IF(AT101&gt;ROUNDDOWN(($C103+($D103+$C104)/12),0),0,0)))))))</f>
        <v/>
      </c>
      <c r="AU103" s="136" t="str">
        <f t="shared" ref="AU103" ca="1" si="136">IF(AU101="","",IF(AU101&lt;$C103,0,IF(AU101=$C103,AU102/$C104*$E104+AT104/$C104*$E104,IF(AND(AU101&gt;$C103,AU101&lt;ROUNDDOWN(($C103+($D103+$C104-1)/12),0)),(AU102/2+AT104)/($C104-$E104-12*(AU101-$C103-1))*12,IF(AND($D104&lt;0,AU101=ROUNDDOWN(($C103+($D103+$C104-1)/12),0)),AT104,IF(AU101=ROUNDDOWN(($C103+($D103+$C104-1)/12),0),(AU102+AT104)/$C104*($D104+(AU101-$C103-1)*12+$E104),IF(AU101&gt;ROUNDDOWN(($C103+($D103+$C104)/12),0),0,0)))))))</f>
        <v/>
      </c>
      <c r="AV103" s="136" t="str">
        <f t="shared" ref="AV103" ca="1" si="137">IF(AV101="","",IF(AV101&lt;$C103,0,IF(AV101=$C103,AV102/$C104*$E104+AU104/$C104*$E104,IF(AND(AV101&gt;$C103,AV101&lt;ROUNDDOWN(($C103+($D103+$C104-1)/12),0)),(AV102/2+AU104)/($C104-$E104-12*(AV101-$C103-1))*12,IF(AND($D104&lt;0,AV101=ROUNDDOWN(($C103+($D103+$C104-1)/12),0)),AU104,IF(AV101=ROUNDDOWN(($C103+($D103+$C104-1)/12),0),(AV102+AU104)/$C104*($D104+(AV101-$C103-1)*12+$E104),IF(AV101&gt;ROUNDDOWN(($C103+($D103+$C104)/12),0),0,0)))))))</f>
        <v/>
      </c>
      <c r="AW103" s="136" t="str">
        <f t="shared" ref="AW103" ca="1" si="138">IF(AW101="","",IF(AW101&lt;$C103,0,IF(AW101=$C103,AW102/$C104*$E104+AV104/$C104*$E104,IF(AND(AW101&gt;$C103,AW101&lt;ROUNDDOWN(($C103+($D103+$C104-1)/12),0)),(AW102/2+AV104)/($C104-$E104-12*(AW101-$C103-1))*12,IF(AND($D104&lt;0,AW101=ROUNDDOWN(($C103+($D103+$C104-1)/12),0)),AV104,IF(AW101=ROUNDDOWN(($C103+($D103+$C104-1)/12),0),(AW102+AV104)/$C104*($D104+(AW101-$C103-1)*12+$E104),IF(AW101&gt;ROUNDDOWN(($C103+($D103+$C104)/12),0),0,0)))))))</f>
        <v/>
      </c>
      <c r="AX103" s="112"/>
      <c r="AY103" s="112"/>
      <c r="AZ103" s="109"/>
    </row>
    <row r="104" spans="3:52" ht="12.75" customHeight="1" x14ac:dyDescent="0.2">
      <c r="C104" s="150">
        <f>ROUNDUP((E103-ROUNDDOWN(E103,0))*12,0)+ROUNDDOWN(E103,0)*12</f>
        <v>0</v>
      </c>
      <c r="D104" s="150">
        <f>C104-E104-ROUNDDOWN(E103,0)*12</f>
        <v>-12</v>
      </c>
      <c r="E104" s="150">
        <f>13-MONTH(C102)</f>
        <v>12</v>
      </c>
      <c r="N104" s="107"/>
      <c r="O104" s="112"/>
      <c r="P104" s="112"/>
      <c r="Q104" s="137" t="str">
        <f>INDEX(g_lang_val,MATCH("tb_2_4_3",g_lang_key,0))</f>
        <v>FF4-gæld, ultimo året</v>
      </c>
      <c r="R104" s="138"/>
      <c r="S104" s="141"/>
      <c r="T104" s="136">
        <f t="shared" ref="T104" ca="1" si="139">IF(T101="","",S104+T102-T103)</f>
        <v>0</v>
      </c>
      <c r="U104" s="136">
        <f t="shared" ref="U104" ca="1" si="140">IF(U101="","",T104+U102-U103)</f>
        <v>0</v>
      </c>
      <c r="V104" s="136">
        <f t="shared" ref="V104" ca="1" si="141">IF(V101="","",U104+V102-V103)</f>
        <v>0</v>
      </c>
      <c r="W104" s="136">
        <f t="shared" ref="W104" ca="1" si="142">IF(W101="","",V104+W102-W103)</f>
        <v>0</v>
      </c>
      <c r="X104" s="136">
        <f t="shared" ref="X104" ca="1" si="143">IF(X101="","",W104+X102-X103)</f>
        <v>0</v>
      </c>
      <c r="Y104" s="136" t="str">
        <f t="shared" ref="Y104" ca="1" si="144">IF(Y101="","",X104+Y102-Y103)</f>
        <v/>
      </c>
      <c r="Z104" s="136" t="str">
        <f t="shared" ref="Z104" ca="1" si="145">IF(Z101="","",Y104+Z102-Z103)</f>
        <v/>
      </c>
      <c r="AA104" s="136" t="str">
        <f t="shared" ref="AA104" ca="1" si="146">IF(AA101="","",Z104+AA102-AA103)</f>
        <v/>
      </c>
      <c r="AB104" s="136" t="str">
        <f t="shared" ref="AB104" ca="1" si="147">IF(AB101="","",AA104+AB102-AB103)</f>
        <v/>
      </c>
      <c r="AC104" s="136" t="str">
        <f t="shared" ref="AC104" ca="1" si="148">IF(AC101="","",AB104+AC102-AC103)</f>
        <v/>
      </c>
      <c r="AD104" s="136" t="str">
        <f t="shared" ref="AD104" ca="1" si="149">IF(AD101="","",AC104+AD102-AD103)</f>
        <v/>
      </c>
      <c r="AE104" s="136" t="str">
        <f t="shared" ref="AE104" ca="1" si="150">IF(AE101="","",AD104+AE102-AE103)</f>
        <v/>
      </c>
      <c r="AF104" s="136" t="str">
        <f t="shared" ref="AF104" ca="1" si="151">IF(AF101="","",AE104+AF102-AF103)</f>
        <v/>
      </c>
      <c r="AG104" s="136" t="str">
        <f t="shared" ref="AG104" ca="1" si="152">IF(AG101="","",AF104+AG102-AG103)</f>
        <v/>
      </c>
      <c r="AH104" s="136" t="str">
        <f t="shared" ref="AH104" ca="1" si="153">IF(AH101="","",AG104+AH102-AH103)</f>
        <v/>
      </c>
      <c r="AI104" s="136" t="str">
        <f t="shared" ref="AI104" ca="1" si="154">IF(AI101="","",AH104+AI102-AI103)</f>
        <v/>
      </c>
      <c r="AJ104" s="136" t="str">
        <f t="shared" ref="AJ104" ca="1" si="155">IF(AJ101="","",AI104+AJ102-AJ103)</f>
        <v/>
      </c>
      <c r="AK104" s="136" t="str">
        <f t="shared" ref="AK104" ca="1" si="156">IF(AK101="","",AJ104+AK102-AK103)</f>
        <v/>
      </c>
      <c r="AL104" s="136" t="str">
        <f t="shared" ref="AL104" ca="1" si="157">IF(AL101="","",AK104+AL102-AL103)</f>
        <v/>
      </c>
      <c r="AM104" s="136" t="str">
        <f t="shared" ref="AM104" ca="1" si="158">IF(AM101="","",AL104+AM102-AM103)</f>
        <v/>
      </c>
      <c r="AN104" s="136" t="str">
        <f t="shared" ref="AN104" ca="1" si="159">IF(AN101="","",AM104+AN102-AN103)</f>
        <v/>
      </c>
      <c r="AO104" s="136" t="str">
        <f t="shared" ref="AO104" ca="1" si="160">IF(AO101="","",AN104+AO102-AO103)</f>
        <v/>
      </c>
      <c r="AP104" s="136" t="str">
        <f t="shared" ref="AP104" ca="1" si="161">IF(AP101="","",AO104+AP102-AP103)</f>
        <v/>
      </c>
      <c r="AQ104" s="136" t="str">
        <f t="shared" ref="AQ104" ca="1" si="162">IF(AQ101="","",AP104+AQ102-AQ103)</f>
        <v/>
      </c>
      <c r="AR104" s="136" t="str">
        <f t="shared" ref="AR104" ca="1" si="163">IF(AR101="","",AQ104+AR102-AR103)</f>
        <v/>
      </c>
      <c r="AS104" s="136" t="str">
        <f t="shared" ref="AS104" ca="1" si="164">IF(AS101="","",AR104+AS102-AS103)</f>
        <v/>
      </c>
      <c r="AT104" s="136" t="str">
        <f t="shared" ref="AT104" ca="1" si="165">IF(AT101="","",AS104+AT102-AT103)</f>
        <v/>
      </c>
      <c r="AU104" s="136" t="str">
        <f t="shared" ref="AU104" ca="1" si="166">IF(AU101="","",AT104+AU102-AU103)</f>
        <v/>
      </c>
      <c r="AV104" s="136" t="str">
        <f t="shared" ref="AV104" ca="1" si="167">IF(AV101="","",AU104+AV102-AV103)</f>
        <v/>
      </c>
      <c r="AW104" s="136" t="str">
        <f t="shared" ref="AW104" ca="1" si="168">IF(AW101="","",AV104+AW102-AW103)</f>
        <v/>
      </c>
      <c r="AX104" s="112"/>
      <c r="AY104" s="112"/>
      <c r="AZ104" s="109"/>
    </row>
    <row r="105" spans="3:52" ht="12.75" customHeight="1" x14ac:dyDescent="0.2">
      <c r="N105" s="107"/>
      <c r="O105" s="112"/>
      <c r="P105" s="112"/>
      <c r="Q105" s="137" t="str">
        <f>INDEX(g_lang_val,MATCH("tb_2_4_4",g_lang_key,0))</f>
        <v>Renter (FF4)</v>
      </c>
      <c r="R105" s="138"/>
      <c r="S105" s="141">
        <f ca="1">SUM(T105:BG105)</f>
        <v>0</v>
      </c>
      <c r="T105" s="136">
        <f t="shared" ref="T105" ca="1" si="169">IF(T101="","",g_interest_FF4*(S104+(T102/2)-(T103/2)))</f>
        <v>0</v>
      </c>
      <c r="U105" s="136">
        <f t="shared" ref="U105" ca="1" si="170">IF(U101="","",g_interest_FF4*(T104+(U102/2)-(U103/2)))</f>
        <v>0</v>
      </c>
      <c r="V105" s="136">
        <f t="shared" ref="V105" ca="1" si="171">IF(V101="","",g_interest_FF4*(U104+(V102/2)-(V103/2)))</f>
        <v>0</v>
      </c>
      <c r="W105" s="136">
        <f t="shared" ref="W105" ca="1" si="172">IF(W101="","",g_interest_FF4*(V104+(W102/2)-(W103/2)))</f>
        <v>0</v>
      </c>
      <c r="X105" s="136">
        <f t="shared" ref="X105" ca="1" si="173">IF(X101="","",g_interest_FF4*(W104+(X102/2)-(X103/2)))</f>
        <v>0</v>
      </c>
      <c r="Y105" s="136" t="str">
        <f t="shared" ref="Y105" ca="1" si="174">IF(Y101="","",g_interest_FF4*(X104+(Y102/2)-(Y103/2)))</f>
        <v/>
      </c>
      <c r="Z105" s="136" t="str">
        <f t="shared" ref="Z105" ca="1" si="175">IF(Z101="","",g_interest_FF4*(Y104+(Z102/2)-(Z103/2)))</f>
        <v/>
      </c>
      <c r="AA105" s="136" t="str">
        <f t="shared" ref="AA105" ca="1" si="176">IF(AA101="","",g_interest_FF4*(Z104+(AA102/2)-(AA103/2)))</f>
        <v/>
      </c>
      <c r="AB105" s="136" t="str">
        <f t="shared" ref="AB105" ca="1" si="177">IF(AB101="","",g_interest_FF4*(AA104+(AB102/2)-(AB103/2)))</f>
        <v/>
      </c>
      <c r="AC105" s="136" t="str">
        <f t="shared" ref="AC105" ca="1" si="178">IF(AC101="","",g_interest_FF4*(AB104+(AC102/2)-(AC103/2)))</f>
        <v/>
      </c>
      <c r="AD105" s="136" t="str">
        <f t="shared" ref="AD105" ca="1" si="179">IF(AD101="","",g_interest_FF4*(AC104+(AD102/2)-(AD103/2)))</f>
        <v/>
      </c>
      <c r="AE105" s="136" t="str">
        <f t="shared" ref="AE105" ca="1" si="180">IF(AE101="","",g_interest_FF4*(AD104+(AE102/2)-(AE103/2)))</f>
        <v/>
      </c>
      <c r="AF105" s="136" t="str">
        <f t="shared" ref="AF105" ca="1" si="181">IF(AF101="","",g_interest_FF4*(AE104+(AF102/2)-(AF103/2)))</f>
        <v/>
      </c>
      <c r="AG105" s="136" t="str">
        <f t="shared" ref="AG105" ca="1" si="182">IF(AG101="","",g_interest_FF4*(AF104+(AG102/2)-(AG103/2)))</f>
        <v/>
      </c>
      <c r="AH105" s="136" t="str">
        <f t="shared" ref="AH105" ca="1" si="183">IF(AH101="","",g_interest_FF4*(AG104+(AH102/2)-(AH103/2)))</f>
        <v/>
      </c>
      <c r="AI105" s="136" t="str">
        <f t="shared" ref="AI105" ca="1" si="184">IF(AI101="","",g_interest_FF4*(AH104+(AI102/2)-(AI103/2)))</f>
        <v/>
      </c>
      <c r="AJ105" s="136" t="str">
        <f t="shared" ref="AJ105" ca="1" si="185">IF(AJ101="","",g_interest_FF4*(AI104+(AJ102/2)-(AJ103/2)))</f>
        <v/>
      </c>
      <c r="AK105" s="136" t="str">
        <f t="shared" ref="AK105" ca="1" si="186">IF(AK101="","",g_interest_FF4*(AJ104+(AK102/2)-(AK103/2)))</f>
        <v/>
      </c>
      <c r="AL105" s="136" t="str">
        <f t="shared" ref="AL105" ca="1" si="187">IF(AL101="","",g_interest_FF4*(AK104+(AL102/2)-(AL103/2)))</f>
        <v/>
      </c>
      <c r="AM105" s="136" t="str">
        <f t="shared" ref="AM105" ca="1" si="188">IF(AM101="","",g_interest_FF4*(AL104+(AM102/2)-(AM103/2)))</f>
        <v/>
      </c>
      <c r="AN105" s="136" t="str">
        <f t="shared" ref="AN105" ca="1" si="189">IF(AN101="","",g_interest_FF4*(AM104+(AN102/2)-(AN103/2)))</f>
        <v/>
      </c>
      <c r="AO105" s="136" t="str">
        <f t="shared" ref="AO105" ca="1" si="190">IF(AO101="","",g_interest_FF4*(AN104+(AO102/2)-(AO103/2)))</f>
        <v/>
      </c>
      <c r="AP105" s="136" t="str">
        <f t="shared" ref="AP105" ca="1" si="191">IF(AP101="","",g_interest_FF4*(AO104+(AP102/2)-(AP103/2)))</f>
        <v/>
      </c>
      <c r="AQ105" s="136" t="str">
        <f t="shared" ref="AQ105" ca="1" si="192">IF(AQ101="","",g_interest_FF4*(AP104+(AQ102/2)-(AQ103/2)))</f>
        <v/>
      </c>
      <c r="AR105" s="136" t="str">
        <f t="shared" ref="AR105" ca="1" si="193">IF(AR101="","",g_interest_FF4*(AQ104+(AR102/2)-(AR103/2)))</f>
        <v/>
      </c>
      <c r="AS105" s="136" t="str">
        <f t="shared" ref="AS105" ca="1" si="194">IF(AS101="","",g_interest_FF4*(AR104+(AS102/2)-(AS103/2)))</f>
        <v/>
      </c>
      <c r="AT105" s="136" t="str">
        <f t="shared" ref="AT105" ca="1" si="195">IF(AT101="","",g_interest_FF4*(AS104+(AT102/2)-(AT103/2)))</f>
        <v/>
      </c>
      <c r="AU105" s="136" t="str">
        <f t="shared" ref="AU105" ca="1" si="196">IF(AU101="","",g_interest_FF4*(AT104+(AU102/2)-(AU103/2)))</f>
        <v/>
      </c>
      <c r="AV105" s="136" t="str">
        <f t="shared" ref="AV105" ca="1" si="197">IF(AV101="","",g_interest_FF4*(AU104+(AV102/2)-(AV103/2)))</f>
        <v/>
      </c>
      <c r="AW105" s="136" t="str">
        <f t="shared" ref="AW105" ca="1" si="198">IF(AW101="","",g_interest_FF4*(AV104+(AW102/2)-(AW103/2)))</f>
        <v/>
      </c>
      <c r="AX105" s="112"/>
      <c r="AY105" s="112"/>
      <c r="AZ105" s="109"/>
    </row>
    <row r="106" spans="3:52" ht="12.75" customHeight="1" x14ac:dyDescent="0.2">
      <c r="N106" s="107"/>
      <c r="O106" s="112"/>
      <c r="P106" s="112"/>
      <c r="Q106" s="140" t="str">
        <f>INDEX(g_assets_sc_1,5)</f>
        <v/>
      </c>
      <c r="R106" s="140"/>
      <c r="S106" s="135"/>
      <c r="T106" s="147">
        <f ca="1">T$95</f>
        <v>2024</v>
      </c>
      <c r="U106" s="147">
        <f t="shared" ref="U106:AW106" ca="1" si="199">U$95</f>
        <v>2025</v>
      </c>
      <c r="V106" s="147">
        <f t="shared" ca="1" si="199"/>
        <v>2026</v>
      </c>
      <c r="W106" s="147">
        <f t="shared" ca="1" si="199"/>
        <v>2027</v>
      </c>
      <c r="X106" s="147">
        <f t="shared" ca="1" si="199"/>
        <v>2028</v>
      </c>
      <c r="Y106" s="147" t="str">
        <f t="shared" ca="1" si="199"/>
        <v/>
      </c>
      <c r="Z106" s="147" t="str">
        <f t="shared" ca="1" si="199"/>
        <v/>
      </c>
      <c r="AA106" s="147" t="str">
        <f t="shared" ca="1" si="199"/>
        <v/>
      </c>
      <c r="AB106" s="147" t="str">
        <f t="shared" ca="1" si="199"/>
        <v/>
      </c>
      <c r="AC106" s="147" t="str">
        <f t="shared" ca="1" si="199"/>
        <v/>
      </c>
      <c r="AD106" s="147" t="str">
        <f t="shared" ca="1" si="199"/>
        <v/>
      </c>
      <c r="AE106" s="147" t="str">
        <f t="shared" ca="1" si="199"/>
        <v/>
      </c>
      <c r="AF106" s="147" t="str">
        <f t="shared" ca="1" si="199"/>
        <v/>
      </c>
      <c r="AG106" s="147" t="str">
        <f t="shared" ca="1" si="199"/>
        <v/>
      </c>
      <c r="AH106" s="147" t="str">
        <f t="shared" ca="1" si="199"/>
        <v/>
      </c>
      <c r="AI106" s="147" t="str">
        <f t="shared" ca="1" si="199"/>
        <v/>
      </c>
      <c r="AJ106" s="147" t="str">
        <f t="shared" ca="1" si="199"/>
        <v/>
      </c>
      <c r="AK106" s="147" t="str">
        <f t="shared" ca="1" si="199"/>
        <v/>
      </c>
      <c r="AL106" s="147" t="str">
        <f t="shared" ca="1" si="199"/>
        <v/>
      </c>
      <c r="AM106" s="147" t="str">
        <f t="shared" ca="1" si="199"/>
        <v/>
      </c>
      <c r="AN106" s="147" t="str">
        <f t="shared" ca="1" si="199"/>
        <v/>
      </c>
      <c r="AO106" s="147" t="str">
        <f t="shared" ca="1" si="199"/>
        <v/>
      </c>
      <c r="AP106" s="147" t="str">
        <f t="shared" ca="1" si="199"/>
        <v/>
      </c>
      <c r="AQ106" s="147" t="str">
        <f t="shared" ca="1" si="199"/>
        <v/>
      </c>
      <c r="AR106" s="147" t="str">
        <f t="shared" ca="1" si="199"/>
        <v/>
      </c>
      <c r="AS106" s="147" t="str">
        <f t="shared" ca="1" si="199"/>
        <v/>
      </c>
      <c r="AT106" s="147" t="str">
        <f t="shared" ca="1" si="199"/>
        <v/>
      </c>
      <c r="AU106" s="147" t="str">
        <f t="shared" ca="1" si="199"/>
        <v/>
      </c>
      <c r="AV106" s="147" t="str">
        <f t="shared" ca="1" si="199"/>
        <v/>
      </c>
      <c r="AW106" s="147" t="str">
        <f t="shared" ca="1" si="199"/>
        <v/>
      </c>
      <c r="AX106" s="112"/>
      <c r="AY106" s="112"/>
      <c r="AZ106" s="109"/>
    </row>
    <row r="107" spans="3:52" ht="12.75" customHeight="1" x14ac:dyDescent="0.2">
      <c r="C107" s="148">
        <f>INDEX(g_sc_1_assets_dates,G107)</f>
        <v>0</v>
      </c>
      <c r="G107" s="149">
        <v>3</v>
      </c>
      <c r="N107" s="107"/>
      <c r="O107" s="112"/>
      <c r="P107" s="112"/>
      <c r="Q107" s="137" t="str">
        <f>INDEX(g_lang_val,MATCH("tb_2_4_1",g_lang_key,0))</f>
        <v>Køb af anlægsaktiver</v>
      </c>
      <c r="R107" s="138"/>
      <c r="S107" s="141">
        <f ca="1">SUM(T107:BG107)</f>
        <v>0</v>
      </c>
      <c r="T107" s="136">
        <f ca="1">IF(T106="","",SUMPRODUCT(--(Leverancer!$F$28:$F$48=($G107+2)),Leverancer!G$28:G$48)/1000)</f>
        <v>0</v>
      </c>
      <c r="U107" s="136">
        <f ca="1">IF(U106="","",SUMPRODUCT(--(Leverancer!$F$28:$F$48=($G107+2)),Leverancer!H$28:H$48)/1000)</f>
        <v>0</v>
      </c>
      <c r="V107" s="136">
        <f ca="1">IF(V106="","",SUMPRODUCT(--(Leverancer!$F$28:$F$48=($G107+2)),Leverancer!I$28:I$48)/1000)</f>
        <v>0</v>
      </c>
      <c r="W107" s="136">
        <f ca="1">IF(W106="","",SUMPRODUCT(--(Leverancer!$F$28:$F$48=($G107+2)),Leverancer!J$28:J$48)/1000)</f>
        <v>0</v>
      </c>
      <c r="X107" s="136">
        <f ca="1">IF(X106="","",SUMPRODUCT(--(Leverancer!$F$28:$F$48=($G107+2)),Leverancer!K$28:K$48)/1000)</f>
        <v>0</v>
      </c>
      <c r="Y107" s="136" t="str">
        <f ca="1">IF(Y106="","",SUMPRODUCT(--(Leverancer!$F$28:$F$48=($G107+2)),Leverancer!L$28:L$48)/1000)</f>
        <v/>
      </c>
      <c r="Z107" s="136" t="str">
        <f ca="1">IF(Z106="","",SUMPRODUCT(--(Leverancer!$F$28:$F$48=($G107+2)),Leverancer!M$28:M$48)/1000)</f>
        <v/>
      </c>
      <c r="AA107" s="136" t="str">
        <f ca="1">IF(AA106="","",SUMPRODUCT(--(Leverancer!$F$28:$F$48=($G107+2)),Leverancer!N$28:N$48)/1000)</f>
        <v/>
      </c>
      <c r="AB107" s="136" t="str">
        <f ca="1">IF(AB106="","",SUMPRODUCT(--(Leverancer!$F$28:$F$48=($G107+2)),Leverancer!O$28:O$48)/1000)</f>
        <v/>
      </c>
      <c r="AC107" s="136" t="str">
        <f ca="1">IF(AC106="","",SUMPRODUCT(--(Leverancer!$F$28:$F$48=($G107+2)),Leverancer!P$28:P$48)/1000)</f>
        <v/>
      </c>
      <c r="AD107" s="136" t="str">
        <f ca="1">IF(AD106="","",SUMPRODUCT(--(Leverancer!$F$28:$F$48=($G107+2)),Leverancer!Q$28:Q$48)/1000)</f>
        <v/>
      </c>
      <c r="AE107" s="136" t="str">
        <f ca="1">IF(AE106="","",SUMPRODUCT(--(Leverancer!$F$28:$F$48=($G107+2)),Leverancer!R$28:R$48)/1000)</f>
        <v/>
      </c>
      <c r="AF107" s="136" t="str">
        <f ca="1">IF(AF106="","",SUMPRODUCT(--(Leverancer!$F$28:$F$48=($G107+2)),Leverancer!S$28:S$48)/1000)</f>
        <v/>
      </c>
      <c r="AG107" s="136" t="str">
        <f ca="1">IF(AG106="","",SUMPRODUCT(--(Leverancer!$F$28:$F$48=($G107+2)),Leverancer!T$28:T$48)/1000)</f>
        <v/>
      </c>
      <c r="AH107" s="136" t="str">
        <f ca="1">IF(AH106="","",SUMPRODUCT(--(Leverancer!$F$28:$F$48=($G107+2)),Leverancer!U$28:U$48)/1000)</f>
        <v/>
      </c>
      <c r="AI107" s="136" t="str">
        <f ca="1">IF(AI106="","",SUMPRODUCT(--(Leverancer!$F$28:$F$48=($G107+2)),Leverancer!V$28:V$48)/1000)</f>
        <v/>
      </c>
      <c r="AJ107" s="136" t="str">
        <f ca="1">IF(AJ106="","",SUMPRODUCT(--(Leverancer!$F$28:$F$48=($G107+2)),Leverancer!W$28:W$48)/1000)</f>
        <v/>
      </c>
      <c r="AK107" s="136" t="str">
        <f ca="1">IF(AK106="","",SUMPRODUCT(--(Leverancer!$F$28:$F$48=($G107+2)),Leverancer!X$28:X$48)/1000)</f>
        <v/>
      </c>
      <c r="AL107" s="136" t="str">
        <f ca="1">IF(AL106="","",SUMPRODUCT(--(Leverancer!$F$28:$F$48=($G107+2)),Leverancer!Y$28:Y$48)/1000)</f>
        <v/>
      </c>
      <c r="AM107" s="136" t="str">
        <f ca="1">IF(AM106="","",SUMPRODUCT(--(Leverancer!$F$28:$F$48=($G107+2)),Leverancer!Z$28:Z$48)/1000)</f>
        <v/>
      </c>
      <c r="AN107" s="136" t="str">
        <f ca="1">IF(AN106="","",SUMPRODUCT(--(Leverancer!$F$28:$F$48=($G107+2)),Leverancer!AA$28:AA$48)/1000)</f>
        <v/>
      </c>
      <c r="AO107" s="136" t="str">
        <f ca="1">IF(AO106="","",SUMPRODUCT(--(Leverancer!$F$28:$F$48=($G107+2)),Leverancer!AB$28:AB$48)/1000)</f>
        <v/>
      </c>
      <c r="AP107" s="136" t="str">
        <f ca="1">IF(AP106="","",SUMPRODUCT(--(Leverancer!$F$28:$F$48=($G107+2)),Leverancer!AC$28:AC$48)/1000)</f>
        <v/>
      </c>
      <c r="AQ107" s="136" t="str">
        <f ca="1">IF(AQ106="","",SUMPRODUCT(--(Leverancer!$F$28:$F$48=($G107+2)),Leverancer!AD$28:AD$48)/1000)</f>
        <v/>
      </c>
      <c r="AR107" s="136" t="str">
        <f ca="1">IF(AR106="","",SUMPRODUCT(--(Leverancer!$F$28:$F$48=($G107+2)),Leverancer!AE$28:AE$48)/1000)</f>
        <v/>
      </c>
      <c r="AS107" s="136" t="str">
        <f ca="1">IF(AS106="","",SUMPRODUCT(--(Leverancer!$F$28:$F$48=($G107+2)),Leverancer!AF$28:AF$48)/1000)</f>
        <v/>
      </c>
      <c r="AT107" s="136" t="str">
        <f ca="1">IF(AT106="","",SUMPRODUCT(--(Leverancer!$F$28:$F$48=($G107+2)),Leverancer!AG$28:AG$48)/1000)</f>
        <v/>
      </c>
      <c r="AU107" s="136" t="str">
        <f ca="1">IF(AU106="","",SUMPRODUCT(--(Leverancer!$F$28:$F$48=($G107+2)),Leverancer!AH$28:AH$48)/1000)</f>
        <v/>
      </c>
      <c r="AV107" s="136" t="str">
        <f ca="1">IF(AV106="","",SUMPRODUCT(--(Leverancer!$F$28:$F$48=($G107+2)),Leverancer!AI$28:AI$48)/1000)</f>
        <v/>
      </c>
      <c r="AW107" s="136" t="str">
        <f ca="1">IF(AW106="","",SUMPRODUCT(--(Leverancer!$F$28:$F$48=($G107+2)),Leverancer!AJ$28:AJ$48)/1000)</f>
        <v/>
      </c>
      <c r="AX107" s="136" t="str">
        <f>IF(AX106="","",SUMPRODUCT(--(Leverancer!$F$28:$F$48=($G107+2)),Leverancer!BE$28:BE$48,Leverancer!$AU$28:$AU$48)/1000)</f>
        <v/>
      </c>
      <c r="AY107" s="112"/>
      <c r="AZ107" s="109"/>
    </row>
    <row r="108" spans="3:52" ht="12.75" customHeight="1" x14ac:dyDescent="0.2">
      <c r="C108" s="150">
        <f>IFERROR(YEAR(C107),"")</f>
        <v>1900</v>
      </c>
      <c r="D108" s="150">
        <f>IFERROR(MONTH(C107),"")</f>
        <v>1</v>
      </c>
      <c r="E108" s="150">
        <f>INDEX(g_sc_1_assets_years,G107)</f>
        <v>0</v>
      </c>
      <c r="N108" s="107"/>
      <c r="O108" s="112"/>
      <c r="P108" s="112"/>
      <c r="Q108" s="137" t="str">
        <f>INDEX(g_lang_val,MATCH("tb_2_4_2",g_lang_key,0))</f>
        <v>Afskrivninger</v>
      </c>
      <c r="R108" s="138"/>
      <c r="S108" s="141">
        <f ca="1">SUM(T108:BG108)</f>
        <v>0</v>
      </c>
      <c r="T108" s="136">
        <f t="shared" ref="T108" ca="1" si="200">IF(T106="","",IF(T106&lt;$C108,0,IF(T106=$C108,T107/$C109*$E109+S109/$C109*$E109,IF(AND(T106&gt;$C108,T106&lt;ROUNDDOWN(($C108+($D108+$C109-1)/12),0)),(T107/2+S109)/($C109-$E109-12*(T106-$C108-1))*12,IF(AND($D109&lt;0,T106=ROUNDDOWN(($C108+($D108+$C109-1)/12),0)),S109,IF(T106=ROUNDDOWN(($C108+($D108+$C109-1)/12),0),(T107+S109)/$C109*($D109+(T106-$C108-1)*12+$E109),IF(T106&gt;ROUNDDOWN(($C108+($D108+$C109)/12),0),0,0)))))))</f>
        <v>0</v>
      </c>
      <c r="U108" s="136">
        <f t="shared" ref="U108" ca="1" si="201">IF(U106="","",IF(U106&lt;$C108,0,IF(U106=$C108,U107/$C109*$E109+T109/$C109*$E109,IF(AND(U106&gt;$C108,U106&lt;ROUNDDOWN(($C108+($D108+$C109-1)/12),0)),(U107/2+T109)/($C109-$E109-12*(U106-$C108-1))*12,IF(AND($D109&lt;0,U106=ROUNDDOWN(($C108+($D108+$C109-1)/12),0)),T109,IF(U106=ROUNDDOWN(($C108+($D108+$C109-1)/12),0),(U107+T109)/$C109*($D109+(U106-$C108-1)*12+$E109),IF(U106&gt;ROUNDDOWN(($C108+($D108+$C109)/12),0),0,0)))))))</f>
        <v>0</v>
      </c>
      <c r="V108" s="136">
        <f t="shared" ref="V108" ca="1" si="202">IF(V106="","",IF(V106&lt;$C108,0,IF(V106=$C108,V107/$C109*$E109+U109/$C109*$E109,IF(AND(V106&gt;$C108,V106&lt;ROUNDDOWN(($C108+($D108+$C109-1)/12),0)),(V107/2+U109)/($C109-$E109-12*(V106-$C108-1))*12,IF(AND($D109&lt;0,V106=ROUNDDOWN(($C108+($D108+$C109-1)/12),0)),U109,IF(V106=ROUNDDOWN(($C108+($D108+$C109-1)/12),0),(V107+U109)/$C109*($D109+(V106-$C108-1)*12+$E109),IF(V106&gt;ROUNDDOWN(($C108+($D108+$C109)/12),0),0,0)))))))</f>
        <v>0</v>
      </c>
      <c r="W108" s="136">
        <f t="shared" ref="W108" ca="1" si="203">IF(W106="","",IF(W106&lt;$C108,0,IF(W106=$C108,W107/$C109*$E109+V109/$C109*$E109,IF(AND(W106&gt;$C108,W106&lt;ROUNDDOWN(($C108+($D108+$C109-1)/12),0)),(W107/2+V109)/($C109-$E109-12*(W106-$C108-1))*12,IF(AND($D109&lt;0,W106=ROUNDDOWN(($C108+($D108+$C109-1)/12),0)),V109,IF(W106=ROUNDDOWN(($C108+($D108+$C109-1)/12),0),(W107+V109)/$C109*($D109+(W106-$C108-1)*12+$E109),IF(W106&gt;ROUNDDOWN(($C108+($D108+$C109)/12),0),0,0)))))))</f>
        <v>0</v>
      </c>
      <c r="X108" s="136">
        <f t="shared" ref="X108" ca="1" si="204">IF(X106="","",IF(X106&lt;$C108,0,IF(X106=$C108,X107/$C109*$E109+W109/$C109*$E109,IF(AND(X106&gt;$C108,X106&lt;ROUNDDOWN(($C108+($D108+$C109-1)/12),0)),(X107/2+W109)/($C109-$E109-12*(X106-$C108-1))*12,IF(AND($D109&lt;0,X106=ROUNDDOWN(($C108+($D108+$C109-1)/12),0)),W109,IF(X106=ROUNDDOWN(($C108+($D108+$C109-1)/12),0),(X107+W109)/$C109*($D109+(X106-$C108-1)*12+$E109),IF(X106&gt;ROUNDDOWN(($C108+($D108+$C109)/12),0),0,0)))))))</f>
        <v>0</v>
      </c>
      <c r="Y108" s="136" t="str">
        <f t="shared" ref="Y108" ca="1" si="205">IF(Y106="","",IF(Y106&lt;$C108,0,IF(Y106=$C108,Y107/$C109*$E109+X109/$C109*$E109,IF(AND(Y106&gt;$C108,Y106&lt;ROUNDDOWN(($C108+($D108+$C109-1)/12),0)),(Y107/2+X109)/($C109-$E109-12*(Y106-$C108-1))*12,IF(AND($D109&lt;0,Y106=ROUNDDOWN(($C108+($D108+$C109-1)/12),0)),X109,IF(Y106=ROUNDDOWN(($C108+($D108+$C109-1)/12),0),(Y107+X109)/$C109*($D109+(Y106-$C108-1)*12+$E109),IF(Y106&gt;ROUNDDOWN(($C108+($D108+$C109)/12),0),0,0)))))))</f>
        <v/>
      </c>
      <c r="Z108" s="136" t="str">
        <f t="shared" ref="Z108" ca="1" si="206">IF(Z106="","",IF(Z106&lt;$C108,0,IF(Z106=$C108,Z107/$C109*$E109+Y109/$C109*$E109,IF(AND(Z106&gt;$C108,Z106&lt;ROUNDDOWN(($C108+($D108+$C109-1)/12),0)),(Z107/2+Y109)/($C109-$E109-12*(Z106-$C108-1))*12,IF(AND($D109&lt;0,Z106=ROUNDDOWN(($C108+($D108+$C109-1)/12),0)),Y109,IF(Z106=ROUNDDOWN(($C108+($D108+$C109-1)/12),0),(Z107+Y109)/$C109*($D109+(Z106-$C108-1)*12+$E109),IF(Z106&gt;ROUNDDOWN(($C108+($D108+$C109)/12),0),0,0)))))))</f>
        <v/>
      </c>
      <c r="AA108" s="136" t="str">
        <f t="shared" ref="AA108" ca="1" si="207">IF(AA106="","",IF(AA106&lt;$C108,0,IF(AA106=$C108,AA107/$C109*$E109+Z109/$C109*$E109,IF(AND(AA106&gt;$C108,AA106&lt;ROUNDDOWN(($C108+($D108+$C109-1)/12),0)),(AA107/2+Z109)/($C109-$E109-12*(AA106-$C108-1))*12,IF(AND($D109&lt;0,AA106=ROUNDDOWN(($C108+($D108+$C109-1)/12),0)),Z109,IF(AA106=ROUNDDOWN(($C108+($D108+$C109-1)/12),0),(AA107+Z109)/$C109*($D109+(AA106-$C108-1)*12+$E109),IF(AA106&gt;ROUNDDOWN(($C108+($D108+$C109)/12),0),0,0)))))))</f>
        <v/>
      </c>
      <c r="AB108" s="136" t="str">
        <f t="shared" ref="AB108" ca="1" si="208">IF(AB106="","",IF(AB106&lt;$C108,0,IF(AB106=$C108,AB107/$C109*$E109+AA109/$C109*$E109,IF(AND(AB106&gt;$C108,AB106&lt;ROUNDDOWN(($C108+($D108+$C109-1)/12),0)),(AB107/2+AA109)/($C109-$E109-12*(AB106-$C108-1))*12,IF(AND($D109&lt;0,AB106=ROUNDDOWN(($C108+($D108+$C109-1)/12),0)),AA109,IF(AB106=ROUNDDOWN(($C108+($D108+$C109-1)/12),0),(AB107+AA109)/$C109*($D109+(AB106-$C108-1)*12+$E109),IF(AB106&gt;ROUNDDOWN(($C108+($D108+$C109)/12),0),0,0)))))))</f>
        <v/>
      </c>
      <c r="AC108" s="136" t="str">
        <f t="shared" ref="AC108" ca="1" si="209">IF(AC106="","",IF(AC106&lt;$C108,0,IF(AC106=$C108,AC107/$C109*$E109+AB109/$C109*$E109,IF(AND(AC106&gt;$C108,AC106&lt;ROUNDDOWN(($C108+($D108+$C109-1)/12),0)),(AC107/2+AB109)/($C109-$E109-12*(AC106-$C108-1))*12,IF(AND($D109&lt;0,AC106=ROUNDDOWN(($C108+($D108+$C109-1)/12),0)),AB109,IF(AC106=ROUNDDOWN(($C108+($D108+$C109-1)/12),0),(AC107+AB109)/$C109*($D109+(AC106-$C108-1)*12+$E109),IF(AC106&gt;ROUNDDOWN(($C108+($D108+$C109)/12),0),0,0)))))))</f>
        <v/>
      </c>
      <c r="AD108" s="136" t="str">
        <f t="shared" ref="AD108" ca="1" si="210">IF(AD106="","",IF(AD106&lt;$C108,0,IF(AD106=$C108,AD107/$C109*$E109+AC109/$C109*$E109,IF(AND(AD106&gt;$C108,AD106&lt;ROUNDDOWN(($C108+($D108+$C109-1)/12),0)),(AD107/2+AC109)/($C109-$E109-12*(AD106-$C108-1))*12,IF(AND($D109&lt;0,AD106=ROUNDDOWN(($C108+($D108+$C109-1)/12),0)),AC109,IF(AD106=ROUNDDOWN(($C108+($D108+$C109-1)/12),0),(AD107+AC109)/$C109*($D109+(AD106-$C108-1)*12+$E109),IF(AD106&gt;ROUNDDOWN(($C108+($D108+$C109)/12),0),0,0)))))))</f>
        <v/>
      </c>
      <c r="AE108" s="136" t="str">
        <f t="shared" ref="AE108" ca="1" si="211">IF(AE106="","",IF(AE106&lt;$C108,0,IF(AE106=$C108,AE107/$C109*$E109+AD109/$C109*$E109,IF(AND(AE106&gt;$C108,AE106&lt;ROUNDDOWN(($C108+($D108+$C109-1)/12),0)),(AE107/2+AD109)/($C109-$E109-12*(AE106-$C108-1))*12,IF(AND($D109&lt;0,AE106=ROUNDDOWN(($C108+($D108+$C109-1)/12),0)),AD109,IF(AE106=ROUNDDOWN(($C108+($D108+$C109-1)/12),0),(AE107+AD109)/$C109*($D109+(AE106-$C108-1)*12+$E109),IF(AE106&gt;ROUNDDOWN(($C108+($D108+$C109)/12),0),0,0)))))))</f>
        <v/>
      </c>
      <c r="AF108" s="136" t="str">
        <f t="shared" ref="AF108" ca="1" si="212">IF(AF106="","",IF(AF106&lt;$C108,0,IF(AF106=$C108,AF107/$C109*$E109+AE109/$C109*$E109,IF(AND(AF106&gt;$C108,AF106&lt;ROUNDDOWN(($C108+($D108+$C109-1)/12),0)),(AF107/2+AE109)/($C109-$E109-12*(AF106-$C108-1))*12,IF(AND($D109&lt;0,AF106=ROUNDDOWN(($C108+($D108+$C109-1)/12),0)),AE109,IF(AF106=ROUNDDOWN(($C108+($D108+$C109-1)/12),0),(AF107+AE109)/$C109*($D109+(AF106-$C108-1)*12+$E109),IF(AF106&gt;ROUNDDOWN(($C108+($D108+$C109)/12),0),0,0)))))))</f>
        <v/>
      </c>
      <c r="AG108" s="136" t="str">
        <f t="shared" ref="AG108" ca="1" si="213">IF(AG106="","",IF(AG106&lt;$C108,0,IF(AG106=$C108,AG107/$C109*$E109+AF109/$C109*$E109,IF(AND(AG106&gt;$C108,AG106&lt;ROUNDDOWN(($C108+($D108+$C109-1)/12),0)),(AG107/2+AF109)/($C109-$E109-12*(AG106-$C108-1))*12,IF(AND($D109&lt;0,AG106=ROUNDDOWN(($C108+($D108+$C109-1)/12),0)),AF109,IF(AG106=ROUNDDOWN(($C108+($D108+$C109-1)/12),0),(AG107+AF109)/$C109*($D109+(AG106-$C108-1)*12+$E109),IF(AG106&gt;ROUNDDOWN(($C108+($D108+$C109)/12),0),0,0)))))))</f>
        <v/>
      </c>
      <c r="AH108" s="136" t="str">
        <f t="shared" ref="AH108" ca="1" si="214">IF(AH106="","",IF(AH106&lt;$C108,0,IF(AH106=$C108,AH107/$C109*$E109+AG109/$C109*$E109,IF(AND(AH106&gt;$C108,AH106&lt;ROUNDDOWN(($C108+($D108+$C109-1)/12),0)),(AH107/2+AG109)/($C109-$E109-12*(AH106-$C108-1))*12,IF(AND($D109&lt;0,AH106=ROUNDDOWN(($C108+($D108+$C109-1)/12),0)),AG109,IF(AH106=ROUNDDOWN(($C108+($D108+$C109-1)/12),0),(AH107+AG109)/$C109*($D109+(AH106-$C108-1)*12+$E109),IF(AH106&gt;ROUNDDOWN(($C108+($D108+$C109)/12),0),0,0)))))))</f>
        <v/>
      </c>
      <c r="AI108" s="136" t="str">
        <f t="shared" ref="AI108" ca="1" si="215">IF(AI106="","",IF(AI106&lt;$C108,0,IF(AI106=$C108,AI107/$C109*$E109+AH109/$C109*$E109,IF(AND(AI106&gt;$C108,AI106&lt;ROUNDDOWN(($C108+($D108+$C109-1)/12),0)),(AI107/2+AH109)/($C109-$E109-12*(AI106-$C108-1))*12,IF(AND($D109&lt;0,AI106=ROUNDDOWN(($C108+($D108+$C109-1)/12),0)),AH109,IF(AI106=ROUNDDOWN(($C108+($D108+$C109-1)/12),0),(AI107+AH109)/$C109*($D109+(AI106-$C108-1)*12+$E109),IF(AI106&gt;ROUNDDOWN(($C108+($D108+$C109)/12),0),0,0)))))))</f>
        <v/>
      </c>
      <c r="AJ108" s="136" t="str">
        <f t="shared" ref="AJ108" ca="1" si="216">IF(AJ106="","",IF(AJ106&lt;$C108,0,IF(AJ106=$C108,AJ107/$C109*$E109+AI109/$C109*$E109,IF(AND(AJ106&gt;$C108,AJ106&lt;ROUNDDOWN(($C108+($D108+$C109-1)/12),0)),(AJ107/2+AI109)/($C109-$E109-12*(AJ106-$C108-1))*12,IF(AND($D109&lt;0,AJ106=ROUNDDOWN(($C108+($D108+$C109-1)/12),0)),AI109,IF(AJ106=ROUNDDOWN(($C108+($D108+$C109-1)/12),0),(AJ107+AI109)/$C109*($D109+(AJ106-$C108-1)*12+$E109),IF(AJ106&gt;ROUNDDOWN(($C108+($D108+$C109)/12),0),0,0)))))))</f>
        <v/>
      </c>
      <c r="AK108" s="136" t="str">
        <f t="shared" ref="AK108" ca="1" si="217">IF(AK106="","",IF(AK106&lt;$C108,0,IF(AK106=$C108,AK107/$C109*$E109+AJ109/$C109*$E109,IF(AND(AK106&gt;$C108,AK106&lt;ROUNDDOWN(($C108+($D108+$C109-1)/12),0)),(AK107/2+AJ109)/($C109-$E109-12*(AK106-$C108-1))*12,IF(AND($D109&lt;0,AK106=ROUNDDOWN(($C108+($D108+$C109-1)/12),0)),AJ109,IF(AK106=ROUNDDOWN(($C108+($D108+$C109-1)/12),0),(AK107+AJ109)/$C109*($D109+(AK106-$C108-1)*12+$E109),IF(AK106&gt;ROUNDDOWN(($C108+($D108+$C109)/12),0),0,0)))))))</f>
        <v/>
      </c>
      <c r="AL108" s="136" t="str">
        <f t="shared" ref="AL108" ca="1" si="218">IF(AL106="","",IF(AL106&lt;$C108,0,IF(AL106=$C108,AL107/$C109*$E109+AK109/$C109*$E109,IF(AND(AL106&gt;$C108,AL106&lt;ROUNDDOWN(($C108+($D108+$C109-1)/12),0)),(AL107/2+AK109)/($C109-$E109-12*(AL106-$C108-1))*12,IF(AND($D109&lt;0,AL106=ROUNDDOWN(($C108+($D108+$C109-1)/12),0)),AK109,IF(AL106=ROUNDDOWN(($C108+($D108+$C109-1)/12),0),(AL107+AK109)/$C109*($D109+(AL106-$C108-1)*12+$E109),IF(AL106&gt;ROUNDDOWN(($C108+($D108+$C109)/12),0),0,0)))))))</f>
        <v/>
      </c>
      <c r="AM108" s="136" t="str">
        <f t="shared" ref="AM108" ca="1" si="219">IF(AM106="","",IF(AM106&lt;$C108,0,IF(AM106=$C108,AM107/$C109*$E109+AL109/$C109*$E109,IF(AND(AM106&gt;$C108,AM106&lt;ROUNDDOWN(($C108+($D108+$C109-1)/12),0)),(AM107/2+AL109)/($C109-$E109-12*(AM106-$C108-1))*12,IF(AND($D109&lt;0,AM106=ROUNDDOWN(($C108+($D108+$C109-1)/12),0)),AL109,IF(AM106=ROUNDDOWN(($C108+($D108+$C109-1)/12),0),(AM107+AL109)/$C109*($D109+(AM106-$C108-1)*12+$E109),IF(AM106&gt;ROUNDDOWN(($C108+($D108+$C109)/12),0),0,0)))))))</f>
        <v/>
      </c>
      <c r="AN108" s="136" t="str">
        <f t="shared" ref="AN108" ca="1" si="220">IF(AN106="","",IF(AN106&lt;$C108,0,IF(AN106=$C108,AN107/$C109*$E109+AM109/$C109*$E109,IF(AND(AN106&gt;$C108,AN106&lt;ROUNDDOWN(($C108+($D108+$C109-1)/12),0)),(AN107/2+AM109)/($C109-$E109-12*(AN106-$C108-1))*12,IF(AND($D109&lt;0,AN106=ROUNDDOWN(($C108+($D108+$C109-1)/12),0)),AM109,IF(AN106=ROUNDDOWN(($C108+($D108+$C109-1)/12),0),(AN107+AM109)/$C109*($D109+(AN106-$C108-1)*12+$E109),IF(AN106&gt;ROUNDDOWN(($C108+($D108+$C109)/12),0),0,0)))))))</f>
        <v/>
      </c>
      <c r="AO108" s="136" t="str">
        <f t="shared" ref="AO108" ca="1" si="221">IF(AO106="","",IF(AO106&lt;$C108,0,IF(AO106=$C108,AO107/$C109*$E109+AN109/$C109*$E109,IF(AND(AO106&gt;$C108,AO106&lt;ROUNDDOWN(($C108+($D108+$C109-1)/12),0)),(AO107/2+AN109)/($C109-$E109-12*(AO106-$C108-1))*12,IF(AND($D109&lt;0,AO106=ROUNDDOWN(($C108+($D108+$C109-1)/12),0)),AN109,IF(AO106=ROUNDDOWN(($C108+($D108+$C109-1)/12),0),(AO107+AN109)/$C109*($D109+(AO106-$C108-1)*12+$E109),IF(AO106&gt;ROUNDDOWN(($C108+($D108+$C109)/12),0),0,0)))))))</f>
        <v/>
      </c>
      <c r="AP108" s="136" t="str">
        <f t="shared" ref="AP108" ca="1" si="222">IF(AP106="","",IF(AP106&lt;$C108,0,IF(AP106=$C108,AP107/$C109*$E109+AO109/$C109*$E109,IF(AND(AP106&gt;$C108,AP106&lt;ROUNDDOWN(($C108+($D108+$C109-1)/12),0)),(AP107/2+AO109)/($C109-$E109-12*(AP106-$C108-1))*12,IF(AND($D109&lt;0,AP106=ROUNDDOWN(($C108+($D108+$C109-1)/12),0)),AO109,IF(AP106=ROUNDDOWN(($C108+($D108+$C109-1)/12),0),(AP107+AO109)/$C109*($D109+(AP106-$C108-1)*12+$E109),IF(AP106&gt;ROUNDDOWN(($C108+($D108+$C109)/12),0),0,0)))))))</f>
        <v/>
      </c>
      <c r="AQ108" s="136" t="str">
        <f t="shared" ref="AQ108" ca="1" si="223">IF(AQ106="","",IF(AQ106&lt;$C108,0,IF(AQ106=$C108,AQ107/$C109*$E109+AP109/$C109*$E109,IF(AND(AQ106&gt;$C108,AQ106&lt;ROUNDDOWN(($C108+($D108+$C109-1)/12),0)),(AQ107/2+AP109)/($C109-$E109-12*(AQ106-$C108-1))*12,IF(AND($D109&lt;0,AQ106=ROUNDDOWN(($C108+($D108+$C109-1)/12),0)),AP109,IF(AQ106=ROUNDDOWN(($C108+($D108+$C109-1)/12),0),(AQ107+AP109)/$C109*($D109+(AQ106-$C108-1)*12+$E109),IF(AQ106&gt;ROUNDDOWN(($C108+($D108+$C109)/12),0),0,0)))))))</f>
        <v/>
      </c>
      <c r="AR108" s="136" t="str">
        <f t="shared" ref="AR108" ca="1" si="224">IF(AR106="","",IF(AR106&lt;$C108,0,IF(AR106=$C108,AR107/$C109*$E109+AQ109/$C109*$E109,IF(AND(AR106&gt;$C108,AR106&lt;ROUNDDOWN(($C108+($D108+$C109-1)/12),0)),(AR107/2+AQ109)/($C109-$E109-12*(AR106-$C108-1))*12,IF(AND($D109&lt;0,AR106=ROUNDDOWN(($C108+($D108+$C109-1)/12),0)),AQ109,IF(AR106=ROUNDDOWN(($C108+($D108+$C109-1)/12),0),(AR107+AQ109)/$C109*($D109+(AR106-$C108-1)*12+$E109),IF(AR106&gt;ROUNDDOWN(($C108+($D108+$C109)/12),0),0,0)))))))</f>
        <v/>
      </c>
      <c r="AS108" s="136" t="str">
        <f t="shared" ref="AS108" ca="1" si="225">IF(AS106="","",IF(AS106&lt;$C108,0,IF(AS106=$C108,AS107/$C109*$E109+AR109/$C109*$E109,IF(AND(AS106&gt;$C108,AS106&lt;ROUNDDOWN(($C108+($D108+$C109-1)/12),0)),(AS107/2+AR109)/($C109-$E109-12*(AS106-$C108-1))*12,IF(AND($D109&lt;0,AS106=ROUNDDOWN(($C108+($D108+$C109-1)/12),0)),AR109,IF(AS106=ROUNDDOWN(($C108+($D108+$C109-1)/12),0),(AS107+AR109)/$C109*($D109+(AS106-$C108-1)*12+$E109),IF(AS106&gt;ROUNDDOWN(($C108+($D108+$C109)/12),0),0,0)))))))</f>
        <v/>
      </c>
      <c r="AT108" s="136" t="str">
        <f t="shared" ref="AT108" ca="1" si="226">IF(AT106="","",IF(AT106&lt;$C108,0,IF(AT106=$C108,AT107/$C109*$E109+AS109/$C109*$E109,IF(AND(AT106&gt;$C108,AT106&lt;ROUNDDOWN(($C108+($D108+$C109-1)/12),0)),(AT107/2+AS109)/($C109-$E109-12*(AT106-$C108-1))*12,IF(AND($D109&lt;0,AT106=ROUNDDOWN(($C108+($D108+$C109-1)/12),0)),AS109,IF(AT106=ROUNDDOWN(($C108+($D108+$C109-1)/12),0),(AT107+AS109)/$C109*($D109+(AT106-$C108-1)*12+$E109),IF(AT106&gt;ROUNDDOWN(($C108+($D108+$C109)/12),0),0,0)))))))</f>
        <v/>
      </c>
      <c r="AU108" s="136" t="str">
        <f t="shared" ref="AU108" ca="1" si="227">IF(AU106="","",IF(AU106&lt;$C108,0,IF(AU106=$C108,AU107/$C109*$E109+AT109/$C109*$E109,IF(AND(AU106&gt;$C108,AU106&lt;ROUNDDOWN(($C108+($D108+$C109-1)/12),0)),(AU107/2+AT109)/($C109-$E109-12*(AU106-$C108-1))*12,IF(AND($D109&lt;0,AU106=ROUNDDOWN(($C108+($D108+$C109-1)/12),0)),AT109,IF(AU106=ROUNDDOWN(($C108+($D108+$C109-1)/12),0),(AU107+AT109)/$C109*($D109+(AU106-$C108-1)*12+$E109),IF(AU106&gt;ROUNDDOWN(($C108+($D108+$C109)/12),0),0,0)))))))</f>
        <v/>
      </c>
      <c r="AV108" s="136" t="str">
        <f t="shared" ref="AV108" ca="1" si="228">IF(AV106="","",IF(AV106&lt;$C108,0,IF(AV106=$C108,AV107/$C109*$E109+AU109/$C109*$E109,IF(AND(AV106&gt;$C108,AV106&lt;ROUNDDOWN(($C108+($D108+$C109-1)/12),0)),(AV107/2+AU109)/($C109-$E109-12*(AV106-$C108-1))*12,IF(AND($D109&lt;0,AV106=ROUNDDOWN(($C108+($D108+$C109-1)/12),0)),AU109,IF(AV106=ROUNDDOWN(($C108+($D108+$C109-1)/12),0),(AV107+AU109)/$C109*($D109+(AV106-$C108-1)*12+$E109),IF(AV106&gt;ROUNDDOWN(($C108+($D108+$C109)/12),0),0,0)))))))</f>
        <v/>
      </c>
      <c r="AW108" s="136" t="str">
        <f t="shared" ref="AW108" ca="1" si="229">IF(AW106="","",IF(AW106&lt;$C108,0,IF(AW106=$C108,AW107/$C109*$E109+AV109/$C109*$E109,IF(AND(AW106&gt;$C108,AW106&lt;ROUNDDOWN(($C108+($D108+$C109-1)/12),0)),(AW107/2+AV109)/($C109-$E109-12*(AW106-$C108-1))*12,IF(AND($D109&lt;0,AW106=ROUNDDOWN(($C108+($D108+$C109-1)/12),0)),AV109,IF(AW106=ROUNDDOWN(($C108+($D108+$C109-1)/12),0),(AW107+AV109)/$C109*($D109+(AW106-$C108-1)*12+$E109),IF(AW106&gt;ROUNDDOWN(($C108+($D108+$C109)/12),0),0,0)))))))</f>
        <v/>
      </c>
      <c r="AX108" s="112"/>
      <c r="AY108" s="112"/>
      <c r="AZ108" s="109"/>
    </row>
    <row r="109" spans="3:52" ht="12.75" customHeight="1" x14ac:dyDescent="0.2">
      <c r="C109" s="150">
        <f>ROUNDUP((E108-ROUNDDOWN(E108,0))*12,0)+ROUNDDOWN(E108,0)*12</f>
        <v>0</v>
      </c>
      <c r="D109" s="150">
        <f>C109-E109-ROUNDDOWN(E108,0)*12</f>
        <v>-12</v>
      </c>
      <c r="E109" s="150">
        <f>13-MONTH(C107)</f>
        <v>12</v>
      </c>
      <c r="N109" s="107"/>
      <c r="O109" s="112"/>
      <c r="P109" s="112"/>
      <c r="Q109" s="137" t="str">
        <f>INDEX(g_lang_val,MATCH("tb_2_4_3",g_lang_key,0))</f>
        <v>FF4-gæld, ultimo året</v>
      </c>
      <c r="R109" s="138"/>
      <c r="S109" s="141"/>
      <c r="T109" s="136">
        <f t="shared" ref="T109" ca="1" si="230">IF(T106="","",S109+T107-T108)</f>
        <v>0</v>
      </c>
      <c r="U109" s="136">
        <f t="shared" ref="U109" ca="1" si="231">IF(U106="","",T109+U107-U108)</f>
        <v>0</v>
      </c>
      <c r="V109" s="136">
        <f t="shared" ref="V109" ca="1" si="232">IF(V106="","",U109+V107-V108)</f>
        <v>0</v>
      </c>
      <c r="W109" s="136">
        <f t="shared" ref="W109" ca="1" si="233">IF(W106="","",V109+W107-W108)</f>
        <v>0</v>
      </c>
      <c r="X109" s="136">
        <f t="shared" ref="X109" ca="1" si="234">IF(X106="","",W109+X107-X108)</f>
        <v>0</v>
      </c>
      <c r="Y109" s="136" t="str">
        <f t="shared" ref="Y109" ca="1" si="235">IF(Y106="","",X109+Y107-Y108)</f>
        <v/>
      </c>
      <c r="Z109" s="136" t="str">
        <f t="shared" ref="Z109" ca="1" si="236">IF(Z106="","",Y109+Z107-Z108)</f>
        <v/>
      </c>
      <c r="AA109" s="136" t="str">
        <f t="shared" ref="AA109" ca="1" si="237">IF(AA106="","",Z109+AA107-AA108)</f>
        <v/>
      </c>
      <c r="AB109" s="136" t="str">
        <f t="shared" ref="AB109" ca="1" si="238">IF(AB106="","",AA109+AB107-AB108)</f>
        <v/>
      </c>
      <c r="AC109" s="136" t="str">
        <f t="shared" ref="AC109" ca="1" si="239">IF(AC106="","",AB109+AC107-AC108)</f>
        <v/>
      </c>
      <c r="AD109" s="136" t="str">
        <f t="shared" ref="AD109" ca="1" si="240">IF(AD106="","",AC109+AD107-AD108)</f>
        <v/>
      </c>
      <c r="AE109" s="136" t="str">
        <f t="shared" ref="AE109" ca="1" si="241">IF(AE106="","",AD109+AE107-AE108)</f>
        <v/>
      </c>
      <c r="AF109" s="136" t="str">
        <f t="shared" ref="AF109" ca="1" si="242">IF(AF106="","",AE109+AF107-AF108)</f>
        <v/>
      </c>
      <c r="AG109" s="136" t="str">
        <f t="shared" ref="AG109" ca="1" si="243">IF(AG106="","",AF109+AG107-AG108)</f>
        <v/>
      </c>
      <c r="AH109" s="136" t="str">
        <f t="shared" ref="AH109" ca="1" si="244">IF(AH106="","",AG109+AH107-AH108)</f>
        <v/>
      </c>
      <c r="AI109" s="136" t="str">
        <f t="shared" ref="AI109" ca="1" si="245">IF(AI106="","",AH109+AI107-AI108)</f>
        <v/>
      </c>
      <c r="AJ109" s="136" t="str">
        <f t="shared" ref="AJ109" ca="1" si="246">IF(AJ106="","",AI109+AJ107-AJ108)</f>
        <v/>
      </c>
      <c r="AK109" s="136" t="str">
        <f t="shared" ref="AK109" ca="1" si="247">IF(AK106="","",AJ109+AK107-AK108)</f>
        <v/>
      </c>
      <c r="AL109" s="136" t="str">
        <f t="shared" ref="AL109" ca="1" si="248">IF(AL106="","",AK109+AL107-AL108)</f>
        <v/>
      </c>
      <c r="AM109" s="136" t="str">
        <f t="shared" ref="AM109" ca="1" si="249">IF(AM106="","",AL109+AM107-AM108)</f>
        <v/>
      </c>
      <c r="AN109" s="136" t="str">
        <f t="shared" ref="AN109" ca="1" si="250">IF(AN106="","",AM109+AN107-AN108)</f>
        <v/>
      </c>
      <c r="AO109" s="136" t="str">
        <f t="shared" ref="AO109" ca="1" si="251">IF(AO106="","",AN109+AO107-AO108)</f>
        <v/>
      </c>
      <c r="AP109" s="136" t="str">
        <f t="shared" ref="AP109" ca="1" si="252">IF(AP106="","",AO109+AP107-AP108)</f>
        <v/>
      </c>
      <c r="AQ109" s="136" t="str">
        <f t="shared" ref="AQ109" ca="1" si="253">IF(AQ106="","",AP109+AQ107-AQ108)</f>
        <v/>
      </c>
      <c r="AR109" s="136" t="str">
        <f t="shared" ref="AR109" ca="1" si="254">IF(AR106="","",AQ109+AR107-AR108)</f>
        <v/>
      </c>
      <c r="AS109" s="136" t="str">
        <f t="shared" ref="AS109" ca="1" si="255">IF(AS106="","",AR109+AS107-AS108)</f>
        <v/>
      </c>
      <c r="AT109" s="136" t="str">
        <f t="shared" ref="AT109" ca="1" si="256">IF(AT106="","",AS109+AT107-AT108)</f>
        <v/>
      </c>
      <c r="AU109" s="136" t="str">
        <f t="shared" ref="AU109" ca="1" si="257">IF(AU106="","",AT109+AU107-AU108)</f>
        <v/>
      </c>
      <c r="AV109" s="136" t="str">
        <f t="shared" ref="AV109" ca="1" si="258">IF(AV106="","",AU109+AV107-AV108)</f>
        <v/>
      </c>
      <c r="AW109" s="136" t="str">
        <f t="shared" ref="AW109" ca="1" si="259">IF(AW106="","",AV109+AW107-AW108)</f>
        <v/>
      </c>
      <c r="AX109" s="112"/>
      <c r="AY109" s="112"/>
      <c r="AZ109" s="109"/>
    </row>
    <row r="110" spans="3:52" ht="12.75" customHeight="1" x14ac:dyDescent="0.2">
      <c r="N110" s="107"/>
      <c r="O110" s="112"/>
      <c r="P110" s="112"/>
      <c r="Q110" s="137" t="str">
        <f>INDEX(g_lang_val,MATCH("tb_2_4_4",g_lang_key,0))</f>
        <v>Renter (FF4)</v>
      </c>
      <c r="R110" s="138"/>
      <c r="S110" s="141">
        <f ca="1">SUM(T110:BG110)</f>
        <v>0</v>
      </c>
      <c r="T110" s="136">
        <f t="shared" ref="T110" ca="1" si="260">IF(T106="","",g_interest_FF4*(S109+(T107/2)-(T108/2)))</f>
        <v>0</v>
      </c>
      <c r="U110" s="136">
        <f t="shared" ref="U110" ca="1" si="261">IF(U106="","",g_interest_FF4*(T109+(U107/2)-(U108/2)))</f>
        <v>0</v>
      </c>
      <c r="V110" s="136">
        <f t="shared" ref="V110" ca="1" si="262">IF(V106="","",g_interest_FF4*(U109+(V107/2)-(V108/2)))</f>
        <v>0</v>
      </c>
      <c r="W110" s="136">
        <f t="shared" ref="W110" ca="1" si="263">IF(W106="","",g_interest_FF4*(V109+(W107/2)-(W108/2)))</f>
        <v>0</v>
      </c>
      <c r="X110" s="136">
        <f t="shared" ref="X110" ca="1" si="264">IF(X106="","",g_interest_FF4*(W109+(X107/2)-(X108/2)))</f>
        <v>0</v>
      </c>
      <c r="Y110" s="136" t="str">
        <f t="shared" ref="Y110" ca="1" si="265">IF(Y106="","",g_interest_FF4*(X109+(Y107/2)-(Y108/2)))</f>
        <v/>
      </c>
      <c r="Z110" s="136" t="str">
        <f t="shared" ref="Z110" ca="1" si="266">IF(Z106="","",g_interest_FF4*(Y109+(Z107/2)-(Z108/2)))</f>
        <v/>
      </c>
      <c r="AA110" s="136" t="str">
        <f t="shared" ref="AA110" ca="1" si="267">IF(AA106="","",g_interest_FF4*(Z109+(AA107/2)-(AA108/2)))</f>
        <v/>
      </c>
      <c r="AB110" s="136" t="str">
        <f t="shared" ref="AB110" ca="1" si="268">IF(AB106="","",g_interest_FF4*(AA109+(AB107/2)-(AB108/2)))</f>
        <v/>
      </c>
      <c r="AC110" s="136" t="str">
        <f t="shared" ref="AC110" ca="1" si="269">IF(AC106="","",g_interest_FF4*(AB109+(AC107/2)-(AC108/2)))</f>
        <v/>
      </c>
      <c r="AD110" s="136" t="str">
        <f t="shared" ref="AD110" ca="1" si="270">IF(AD106="","",g_interest_FF4*(AC109+(AD107/2)-(AD108/2)))</f>
        <v/>
      </c>
      <c r="AE110" s="136" t="str">
        <f t="shared" ref="AE110" ca="1" si="271">IF(AE106="","",g_interest_FF4*(AD109+(AE107/2)-(AE108/2)))</f>
        <v/>
      </c>
      <c r="AF110" s="136" t="str">
        <f t="shared" ref="AF110" ca="1" si="272">IF(AF106="","",g_interest_FF4*(AE109+(AF107/2)-(AF108/2)))</f>
        <v/>
      </c>
      <c r="AG110" s="136" t="str">
        <f t="shared" ref="AG110" ca="1" si="273">IF(AG106="","",g_interest_FF4*(AF109+(AG107/2)-(AG108/2)))</f>
        <v/>
      </c>
      <c r="AH110" s="136" t="str">
        <f t="shared" ref="AH110" ca="1" si="274">IF(AH106="","",g_interest_FF4*(AG109+(AH107/2)-(AH108/2)))</f>
        <v/>
      </c>
      <c r="AI110" s="136" t="str">
        <f t="shared" ref="AI110" ca="1" si="275">IF(AI106="","",g_interest_FF4*(AH109+(AI107/2)-(AI108/2)))</f>
        <v/>
      </c>
      <c r="AJ110" s="136" t="str">
        <f t="shared" ref="AJ110" ca="1" si="276">IF(AJ106="","",g_interest_FF4*(AI109+(AJ107/2)-(AJ108/2)))</f>
        <v/>
      </c>
      <c r="AK110" s="136" t="str">
        <f t="shared" ref="AK110" ca="1" si="277">IF(AK106="","",g_interest_FF4*(AJ109+(AK107/2)-(AK108/2)))</f>
        <v/>
      </c>
      <c r="AL110" s="136" t="str">
        <f t="shared" ref="AL110" ca="1" si="278">IF(AL106="","",g_interest_FF4*(AK109+(AL107/2)-(AL108/2)))</f>
        <v/>
      </c>
      <c r="AM110" s="136" t="str">
        <f t="shared" ref="AM110" ca="1" si="279">IF(AM106="","",g_interest_FF4*(AL109+(AM107/2)-(AM108/2)))</f>
        <v/>
      </c>
      <c r="AN110" s="136" t="str">
        <f t="shared" ref="AN110" ca="1" si="280">IF(AN106="","",g_interest_FF4*(AM109+(AN107/2)-(AN108/2)))</f>
        <v/>
      </c>
      <c r="AO110" s="136" t="str">
        <f t="shared" ref="AO110" ca="1" si="281">IF(AO106="","",g_interest_FF4*(AN109+(AO107/2)-(AO108/2)))</f>
        <v/>
      </c>
      <c r="AP110" s="136" t="str">
        <f t="shared" ref="AP110" ca="1" si="282">IF(AP106="","",g_interest_FF4*(AO109+(AP107/2)-(AP108/2)))</f>
        <v/>
      </c>
      <c r="AQ110" s="136" t="str">
        <f t="shared" ref="AQ110" ca="1" si="283">IF(AQ106="","",g_interest_FF4*(AP109+(AQ107/2)-(AQ108/2)))</f>
        <v/>
      </c>
      <c r="AR110" s="136" t="str">
        <f t="shared" ref="AR110" ca="1" si="284">IF(AR106="","",g_interest_FF4*(AQ109+(AR107/2)-(AR108/2)))</f>
        <v/>
      </c>
      <c r="AS110" s="136" t="str">
        <f t="shared" ref="AS110" ca="1" si="285">IF(AS106="","",g_interest_FF4*(AR109+(AS107/2)-(AS108/2)))</f>
        <v/>
      </c>
      <c r="AT110" s="136" t="str">
        <f t="shared" ref="AT110" ca="1" si="286">IF(AT106="","",g_interest_FF4*(AS109+(AT107/2)-(AT108/2)))</f>
        <v/>
      </c>
      <c r="AU110" s="136" t="str">
        <f t="shared" ref="AU110" ca="1" si="287">IF(AU106="","",g_interest_FF4*(AT109+(AU107/2)-(AU108/2)))</f>
        <v/>
      </c>
      <c r="AV110" s="136" t="str">
        <f t="shared" ref="AV110" ca="1" si="288">IF(AV106="","",g_interest_FF4*(AU109+(AV107/2)-(AV108/2)))</f>
        <v/>
      </c>
      <c r="AW110" s="136" t="str">
        <f t="shared" ref="AW110" ca="1" si="289">IF(AW106="","",g_interest_FF4*(AV109+(AW107/2)-(AW108/2)))</f>
        <v/>
      </c>
      <c r="AX110" s="112"/>
      <c r="AY110" s="112"/>
      <c r="AZ110" s="109"/>
    </row>
    <row r="111" spans="3:52" ht="12.75" customHeight="1" x14ac:dyDescent="0.2">
      <c r="N111" s="107"/>
      <c r="O111" s="112"/>
      <c r="P111" s="112"/>
      <c r="Q111" s="140" t="str">
        <f>INDEX(g_assets_sc_1,6)</f>
        <v/>
      </c>
      <c r="R111" s="140"/>
      <c r="S111" s="135"/>
      <c r="T111" s="147">
        <f ca="1">T$95</f>
        <v>2024</v>
      </c>
      <c r="U111" s="147">
        <f t="shared" ref="U111:AW111" ca="1" si="290">U$95</f>
        <v>2025</v>
      </c>
      <c r="V111" s="147">
        <f t="shared" ca="1" si="290"/>
        <v>2026</v>
      </c>
      <c r="W111" s="147">
        <f t="shared" ca="1" si="290"/>
        <v>2027</v>
      </c>
      <c r="X111" s="147">
        <f t="shared" ca="1" si="290"/>
        <v>2028</v>
      </c>
      <c r="Y111" s="147" t="str">
        <f t="shared" ca="1" si="290"/>
        <v/>
      </c>
      <c r="Z111" s="147" t="str">
        <f t="shared" ca="1" si="290"/>
        <v/>
      </c>
      <c r="AA111" s="147" t="str">
        <f t="shared" ca="1" si="290"/>
        <v/>
      </c>
      <c r="AB111" s="147" t="str">
        <f t="shared" ca="1" si="290"/>
        <v/>
      </c>
      <c r="AC111" s="147" t="str">
        <f t="shared" ca="1" si="290"/>
        <v/>
      </c>
      <c r="AD111" s="147" t="str">
        <f t="shared" ca="1" si="290"/>
        <v/>
      </c>
      <c r="AE111" s="147" t="str">
        <f t="shared" ca="1" si="290"/>
        <v/>
      </c>
      <c r="AF111" s="147" t="str">
        <f t="shared" ca="1" si="290"/>
        <v/>
      </c>
      <c r="AG111" s="147" t="str">
        <f t="shared" ca="1" si="290"/>
        <v/>
      </c>
      <c r="AH111" s="147" t="str">
        <f t="shared" ca="1" si="290"/>
        <v/>
      </c>
      <c r="AI111" s="147" t="str">
        <f t="shared" ca="1" si="290"/>
        <v/>
      </c>
      <c r="AJ111" s="147" t="str">
        <f t="shared" ca="1" si="290"/>
        <v/>
      </c>
      <c r="AK111" s="147" t="str">
        <f t="shared" ca="1" si="290"/>
        <v/>
      </c>
      <c r="AL111" s="147" t="str">
        <f t="shared" ca="1" si="290"/>
        <v/>
      </c>
      <c r="AM111" s="147" t="str">
        <f t="shared" ca="1" si="290"/>
        <v/>
      </c>
      <c r="AN111" s="147" t="str">
        <f t="shared" ca="1" si="290"/>
        <v/>
      </c>
      <c r="AO111" s="147" t="str">
        <f t="shared" ca="1" si="290"/>
        <v/>
      </c>
      <c r="AP111" s="147" t="str">
        <f t="shared" ca="1" si="290"/>
        <v/>
      </c>
      <c r="AQ111" s="147" t="str">
        <f t="shared" ca="1" si="290"/>
        <v/>
      </c>
      <c r="AR111" s="147" t="str">
        <f t="shared" ca="1" si="290"/>
        <v/>
      </c>
      <c r="AS111" s="147" t="str">
        <f t="shared" ca="1" si="290"/>
        <v/>
      </c>
      <c r="AT111" s="147" t="str">
        <f t="shared" ca="1" si="290"/>
        <v/>
      </c>
      <c r="AU111" s="147" t="str">
        <f t="shared" ca="1" si="290"/>
        <v/>
      </c>
      <c r="AV111" s="147" t="str">
        <f t="shared" ca="1" si="290"/>
        <v/>
      </c>
      <c r="AW111" s="147" t="str">
        <f t="shared" ca="1" si="290"/>
        <v/>
      </c>
      <c r="AX111" s="112"/>
      <c r="AY111" s="112"/>
      <c r="AZ111" s="109"/>
    </row>
    <row r="112" spans="3:52" ht="12.75" customHeight="1" x14ac:dyDescent="0.2">
      <c r="C112" s="148">
        <f>INDEX(g_sc_1_assets_dates,G112)</f>
        <v>0</v>
      </c>
      <c r="G112" s="149">
        <v>4</v>
      </c>
      <c r="N112" s="107"/>
      <c r="O112" s="112"/>
      <c r="P112" s="112"/>
      <c r="Q112" s="137" t="str">
        <f>INDEX(g_lang_val,MATCH("tb_2_4_1",g_lang_key,0))</f>
        <v>Køb af anlægsaktiver</v>
      </c>
      <c r="R112" s="138"/>
      <c r="S112" s="141">
        <f ca="1">SUM(T112:BG112)</f>
        <v>0</v>
      </c>
      <c r="T112" s="136">
        <f ca="1">IF(T111="","",SUMPRODUCT(--(Leverancer!$F$28:$F$48=($G112+2)),Leverancer!G$28:G$48)/1000)</f>
        <v>0</v>
      </c>
      <c r="U112" s="136">
        <f ca="1">IF(U111="","",SUMPRODUCT(--(Leverancer!$F$28:$F$48=($G112+2)),Leverancer!H$28:H$48)/1000)</f>
        <v>0</v>
      </c>
      <c r="V112" s="136">
        <f ca="1">IF(V111="","",SUMPRODUCT(--(Leverancer!$F$28:$F$48=($G112+2)),Leverancer!I$28:I$48)/1000)</f>
        <v>0</v>
      </c>
      <c r="W112" s="136">
        <f ca="1">IF(W111="","",SUMPRODUCT(--(Leverancer!$F$28:$F$48=($G112+2)),Leverancer!J$28:J$48)/1000)</f>
        <v>0</v>
      </c>
      <c r="X112" s="136">
        <f ca="1">IF(X111="","",SUMPRODUCT(--(Leverancer!$F$28:$F$48=($G112+2)),Leverancer!K$28:K$48)/1000)</f>
        <v>0</v>
      </c>
      <c r="Y112" s="136" t="str">
        <f ca="1">IF(Y111="","",SUMPRODUCT(--(Leverancer!$F$28:$F$48=($G112+2)),Leverancer!L$28:L$48)/1000)</f>
        <v/>
      </c>
      <c r="Z112" s="136" t="str">
        <f ca="1">IF(Z111="","",SUMPRODUCT(--(Leverancer!$F$28:$F$48=($G112+2)),Leverancer!M$28:M$48)/1000)</f>
        <v/>
      </c>
      <c r="AA112" s="136" t="str">
        <f ca="1">IF(AA111="","",SUMPRODUCT(--(Leverancer!$F$28:$F$48=($G112+2)),Leverancer!N$28:N$48)/1000)</f>
        <v/>
      </c>
      <c r="AB112" s="136" t="str">
        <f ca="1">IF(AB111="","",SUMPRODUCT(--(Leverancer!$F$28:$F$48=($G112+2)),Leverancer!O$28:O$48)/1000)</f>
        <v/>
      </c>
      <c r="AC112" s="136" t="str">
        <f ca="1">IF(AC111="","",SUMPRODUCT(--(Leverancer!$F$28:$F$48=($G112+2)),Leverancer!P$28:P$48)/1000)</f>
        <v/>
      </c>
      <c r="AD112" s="136" t="str">
        <f ca="1">IF(AD111="","",SUMPRODUCT(--(Leverancer!$F$28:$F$48=($G112+2)),Leverancer!Q$28:Q$48)/1000)</f>
        <v/>
      </c>
      <c r="AE112" s="136" t="str">
        <f ca="1">IF(AE111="","",SUMPRODUCT(--(Leverancer!$F$28:$F$48=($G112+2)),Leverancer!R$28:R$48)/1000)</f>
        <v/>
      </c>
      <c r="AF112" s="136" t="str">
        <f ca="1">IF(AF111="","",SUMPRODUCT(--(Leverancer!$F$28:$F$48=($G112+2)),Leverancer!S$28:S$48)/1000)</f>
        <v/>
      </c>
      <c r="AG112" s="136" t="str">
        <f ca="1">IF(AG111="","",SUMPRODUCT(--(Leverancer!$F$28:$F$48=($G112+2)),Leverancer!T$28:T$48)/1000)</f>
        <v/>
      </c>
      <c r="AH112" s="136" t="str">
        <f ca="1">IF(AH111="","",SUMPRODUCT(--(Leverancer!$F$28:$F$48=($G112+2)),Leverancer!U$28:U$48)/1000)</f>
        <v/>
      </c>
      <c r="AI112" s="136" t="str">
        <f ca="1">IF(AI111="","",SUMPRODUCT(--(Leverancer!$F$28:$F$48=($G112+2)),Leverancer!V$28:V$48)/1000)</f>
        <v/>
      </c>
      <c r="AJ112" s="136" t="str">
        <f ca="1">IF(AJ111="","",SUMPRODUCT(--(Leverancer!$F$28:$F$48=($G112+2)),Leverancer!W$28:W$48)/1000)</f>
        <v/>
      </c>
      <c r="AK112" s="136" t="str">
        <f ca="1">IF(AK111="","",SUMPRODUCT(--(Leverancer!$F$28:$F$48=($G112+2)),Leverancer!X$28:X$48)/1000)</f>
        <v/>
      </c>
      <c r="AL112" s="136" t="str">
        <f ca="1">IF(AL111="","",SUMPRODUCT(--(Leverancer!$F$28:$F$48=($G112+2)),Leverancer!Y$28:Y$48)/1000)</f>
        <v/>
      </c>
      <c r="AM112" s="136" t="str">
        <f ca="1">IF(AM111="","",SUMPRODUCT(--(Leverancer!$F$28:$F$48=($G112+2)),Leverancer!Z$28:Z$48)/1000)</f>
        <v/>
      </c>
      <c r="AN112" s="136" t="str">
        <f ca="1">IF(AN111="","",SUMPRODUCT(--(Leverancer!$F$28:$F$48=($G112+2)),Leverancer!AA$28:AA$48)/1000)</f>
        <v/>
      </c>
      <c r="AO112" s="136" t="str">
        <f ca="1">IF(AO111="","",SUMPRODUCT(--(Leverancer!$F$28:$F$48=($G112+2)),Leverancer!AB$28:AB$48)/1000)</f>
        <v/>
      </c>
      <c r="AP112" s="136" t="str">
        <f ca="1">IF(AP111="","",SUMPRODUCT(--(Leverancer!$F$28:$F$48=($G112+2)),Leverancer!AC$28:AC$48)/1000)</f>
        <v/>
      </c>
      <c r="AQ112" s="136" t="str">
        <f ca="1">IF(AQ111="","",SUMPRODUCT(--(Leverancer!$F$28:$F$48=($G112+2)),Leverancer!AD$28:AD$48)/1000)</f>
        <v/>
      </c>
      <c r="AR112" s="136" t="str">
        <f ca="1">IF(AR111="","",SUMPRODUCT(--(Leverancer!$F$28:$F$48=($G112+2)),Leverancer!AE$28:AE$48)/1000)</f>
        <v/>
      </c>
      <c r="AS112" s="136" t="str">
        <f ca="1">IF(AS111="","",SUMPRODUCT(--(Leverancer!$F$28:$F$48=($G112+2)),Leverancer!AF$28:AF$48)/1000)</f>
        <v/>
      </c>
      <c r="AT112" s="136" t="str">
        <f ca="1">IF(AT111="","",SUMPRODUCT(--(Leverancer!$F$28:$F$48=($G112+2)),Leverancer!AG$28:AG$48)/1000)</f>
        <v/>
      </c>
      <c r="AU112" s="136" t="str">
        <f ca="1">IF(AU111="","",SUMPRODUCT(--(Leverancer!$F$28:$F$48=($G112+2)),Leverancer!AH$28:AH$48)/1000)</f>
        <v/>
      </c>
      <c r="AV112" s="136" t="str">
        <f ca="1">IF(AV111="","",SUMPRODUCT(--(Leverancer!$F$28:$F$48=($G112+2)),Leverancer!AI$28:AI$48)/1000)</f>
        <v/>
      </c>
      <c r="AW112" s="136" t="str">
        <f ca="1">IF(AW111="","",SUMPRODUCT(--(Leverancer!$F$28:$F$48=($G112+2)),Leverancer!AJ$28:AJ$48)/1000)</f>
        <v/>
      </c>
      <c r="AX112" s="112"/>
      <c r="AY112" s="112"/>
      <c r="AZ112" s="109"/>
    </row>
    <row r="113" spans="3:52" ht="12.75" customHeight="1" x14ac:dyDescent="0.2">
      <c r="C113" s="150">
        <f>IFERROR(YEAR(C112),"")</f>
        <v>1900</v>
      </c>
      <c r="D113" s="150">
        <f>IFERROR(MONTH(C112),"")</f>
        <v>1</v>
      </c>
      <c r="E113" s="150">
        <f>INDEX(g_sc_1_assets_years,G112)</f>
        <v>0</v>
      </c>
      <c r="N113" s="107"/>
      <c r="O113" s="112"/>
      <c r="P113" s="112"/>
      <c r="Q113" s="137" t="str">
        <f>INDEX(g_lang_val,MATCH("tb_2_4_2",g_lang_key,0))</f>
        <v>Afskrivninger</v>
      </c>
      <c r="R113" s="138"/>
      <c r="S113" s="141">
        <f ca="1">SUM(T113:BG113)</f>
        <v>0</v>
      </c>
      <c r="T113" s="136">
        <f t="shared" ref="T113" ca="1" si="291">IF(T111="","",IF(T111&lt;$C113,0,IF(T111=$C113,T112/$C114*$E114+S114/$C114*$E114,IF(AND(T111&gt;$C113,T111&lt;ROUNDDOWN(($C113+($D113+$C114-1)/12),0)),(T112/2+S114)/($C114-$E114-12*(T111-$C113-1))*12,IF(AND($D114&lt;0,T111=ROUNDDOWN(($C113+($D113+$C114-1)/12),0)),S114,IF(T111=ROUNDDOWN(($C113+($D113+$C114-1)/12),0),(T112+S114)/$C114*($D114+(T111-$C113-1)*12+$E114),IF(T111&gt;ROUNDDOWN(($C113+($D113+$C114)/12),0),0,0)))))))</f>
        <v>0</v>
      </c>
      <c r="U113" s="136">
        <f t="shared" ref="U113" ca="1" si="292">IF(U111="","",IF(U111&lt;$C113,0,IF(U111=$C113,U112/$C114*$E114+T114/$C114*$E114,IF(AND(U111&gt;$C113,U111&lt;ROUNDDOWN(($C113+($D113+$C114-1)/12),0)),(U112/2+T114)/($C114-$E114-12*(U111-$C113-1))*12,IF(AND($D114&lt;0,U111=ROUNDDOWN(($C113+($D113+$C114-1)/12),0)),T114,IF(U111=ROUNDDOWN(($C113+($D113+$C114-1)/12),0),(U112+T114)/$C114*($D114+(U111-$C113-1)*12+$E114),IF(U111&gt;ROUNDDOWN(($C113+($D113+$C114)/12),0),0,0)))))))</f>
        <v>0</v>
      </c>
      <c r="V113" s="136">
        <f t="shared" ref="V113" ca="1" si="293">IF(V111="","",IF(V111&lt;$C113,0,IF(V111=$C113,V112/$C114*$E114+U114/$C114*$E114,IF(AND(V111&gt;$C113,V111&lt;ROUNDDOWN(($C113+($D113+$C114-1)/12),0)),(V112/2+U114)/($C114-$E114-12*(V111-$C113-1))*12,IF(AND($D114&lt;0,V111=ROUNDDOWN(($C113+($D113+$C114-1)/12),0)),U114,IF(V111=ROUNDDOWN(($C113+($D113+$C114-1)/12),0),(V112+U114)/$C114*($D114+(V111-$C113-1)*12+$E114),IF(V111&gt;ROUNDDOWN(($C113+($D113+$C114)/12),0),0,0)))))))</f>
        <v>0</v>
      </c>
      <c r="W113" s="136">
        <f t="shared" ref="W113" ca="1" si="294">IF(W111="","",IF(W111&lt;$C113,0,IF(W111=$C113,W112/$C114*$E114+V114/$C114*$E114,IF(AND(W111&gt;$C113,W111&lt;ROUNDDOWN(($C113+($D113+$C114-1)/12),0)),(W112/2+V114)/($C114-$E114-12*(W111-$C113-1))*12,IF(AND($D114&lt;0,W111=ROUNDDOWN(($C113+($D113+$C114-1)/12),0)),V114,IF(W111=ROUNDDOWN(($C113+($D113+$C114-1)/12),0),(W112+V114)/$C114*($D114+(W111-$C113-1)*12+$E114),IF(W111&gt;ROUNDDOWN(($C113+($D113+$C114)/12),0),0,0)))))))</f>
        <v>0</v>
      </c>
      <c r="X113" s="136">
        <f t="shared" ref="X113" ca="1" si="295">IF(X111="","",IF(X111&lt;$C113,0,IF(X111=$C113,X112/$C114*$E114+W114/$C114*$E114,IF(AND(X111&gt;$C113,X111&lt;ROUNDDOWN(($C113+($D113+$C114-1)/12),0)),(X112/2+W114)/($C114-$E114-12*(X111-$C113-1))*12,IF(AND($D114&lt;0,X111=ROUNDDOWN(($C113+($D113+$C114-1)/12),0)),W114,IF(X111=ROUNDDOWN(($C113+($D113+$C114-1)/12),0),(X112+W114)/$C114*($D114+(X111-$C113-1)*12+$E114),IF(X111&gt;ROUNDDOWN(($C113+($D113+$C114)/12),0),0,0)))))))</f>
        <v>0</v>
      </c>
      <c r="Y113" s="136" t="str">
        <f t="shared" ref="Y113" ca="1" si="296">IF(Y111="","",IF(Y111&lt;$C113,0,IF(Y111=$C113,Y112/$C114*$E114+X114/$C114*$E114,IF(AND(Y111&gt;$C113,Y111&lt;ROUNDDOWN(($C113+($D113+$C114-1)/12),0)),(Y112/2+X114)/($C114-$E114-12*(Y111-$C113-1))*12,IF(AND($D114&lt;0,Y111=ROUNDDOWN(($C113+($D113+$C114-1)/12),0)),X114,IF(Y111=ROUNDDOWN(($C113+($D113+$C114-1)/12),0),(Y112+X114)/$C114*($D114+(Y111-$C113-1)*12+$E114),IF(Y111&gt;ROUNDDOWN(($C113+($D113+$C114)/12),0),0,0)))))))</f>
        <v/>
      </c>
      <c r="Z113" s="136" t="str">
        <f t="shared" ref="Z113" ca="1" si="297">IF(Z111="","",IF(Z111&lt;$C113,0,IF(Z111=$C113,Z112/$C114*$E114+Y114/$C114*$E114,IF(AND(Z111&gt;$C113,Z111&lt;ROUNDDOWN(($C113+($D113+$C114-1)/12),0)),(Z112/2+Y114)/($C114-$E114-12*(Z111-$C113-1))*12,IF(AND($D114&lt;0,Z111=ROUNDDOWN(($C113+($D113+$C114-1)/12),0)),Y114,IF(Z111=ROUNDDOWN(($C113+($D113+$C114-1)/12),0),(Z112+Y114)/$C114*($D114+(Z111-$C113-1)*12+$E114),IF(Z111&gt;ROUNDDOWN(($C113+($D113+$C114)/12),0),0,0)))))))</f>
        <v/>
      </c>
      <c r="AA113" s="136" t="str">
        <f t="shared" ref="AA113" ca="1" si="298">IF(AA111="","",IF(AA111&lt;$C113,0,IF(AA111=$C113,AA112/$C114*$E114+Z114/$C114*$E114,IF(AND(AA111&gt;$C113,AA111&lt;ROUNDDOWN(($C113+($D113+$C114-1)/12),0)),(AA112/2+Z114)/($C114-$E114-12*(AA111-$C113-1))*12,IF(AND($D114&lt;0,AA111=ROUNDDOWN(($C113+($D113+$C114-1)/12),0)),Z114,IF(AA111=ROUNDDOWN(($C113+($D113+$C114-1)/12),0),(AA112+Z114)/$C114*($D114+(AA111-$C113-1)*12+$E114),IF(AA111&gt;ROUNDDOWN(($C113+($D113+$C114)/12),0),0,0)))))))</f>
        <v/>
      </c>
      <c r="AB113" s="136" t="str">
        <f t="shared" ref="AB113" ca="1" si="299">IF(AB111="","",IF(AB111&lt;$C113,0,IF(AB111=$C113,AB112/$C114*$E114+AA114/$C114*$E114,IF(AND(AB111&gt;$C113,AB111&lt;ROUNDDOWN(($C113+($D113+$C114-1)/12),0)),(AB112/2+AA114)/($C114-$E114-12*(AB111-$C113-1))*12,IF(AND($D114&lt;0,AB111=ROUNDDOWN(($C113+($D113+$C114-1)/12),0)),AA114,IF(AB111=ROUNDDOWN(($C113+($D113+$C114-1)/12),0),(AB112+AA114)/$C114*($D114+(AB111-$C113-1)*12+$E114),IF(AB111&gt;ROUNDDOWN(($C113+($D113+$C114)/12),0),0,0)))))))</f>
        <v/>
      </c>
      <c r="AC113" s="136" t="str">
        <f t="shared" ref="AC113" ca="1" si="300">IF(AC111="","",IF(AC111&lt;$C113,0,IF(AC111=$C113,AC112/$C114*$E114+AB114/$C114*$E114,IF(AND(AC111&gt;$C113,AC111&lt;ROUNDDOWN(($C113+($D113+$C114-1)/12),0)),(AC112/2+AB114)/($C114-$E114-12*(AC111-$C113-1))*12,IF(AND($D114&lt;0,AC111=ROUNDDOWN(($C113+($D113+$C114-1)/12),0)),AB114,IF(AC111=ROUNDDOWN(($C113+($D113+$C114-1)/12),0),(AC112+AB114)/$C114*($D114+(AC111-$C113-1)*12+$E114),IF(AC111&gt;ROUNDDOWN(($C113+($D113+$C114)/12),0),0,0)))))))</f>
        <v/>
      </c>
      <c r="AD113" s="136" t="str">
        <f t="shared" ref="AD113" ca="1" si="301">IF(AD111="","",IF(AD111&lt;$C113,0,IF(AD111=$C113,AD112/$C114*$E114+AC114/$C114*$E114,IF(AND(AD111&gt;$C113,AD111&lt;ROUNDDOWN(($C113+($D113+$C114-1)/12),0)),(AD112/2+AC114)/($C114-$E114-12*(AD111-$C113-1))*12,IF(AND($D114&lt;0,AD111=ROUNDDOWN(($C113+($D113+$C114-1)/12),0)),AC114,IF(AD111=ROUNDDOWN(($C113+($D113+$C114-1)/12),0),(AD112+AC114)/$C114*($D114+(AD111-$C113-1)*12+$E114),IF(AD111&gt;ROUNDDOWN(($C113+($D113+$C114)/12),0),0,0)))))))</f>
        <v/>
      </c>
      <c r="AE113" s="136" t="str">
        <f t="shared" ref="AE113" ca="1" si="302">IF(AE111="","",IF(AE111&lt;$C113,0,IF(AE111=$C113,AE112/$C114*$E114+AD114/$C114*$E114,IF(AND(AE111&gt;$C113,AE111&lt;ROUNDDOWN(($C113+($D113+$C114-1)/12),0)),(AE112/2+AD114)/($C114-$E114-12*(AE111-$C113-1))*12,IF(AND($D114&lt;0,AE111=ROUNDDOWN(($C113+($D113+$C114-1)/12),0)),AD114,IF(AE111=ROUNDDOWN(($C113+($D113+$C114-1)/12),0),(AE112+AD114)/$C114*($D114+(AE111-$C113-1)*12+$E114),IF(AE111&gt;ROUNDDOWN(($C113+($D113+$C114)/12),0),0,0)))))))</f>
        <v/>
      </c>
      <c r="AF113" s="136" t="str">
        <f t="shared" ref="AF113" ca="1" si="303">IF(AF111="","",IF(AF111&lt;$C113,0,IF(AF111=$C113,AF112/$C114*$E114+AE114/$C114*$E114,IF(AND(AF111&gt;$C113,AF111&lt;ROUNDDOWN(($C113+($D113+$C114-1)/12),0)),(AF112/2+AE114)/($C114-$E114-12*(AF111-$C113-1))*12,IF(AND($D114&lt;0,AF111=ROUNDDOWN(($C113+($D113+$C114-1)/12),0)),AE114,IF(AF111=ROUNDDOWN(($C113+($D113+$C114-1)/12),0),(AF112+AE114)/$C114*($D114+(AF111-$C113-1)*12+$E114),IF(AF111&gt;ROUNDDOWN(($C113+($D113+$C114)/12),0),0,0)))))))</f>
        <v/>
      </c>
      <c r="AG113" s="136" t="str">
        <f t="shared" ref="AG113" ca="1" si="304">IF(AG111="","",IF(AG111&lt;$C113,0,IF(AG111=$C113,AG112/$C114*$E114+AF114/$C114*$E114,IF(AND(AG111&gt;$C113,AG111&lt;ROUNDDOWN(($C113+($D113+$C114-1)/12),0)),(AG112/2+AF114)/($C114-$E114-12*(AG111-$C113-1))*12,IF(AND($D114&lt;0,AG111=ROUNDDOWN(($C113+($D113+$C114-1)/12),0)),AF114,IF(AG111=ROUNDDOWN(($C113+($D113+$C114-1)/12),0),(AG112+AF114)/$C114*($D114+(AG111-$C113-1)*12+$E114),IF(AG111&gt;ROUNDDOWN(($C113+($D113+$C114)/12),0),0,0)))))))</f>
        <v/>
      </c>
      <c r="AH113" s="136" t="str">
        <f t="shared" ref="AH113" ca="1" si="305">IF(AH111="","",IF(AH111&lt;$C113,0,IF(AH111=$C113,AH112/$C114*$E114+AG114/$C114*$E114,IF(AND(AH111&gt;$C113,AH111&lt;ROUNDDOWN(($C113+($D113+$C114-1)/12),0)),(AH112/2+AG114)/($C114-$E114-12*(AH111-$C113-1))*12,IF(AND($D114&lt;0,AH111=ROUNDDOWN(($C113+($D113+$C114-1)/12),0)),AG114,IF(AH111=ROUNDDOWN(($C113+($D113+$C114-1)/12),0),(AH112+AG114)/$C114*($D114+(AH111-$C113-1)*12+$E114),IF(AH111&gt;ROUNDDOWN(($C113+($D113+$C114)/12),0),0,0)))))))</f>
        <v/>
      </c>
      <c r="AI113" s="136" t="str">
        <f t="shared" ref="AI113" ca="1" si="306">IF(AI111="","",IF(AI111&lt;$C113,0,IF(AI111=$C113,AI112/$C114*$E114+AH114/$C114*$E114,IF(AND(AI111&gt;$C113,AI111&lt;ROUNDDOWN(($C113+($D113+$C114-1)/12),0)),(AI112/2+AH114)/($C114-$E114-12*(AI111-$C113-1))*12,IF(AND($D114&lt;0,AI111=ROUNDDOWN(($C113+($D113+$C114-1)/12),0)),AH114,IF(AI111=ROUNDDOWN(($C113+($D113+$C114-1)/12),0),(AI112+AH114)/$C114*($D114+(AI111-$C113-1)*12+$E114),IF(AI111&gt;ROUNDDOWN(($C113+($D113+$C114)/12),0),0,0)))))))</f>
        <v/>
      </c>
      <c r="AJ113" s="136" t="str">
        <f t="shared" ref="AJ113" ca="1" si="307">IF(AJ111="","",IF(AJ111&lt;$C113,0,IF(AJ111=$C113,AJ112/$C114*$E114+AI114/$C114*$E114,IF(AND(AJ111&gt;$C113,AJ111&lt;ROUNDDOWN(($C113+($D113+$C114-1)/12),0)),(AJ112/2+AI114)/($C114-$E114-12*(AJ111-$C113-1))*12,IF(AND($D114&lt;0,AJ111=ROUNDDOWN(($C113+($D113+$C114-1)/12),0)),AI114,IF(AJ111=ROUNDDOWN(($C113+($D113+$C114-1)/12),0),(AJ112+AI114)/$C114*($D114+(AJ111-$C113-1)*12+$E114),IF(AJ111&gt;ROUNDDOWN(($C113+($D113+$C114)/12),0),0,0)))))))</f>
        <v/>
      </c>
      <c r="AK113" s="136" t="str">
        <f t="shared" ref="AK113" ca="1" si="308">IF(AK111="","",IF(AK111&lt;$C113,0,IF(AK111=$C113,AK112/$C114*$E114+AJ114/$C114*$E114,IF(AND(AK111&gt;$C113,AK111&lt;ROUNDDOWN(($C113+($D113+$C114-1)/12),0)),(AK112/2+AJ114)/($C114-$E114-12*(AK111-$C113-1))*12,IF(AND($D114&lt;0,AK111=ROUNDDOWN(($C113+($D113+$C114-1)/12),0)),AJ114,IF(AK111=ROUNDDOWN(($C113+($D113+$C114-1)/12),0),(AK112+AJ114)/$C114*($D114+(AK111-$C113-1)*12+$E114),IF(AK111&gt;ROUNDDOWN(($C113+($D113+$C114)/12),0),0,0)))))))</f>
        <v/>
      </c>
      <c r="AL113" s="136" t="str">
        <f t="shared" ref="AL113" ca="1" si="309">IF(AL111="","",IF(AL111&lt;$C113,0,IF(AL111=$C113,AL112/$C114*$E114+AK114/$C114*$E114,IF(AND(AL111&gt;$C113,AL111&lt;ROUNDDOWN(($C113+($D113+$C114-1)/12),0)),(AL112/2+AK114)/($C114-$E114-12*(AL111-$C113-1))*12,IF(AND($D114&lt;0,AL111=ROUNDDOWN(($C113+($D113+$C114-1)/12),0)),AK114,IF(AL111=ROUNDDOWN(($C113+($D113+$C114-1)/12),0),(AL112+AK114)/$C114*($D114+(AL111-$C113-1)*12+$E114),IF(AL111&gt;ROUNDDOWN(($C113+($D113+$C114)/12),0),0,0)))))))</f>
        <v/>
      </c>
      <c r="AM113" s="136" t="str">
        <f t="shared" ref="AM113" ca="1" si="310">IF(AM111="","",IF(AM111&lt;$C113,0,IF(AM111=$C113,AM112/$C114*$E114+AL114/$C114*$E114,IF(AND(AM111&gt;$C113,AM111&lt;ROUNDDOWN(($C113+($D113+$C114-1)/12),0)),(AM112/2+AL114)/($C114-$E114-12*(AM111-$C113-1))*12,IF(AND($D114&lt;0,AM111=ROUNDDOWN(($C113+($D113+$C114-1)/12),0)),AL114,IF(AM111=ROUNDDOWN(($C113+($D113+$C114-1)/12),0),(AM112+AL114)/$C114*($D114+(AM111-$C113-1)*12+$E114),IF(AM111&gt;ROUNDDOWN(($C113+($D113+$C114)/12),0),0,0)))))))</f>
        <v/>
      </c>
      <c r="AN113" s="136" t="str">
        <f t="shared" ref="AN113" ca="1" si="311">IF(AN111="","",IF(AN111&lt;$C113,0,IF(AN111=$C113,AN112/$C114*$E114+AM114/$C114*$E114,IF(AND(AN111&gt;$C113,AN111&lt;ROUNDDOWN(($C113+($D113+$C114-1)/12),0)),(AN112/2+AM114)/($C114-$E114-12*(AN111-$C113-1))*12,IF(AND($D114&lt;0,AN111=ROUNDDOWN(($C113+($D113+$C114-1)/12),0)),AM114,IF(AN111=ROUNDDOWN(($C113+($D113+$C114-1)/12),0),(AN112+AM114)/$C114*($D114+(AN111-$C113-1)*12+$E114),IF(AN111&gt;ROUNDDOWN(($C113+($D113+$C114)/12),0),0,0)))))))</f>
        <v/>
      </c>
      <c r="AO113" s="136" t="str">
        <f t="shared" ref="AO113" ca="1" si="312">IF(AO111="","",IF(AO111&lt;$C113,0,IF(AO111=$C113,AO112/$C114*$E114+AN114/$C114*$E114,IF(AND(AO111&gt;$C113,AO111&lt;ROUNDDOWN(($C113+($D113+$C114-1)/12),0)),(AO112/2+AN114)/($C114-$E114-12*(AO111-$C113-1))*12,IF(AND($D114&lt;0,AO111=ROUNDDOWN(($C113+($D113+$C114-1)/12),0)),AN114,IF(AO111=ROUNDDOWN(($C113+($D113+$C114-1)/12),0),(AO112+AN114)/$C114*($D114+(AO111-$C113-1)*12+$E114),IF(AO111&gt;ROUNDDOWN(($C113+($D113+$C114)/12),0),0,0)))))))</f>
        <v/>
      </c>
      <c r="AP113" s="136" t="str">
        <f t="shared" ref="AP113" ca="1" si="313">IF(AP111="","",IF(AP111&lt;$C113,0,IF(AP111=$C113,AP112/$C114*$E114+AO114/$C114*$E114,IF(AND(AP111&gt;$C113,AP111&lt;ROUNDDOWN(($C113+($D113+$C114-1)/12),0)),(AP112/2+AO114)/($C114-$E114-12*(AP111-$C113-1))*12,IF(AND($D114&lt;0,AP111=ROUNDDOWN(($C113+($D113+$C114-1)/12),0)),AO114,IF(AP111=ROUNDDOWN(($C113+($D113+$C114-1)/12),0),(AP112+AO114)/$C114*($D114+(AP111-$C113-1)*12+$E114),IF(AP111&gt;ROUNDDOWN(($C113+($D113+$C114)/12),0),0,0)))))))</f>
        <v/>
      </c>
      <c r="AQ113" s="136" t="str">
        <f t="shared" ref="AQ113" ca="1" si="314">IF(AQ111="","",IF(AQ111&lt;$C113,0,IF(AQ111=$C113,AQ112/$C114*$E114+AP114/$C114*$E114,IF(AND(AQ111&gt;$C113,AQ111&lt;ROUNDDOWN(($C113+($D113+$C114-1)/12),0)),(AQ112/2+AP114)/($C114-$E114-12*(AQ111-$C113-1))*12,IF(AND($D114&lt;0,AQ111=ROUNDDOWN(($C113+($D113+$C114-1)/12),0)),AP114,IF(AQ111=ROUNDDOWN(($C113+($D113+$C114-1)/12),0),(AQ112+AP114)/$C114*($D114+(AQ111-$C113-1)*12+$E114),IF(AQ111&gt;ROUNDDOWN(($C113+($D113+$C114)/12),0),0,0)))))))</f>
        <v/>
      </c>
      <c r="AR113" s="136" t="str">
        <f t="shared" ref="AR113" ca="1" si="315">IF(AR111="","",IF(AR111&lt;$C113,0,IF(AR111=$C113,AR112/$C114*$E114+AQ114/$C114*$E114,IF(AND(AR111&gt;$C113,AR111&lt;ROUNDDOWN(($C113+($D113+$C114-1)/12),0)),(AR112/2+AQ114)/($C114-$E114-12*(AR111-$C113-1))*12,IF(AND($D114&lt;0,AR111=ROUNDDOWN(($C113+($D113+$C114-1)/12),0)),AQ114,IF(AR111=ROUNDDOWN(($C113+($D113+$C114-1)/12),0),(AR112+AQ114)/$C114*($D114+(AR111-$C113-1)*12+$E114),IF(AR111&gt;ROUNDDOWN(($C113+($D113+$C114)/12),0),0,0)))))))</f>
        <v/>
      </c>
      <c r="AS113" s="136" t="str">
        <f t="shared" ref="AS113" ca="1" si="316">IF(AS111="","",IF(AS111&lt;$C113,0,IF(AS111=$C113,AS112/$C114*$E114+AR114/$C114*$E114,IF(AND(AS111&gt;$C113,AS111&lt;ROUNDDOWN(($C113+($D113+$C114-1)/12),0)),(AS112/2+AR114)/($C114-$E114-12*(AS111-$C113-1))*12,IF(AND($D114&lt;0,AS111=ROUNDDOWN(($C113+($D113+$C114-1)/12),0)),AR114,IF(AS111=ROUNDDOWN(($C113+($D113+$C114-1)/12),0),(AS112+AR114)/$C114*($D114+(AS111-$C113-1)*12+$E114),IF(AS111&gt;ROUNDDOWN(($C113+($D113+$C114)/12),0),0,0)))))))</f>
        <v/>
      </c>
      <c r="AT113" s="136" t="str">
        <f t="shared" ref="AT113" ca="1" si="317">IF(AT111="","",IF(AT111&lt;$C113,0,IF(AT111=$C113,AT112/$C114*$E114+AS114/$C114*$E114,IF(AND(AT111&gt;$C113,AT111&lt;ROUNDDOWN(($C113+($D113+$C114-1)/12),0)),(AT112/2+AS114)/($C114-$E114-12*(AT111-$C113-1))*12,IF(AND($D114&lt;0,AT111=ROUNDDOWN(($C113+($D113+$C114-1)/12),0)),AS114,IF(AT111=ROUNDDOWN(($C113+($D113+$C114-1)/12),0),(AT112+AS114)/$C114*($D114+(AT111-$C113-1)*12+$E114),IF(AT111&gt;ROUNDDOWN(($C113+($D113+$C114)/12),0),0,0)))))))</f>
        <v/>
      </c>
      <c r="AU113" s="136" t="str">
        <f t="shared" ref="AU113" ca="1" si="318">IF(AU111="","",IF(AU111&lt;$C113,0,IF(AU111=$C113,AU112/$C114*$E114+AT114/$C114*$E114,IF(AND(AU111&gt;$C113,AU111&lt;ROUNDDOWN(($C113+($D113+$C114-1)/12),0)),(AU112/2+AT114)/($C114-$E114-12*(AU111-$C113-1))*12,IF(AND($D114&lt;0,AU111=ROUNDDOWN(($C113+($D113+$C114-1)/12),0)),AT114,IF(AU111=ROUNDDOWN(($C113+($D113+$C114-1)/12),0),(AU112+AT114)/$C114*($D114+(AU111-$C113-1)*12+$E114),IF(AU111&gt;ROUNDDOWN(($C113+($D113+$C114)/12),0),0,0)))))))</f>
        <v/>
      </c>
      <c r="AV113" s="136" t="str">
        <f t="shared" ref="AV113" ca="1" si="319">IF(AV111="","",IF(AV111&lt;$C113,0,IF(AV111=$C113,AV112/$C114*$E114+AU114/$C114*$E114,IF(AND(AV111&gt;$C113,AV111&lt;ROUNDDOWN(($C113+($D113+$C114-1)/12),0)),(AV112/2+AU114)/($C114-$E114-12*(AV111-$C113-1))*12,IF(AND($D114&lt;0,AV111=ROUNDDOWN(($C113+($D113+$C114-1)/12),0)),AU114,IF(AV111=ROUNDDOWN(($C113+($D113+$C114-1)/12),0),(AV112+AU114)/$C114*($D114+(AV111-$C113-1)*12+$E114),IF(AV111&gt;ROUNDDOWN(($C113+($D113+$C114)/12),0),0,0)))))))</f>
        <v/>
      </c>
      <c r="AW113" s="136" t="str">
        <f t="shared" ref="AW113" ca="1" si="320">IF(AW111="","",IF(AW111&lt;$C113,0,IF(AW111=$C113,AW112/$C114*$E114+AV114/$C114*$E114,IF(AND(AW111&gt;$C113,AW111&lt;ROUNDDOWN(($C113+($D113+$C114-1)/12),0)),(AW112/2+AV114)/($C114-$E114-12*(AW111-$C113-1))*12,IF(AND($D114&lt;0,AW111=ROUNDDOWN(($C113+($D113+$C114-1)/12),0)),AV114,IF(AW111=ROUNDDOWN(($C113+($D113+$C114-1)/12),0),(AW112+AV114)/$C114*($D114+(AW111-$C113-1)*12+$E114),IF(AW111&gt;ROUNDDOWN(($C113+($D113+$C114)/12),0),0,0)))))))</f>
        <v/>
      </c>
      <c r="AX113" s="112"/>
      <c r="AY113" s="112"/>
      <c r="AZ113" s="109"/>
    </row>
    <row r="114" spans="3:52" ht="12.75" customHeight="1" x14ac:dyDescent="0.2">
      <c r="C114" s="150">
        <f>ROUNDUP((E113-ROUNDDOWN(E113,0))*12,0)+ROUNDDOWN(E113,0)*12</f>
        <v>0</v>
      </c>
      <c r="D114" s="150">
        <f>C114-E114-ROUNDDOWN(E113,0)*12</f>
        <v>-12</v>
      </c>
      <c r="E114" s="150">
        <f>13-MONTH(C112)</f>
        <v>12</v>
      </c>
      <c r="N114" s="107"/>
      <c r="O114" s="112"/>
      <c r="P114" s="112"/>
      <c r="Q114" s="137" t="str">
        <f>INDEX(g_lang_val,MATCH("tb_2_4_3",g_lang_key,0))</f>
        <v>FF4-gæld, ultimo året</v>
      </c>
      <c r="R114" s="138"/>
      <c r="S114" s="141"/>
      <c r="T114" s="136">
        <f t="shared" ref="T114" ca="1" si="321">IF(T111="","",S114+T112-T113)</f>
        <v>0</v>
      </c>
      <c r="U114" s="136">
        <f t="shared" ref="U114" ca="1" si="322">IF(U111="","",T114+U112-U113)</f>
        <v>0</v>
      </c>
      <c r="V114" s="136">
        <f t="shared" ref="V114" ca="1" si="323">IF(V111="","",U114+V112-V113)</f>
        <v>0</v>
      </c>
      <c r="W114" s="136">
        <f t="shared" ref="W114" ca="1" si="324">IF(W111="","",V114+W112-W113)</f>
        <v>0</v>
      </c>
      <c r="X114" s="136">
        <f t="shared" ref="X114" ca="1" si="325">IF(X111="","",W114+X112-X113)</f>
        <v>0</v>
      </c>
      <c r="Y114" s="136" t="str">
        <f t="shared" ref="Y114" ca="1" si="326">IF(Y111="","",X114+Y112-Y113)</f>
        <v/>
      </c>
      <c r="Z114" s="136" t="str">
        <f t="shared" ref="Z114" ca="1" si="327">IF(Z111="","",Y114+Z112-Z113)</f>
        <v/>
      </c>
      <c r="AA114" s="136" t="str">
        <f t="shared" ref="AA114" ca="1" si="328">IF(AA111="","",Z114+AA112-AA113)</f>
        <v/>
      </c>
      <c r="AB114" s="136" t="str">
        <f t="shared" ref="AB114" ca="1" si="329">IF(AB111="","",AA114+AB112-AB113)</f>
        <v/>
      </c>
      <c r="AC114" s="136" t="str">
        <f t="shared" ref="AC114" ca="1" si="330">IF(AC111="","",AB114+AC112-AC113)</f>
        <v/>
      </c>
      <c r="AD114" s="136" t="str">
        <f t="shared" ref="AD114" ca="1" si="331">IF(AD111="","",AC114+AD112-AD113)</f>
        <v/>
      </c>
      <c r="AE114" s="136" t="str">
        <f t="shared" ref="AE114" ca="1" si="332">IF(AE111="","",AD114+AE112-AE113)</f>
        <v/>
      </c>
      <c r="AF114" s="136" t="str">
        <f t="shared" ref="AF114" ca="1" si="333">IF(AF111="","",AE114+AF112-AF113)</f>
        <v/>
      </c>
      <c r="AG114" s="136" t="str">
        <f t="shared" ref="AG114" ca="1" si="334">IF(AG111="","",AF114+AG112-AG113)</f>
        <v/>
      </c>
      <c r="AH114" s="136" t="str">
        <f t="shared" ref="AH114" ca="1" si="335">IF(AH111="","",AG114+AH112-AH113)</f>
        <v/>
      </c>
      <c r="AI114" s="136" t="str">
        <f t="shared" ref="AI114" ca="1" si="336">IF(AI111="","",AH114+AI112-AI113)</f>
        <v/>
      </c>
      <c r="AJ114" s="136" t="str">
        <f t="shared" ref="AJ114" ca="1" si="337">IF(AJ111="","",AI114+AJ112-AJ113)</f>
        <v/>
      </c>
      <c r="AK114" s="136" t="str">
        <f t="shared" ref="AK114" ca="1" si="338">IF(AK111="","",AJ114+AK112-AK113)</f>
        <v/>
      </c>
      <c r="AL114" s="136" t="str">
        <f t="shared" ref="AL114" ca="1" si="339">IF(AL111="","",AK114+AL112-AL113)</f>
        <v/>
      </c>
      <c r="AM114" s="136" t="str">
        <f t="shared" ref="AM114" ca="1" si="340">IF(AM111="","",AL114+AM112-AM113)</f>
        <v/>
      </c>
      <c r="AN114" s="136" t="str">
        <f t="shared" ref="AN114" ca="1" si="341">IF(AN111="","",AM114+AN112-AN113)</f>
        <v/>
      </c>
      <c r="AO114" s="136" t="str">
        <f t="shared" ref="AO114" ca="1" si="342">IF(AO111="","",AN114+AO112-AO113)</f>
        <v/>
      </c>
      <c r="AP114" s="136" t="str">
        <f t="shared" ref="AP114" ca="1" si="343">IF(AP111="","",AO114+AP112-AP113)</f>
        <v/>
      </c>
      <c r="AQ114" s="136" t="str">
        <f t="shared" ref="AQ114" ca="1" si="344">IF(AQ111="","",AP114+AQ112-AQ113)</f>
        <v/>
      </c>
      <c r="AR114" s="136" t="str">
        <f t="shared" ref="AR114" ca="1" si="345">IF(AR111="","",AQ114+AR112-AR113)</f>
        <v/>
      </c>
      <c r="AS114" s="136" t="str">
        <f t="shared" ref="AS114" ca="1" si="346">IF(AS111="","",AR114+AS112-AS113)</f>
        <v/>
      </c>
      <c r="AT114" s="136" t="str">
        <f t="shared" ref="AT114" ca="1" si="347">IF(AT111="","",AS114+AT112-AT113)</f>
        <v/>
      </c>
      <c r="AU114" s="136" t="str">
        <f t="shared" ref="AU114" ca="1" si="348">IF(AU111="","",AT114+AU112-AU113)</f>
        <v/>
      </c>
      <c r="AV114" s="136" t="str">
        <f t="shared" ref="AV114" ca="1" si="349">IF(AV111="","",AU114+AV112-AV113)</f>
        <v/>
      </c>
      <c r="AW114" s="136" t="str">
        <f t="shared" ref="AW114" ca="1" si="350">IF(AW111="","",AV114+AW112-AW113)</f>
        <v/>
      </c>
      <c r="AX114" s="112"/>
      <c r="AY114" s="112"/>
      <c r="AZ114" s="109"/>
    </row>
    <row r="115" spans="3:52" ht="12.75" customHeight="1" x14ac:dyDescent="0.2">
      <c r="N115" s="107"/>
      <c r="O115" s="112"/>
      <c r="P115" s="112"/>
      <c r="Q115" s="137" t="str">
        <f>INDEX(g_lang_val,MATCH("tb_2_4_4",g_lang_key,0))</f>
        <v>Renter (FF4)</v>
      </c>
      <c r="R115" s="138"/>
      <c r="S115" s="141">
        <f ca="1">SUM(T115:BG115)</f>
        <v>0</v>
      </c>
      <c r="T115" s="136">
        <f t="shared" ref="T115" ca="1" si="351">IF(T111="","",g_interest_FF4*(S114+(T112/2)-(T113/2)))</f>
        <v>0</v>
      </c>
      <c r="U115" s="136">
        <f t="shared" ref="U115" ca="1" si="352">IF(U111="","",g_interest_FF4*(T114+(U112/2)-(U113/2)))</f>
        <v>0</v>
      </c>
      <c r="V115" s="136">
        <f t="shared" ref="V115" ca="1" si="353">IF(V111="","",g_interest_FF4*(U114+(V112/2)-(V113/2)))</f>
        <v>0</v>
      </c>
      <c r="W115" s="136">
        <f t="shared" ref="W115" ca="1" si="354">IF(W111="","",g_interest_FF4*(V114+(W112/2)-(W113/2)))</f>
        <v>0</v>
      </c>
      <c r="X115" s="136">
        <f t="shared" ref="X115" ca="1" si="355">IF(X111="","",g_interest_FF4*(W114+(X112/2)-(X113/2)))</f>
        <v>0</v>
      </c>
      <c r="Y115" s="136" t="str">
        <f t="shared" ref="Y115" ca="1" si="356">IF(Y111="","",g_interest_FF4*(X114+(Y112/2)-(Y113/2)))</f>
        <v/>
      </c>
      <c r="Z115" s="136" t="str">
        <f t="shared" ref="Z115" ca="1" si="357">IF(Z111="","",g_interest_FF4*(Y114+(Z112/2)-(Z113/2)))</f>
        <v/>
      </c>
      <c r="AA115" s="136" t="str">
        <f t="shared" ref="AA115" ca="1" si="358">IF(AA111="","",g_interest_FF4*(Z114+(AA112/2)-(AA113/2)))</f>
        <v/>
      </c>
      <c r="AB115" s="136" t="str">
        <f t="shared" ref="AB115" ca="1" si="359">IF(AB111="","",g_interest_FF4*(AA114+(AB112/2)-(AB113/2)))</f>
        <v/>
      </c>
      <c r="AC115" s="136" t="str">
        <f t="shared" ref="AC115" ca="1" si="360">IF(AC111="","",g_interest_FF4*(AB114+(AC112/2)-(AC113/2)))</f>
        <v/>
      </c>
      <c r="AD115" s="136" t="str">
        <f t="shared" ref="AD115" ca="1" si="361">IF(AD111="","",g_interest_FF4*(AC114+(AD112/2)-(AD113/2)))</f>
        <v/>
      </c>
      <c r="AE115" s="136" t="str">
        <f t="shared" ref="AE115" ca="1" si="362">IF(AE111="","",g_interest_FF4*(AD114+(AE112/2)-(AE113/2)))</f>
        <v/>
      </c>
      <c r="AF115" s="136" t="str">
        <f t="shared" ref="AF115" ca="1" si="363">IF(AF111="","",g_interest_FF4*(AE114+(AF112/2)-(AF113/2)))</f>
        <v/>
      </c>
      <c r="AG115" s="136" t="str">
        <f t="shared" ref="AG115" ca="1" si="364">IF(AG111="","",g_interest_FF4*(AF114+(AG112/2)-(AG113/2)))</f>
        <v/>
      </c>
      <c r="AH115" s="136" t="str">
        <f t="shared" ref="AH115" ca="1" si="365">IF(AH111="","",g_interest_FF4*(AG114+(AH112/2)-(AH113/2)))</f>
        <v/>
      </c>
      <c r="AI115" s="136" t="str">
        <f t="shared" ref="AI115" ca="1" si="366">IF(AI111="","",g_interest_FF4*(AH114+(AI112/2)-(AI113/2)))</f>
        <v/>
      </c>
      <c r="AJ115" s="136" t="str">
        <f t="shared" ref="AJ115" ca="1" si="367">IF(AJ111="","",g_interest_FF4*(AI114+(AJ112/2)-(AJ113/2)))</f>
        <v/>
      </c>
      <c r="AK115" s="136" t="str">
        <f t="shared" ref="AK115" ca="1" si="368">IF(AK111="","",g_interest_FF4*(AJ114+(AK112/2)-(AK113/2)))</f>
        <v/>
      </c>
      <c r="AL115" s="136" t="str">
        <f t="shared" ref="AL115" ca="1" si="369">IF(AL111="","",g_interest_FF4*(AK114+(AL112/2)-(AL113/2)))</f>
        <v/>
      </c>
      <c r="AM115" s="136" t="str">
        <f t="shared" ref="AM115" ca="1" si="370">IF(AM111="","",g_interest_FF4*(AL114+(AM112/2)-(AM113/2)))</f>
        <v/>
      </c>
      <c r="AN115" s="136" t="str">
        <f t="shared" ref="AN115" ca="1" si="371">IF(AN111="","",g_interest_FF4*(AM114+(AN112/2)-(AN113/2)))</f>
        <v/>
      </c>
      <c r="AO115" s="136" t="str">
        <f t="shared" ref="AO115" ca="1" si="372">IF(AO111="","",g_interest_FF4*(AN114+(AO112/2)-(AO113/2)))</f>
        <v/>
      </c>
      <c r="AP115" s="136" t="str">
        <f t="shared" ref="AP115" ca="1" si="373">IF(AP111="","",g_interest_FF4*(AO114+(AP112/2)-(AP113/2)))</f>
        <v/>
      </c>
      <c r="AQ115" s="136" t="str">
        <f t="shared" ref="AQ115" ca="1" si="374">IF(AQ111="","",g_interest_FF4*(AP114+(AQ112/2)-(AQ113/2)))</f>
        <v/>
      </c>
      <c r="AR115" s="136" t="str">
        <f t="shared" ref="AR115" ca="1" si="375">IF(AR111="","",g_interest_FF4*(AQ114+(AR112/2)-(AR113/2)))</f>
        <v/>
      </c>
      <c r="AS115" s="136" t="str">
        <f t="shared" ref="AS115" ca="1" si="376">IF(AS111="","",g_interest_FF4*(AR114+(AS112/2)-(AS113/2)))</f>
        <v/>
      </c>
      <c r="AT115" s="136" t="str">
        <f t="shared" ref="AT115" ca="1" si="377">IF(AT111="","",g_interest_FF4*(AS114+(AT112/2)-(AT113/2)))</f>
        <v/>
      </c>
      <c r="AU115" s="136" t="str">
        <f t="shared" ref="AU115" ca="1" si="378">IF(AU111="","",g_interest_FF4*(AT114+(AU112/2)-(AU113/2)))</f>
        <v/>
      </c>
      <c r="AV115" s="136" t="str">
        <f t="shared" ref="AV115" ca="1" si="379">IF(AV111="","",g_interest_FF4*(AU114+(AV112/2)-(AV113/2)))</f>
        <v/>
      </c>
      <c r="AW115" s="136" t="str">
        <f t="shared" ref="AW115" ca="1" si="380">IF(AW111="","",g_interest_FF4*(AV114+(AW112/2)-(AW113/2)))</f>
        <v/>
      </c>
      <c r="AX115" s="112"/>
      <c r="AY115" s="112"/>
      <c r="AZ115" s="109"/>
    </row>
    <row r="116" spans="3:52" ht="12.75" customHeight="1" x14ac:dyDescent="0.2">
      <c r="N116" s="107"/>
      <c r="O116" s="112"/>
      <c r="P116" s="112"/>
      <c r="Q116" s="140" t="str">
        <f>INDEX(g_assets_sc_1,7)</f>
        <v/>
      </c>
      <c r="R116" s="140"/>
      <c r="S116" s="135"/>
      <c r="T116" s="147">
        <f ca="1">T$95</f>
        <v>2024</v>
      </c>
      <c r="U116" s="147">
        <f t="shared" ref="U116:AW116" ca="1" si="381">U$95</f>
        <v>2025</v>
      </c>
      <c r="V116" s="147">
        <f t="shared" ca="1" si="381"/>
        <v>2026</v>
      </c>
      <c r="W116" s="147">
        <f t="shared" ca="1" si="381"/>
        <v>2027</v>
      </c>
      <c r="X116" s="147">
        <f t="shared" ca="1" si="381"/>
        <v>2028</v>
      </c>
      <c r="Y116" s="147" t="str">
        <f t="shared" ca="1" si="381"/>
        <v/>
      </c>
      <c r="Z116" s="147" t="str">
        <f t="shared" ca="1" si="381"/>
        <v/>
      </c>
      <c r="AA116" s="147" t="str">
        <f t="shared" ca="1" si="381"/>
        <v/>
      </c>
      <c r="AB116" s="147" t="str">
        <f t="shared" ca="1" si="381"/>
        <v/>
      </c>
      <c r="AC116" s="147" t="str">
        <f t="shared" ca="1" si="381"/>
        <v/>
      </c>
      <c r="AD116" s="147" t="str">
        <f t="shared" ca="1" si="381"/>
        <v/>
      </c>
      <c r="AE116" s="147" t="str">
        <f t="shared" ca="1" si="381"/>
        <v/>
      </c>
      <c r="AF116" s="147" t="str">
        <f t="shared" ca="1" si="381"/>
        <v/>
      </c>
      <c r="AG116" s="147" t="str">
        <f t="shared" ca="1" si="381"/>
        <v/>
      </c>
      <c r="AH116" s="147" t="str">
        <f t="shared" ca="1" si="381"/>
        <v/>
      </c>
      <c r="AI116" s="147" t="str">
        <f t="shared" ca="1" si="381"/>
        <v/>
      </c>
      <c r="AJ116" s="147" t="str">
        <f t="shared" ca="1" si="381"/>
        <v/>
      </c>
      <c r="AK116" s="147" t="str">
        <f t="shared" ca="1" si="381"/>
        <v/>
      </c>
      <c r="AL116" s="147" t="str">
        <f t="shared" ca="1" si="381"/>
        <v/>
      </c>
      <c r="AM116" s="147" t="str">
        <f t="shared" ca="1" si="381"/>
        <v/>
      </c>
      <c r="AN116" s="147" t="str">
        <f t="shared" ca="1" si="381"/>
        <v/>
      </c>
      <c r="AO116" s="147" t="str">
        <f t="shared" ca="1" si="381"/>
        <v/>
      </c>
      <c r="AP116" s="147" t="str">
        <f t="shared" ca="1" si="381"/>
        <v/>
      </c>
      <c r="AQ116" s="147" t="str">
        <f t="shared" ca="1" si="381"/>
        <v/>
      </c>
      <c r="AR116" s="147" t="str">
        <f t="shared" ca="1" si="381"/>
        <v/>
      </c>
      <c r="AS116" s="147" t="str">
        <f t="shared" ca="1" si="381"/>
        <v/>
      </c>
      <c r="AT116" s="147" t="str">
        <f t="shared" ca="1" si="381"/>
        <v/>
      </c>
      <c r="AU116" s="147" t="str">
        <f t="shared" ca="1" si="381"/>
        <v/>
      </c>
      <c r="AV116" s="147" t="str">
        <f t="shared" ca="1" si="381"/>
        <v/>
      </c>
      <c r="AW116" s="147" t="str">
        <f t="shared" ca="1" si="381"/>
        <v/>
      </c>
      <c r="AX116" s="112"/>
      <c r="AY116" s="112"/>
      <c r="AZ116" s="109"/>
    </row>
    <row r="117" spans="3:52" ht="12.75" customHeight="1" x14ac:dyDescent="0.2">
      <c r="C117" s="148">
        <f>INDEX(g_sc_1_assets_dates,G117)</f>
        <v>0</v>
      </c>
      <c r="G117" s="149">
        <v>5</v>
      </c>
      <c r="N117" s="107"/>
      <c r="O117" s="112"/>
      <c r="P117" s="112"/>
      <c r="Q117" s="137" t="str">
        <f>INDEX(g_lang_val,MATCH("tb_2_4_1",g_lang_key,0))</f>
        <v>Køb af anlægsaktiver</v>
      </c>
      <c r="R117" s="138"/>
      <c r="S117" s="141">
        <f ca="1">SUM(T117:BG117)</f>
        <v>0</v>
      </c>
      <c r="T117" s="136">
        <f ca="1">IF(T116="","",SUMPRODUCT(--(Leverancer!$F$28:$F$48=($G117+2)),Leverancer!G$28:G$48)/1000)</f>
        <v>0</v>
      </c>
      <c r="U117" s="136">
        <f ca="1">IF(U116="","",SUMPRODUCT(--(Leverancer!$F$28:$F$48=($G117+2)),Leverancer!H$28:H$48)/1000)</f>
        <v>0</v>
      </c>
      <c r="V117" s="136">
        <f ca="1">IF(V116="","",SUMPRODUCT(--(Leverancer!$F$28:$F$48=($G117+2)),Leverancer!I$28:I$48)/1000)</f>
        <v>0</v>
      </c>
      <c r="W117" s="136">
        <f ca="1">IF(W116="","",SUMPRODUCT(--(Leverancer!$F$28:$F$48=($G117+2)),Leverancer!J$28:J$48)/1000)</f>
        <v>0</v>
      </c>
      <c r="X117" s="136">
        <f ca="1">IF(X116="","",SUMPRODUCT(--(Leverancer!$F$28:$F$48=($G117+2)),Leverancer!K$28:K$48)/1000)</f>
        <v>0</v>
      </c>
      <c r="Y117" s="136" t="str">
        <f ca="1">IF(Y116="","",SUMPRODUCT(--(Leverancer!$F$28:$F$48=($G117+2)),Leverancer!L$28:L$48)/1000)</f>
        <v/>
      </c>
      <c r="Z117" s="136" t="str">
        <f ca="1">IF(Z116="","",SUMPRODUCT(--(Leverancer!$F$28:$F$48=($G117+2)),Leverancer!M$28:M$48)/1000)</f>
        <v/>
      </c>
      <c r="AA117" s="136" t="str">
        <f ca="1">IF(AA116="","",SUMPRODUCT(--(Leverancer!$F$28:$F$48=($G117+2)),Leverancer!N$28:N$48)/1000)</f>
        <v/>
      </c>
      <c r="AB117" s="136" t="str">
        <f ca="1">IF(AB116="","",SUMPRODUCT(--(Leverancer!$F$28:$F$48=($G117+2)),Leverancer!O$28:O$48)/1000)</f>
        <v/>
      </c>
      <c r="AC117" s="136" t="str">
        <f ca="1">IF(AC116="","",SUMPRODUCT(--(Leverancer!$F$28:$F$48=($G117+2)),Leverancer!P$28:P$48)/1000)</f>
        <v/>
      </c>
      <c r="AD117" s="136" t="str">
        <f ca="1">IF(AD116="","",SUMPRODUCT(--(Leverancer!$F$28:$F$48=($G117+2)),Leverancer!Q$28:Q$48)/1000)</f>
        <v/>
      </c>
      <c r="AE117" s="136" t="str">
        <f ca="1">IF(AE116="","",SUMPRODUCT(--(Leverancer!$F$28:$F$48=($G117+2)),Leverancer!R$28:R$48)/1000)</f>
        <v/>
      </c>
      <c r="AF117" s="136" t="str">
        <f ca="1">IF(AF116="","",SUMPRODUCT(--(Leverancer!$F$28:$F$48=($G117+2)),Leverancer!S$28:S$48)/1000)</f>
        <v/>
      </c>
      <c r="AG117" s="136" t="str">
        <f ca="1">IF(AG116="","",SUMPRODUCT(--(Leverancer!$F$28:$F$48=($G117+2)),Leverancer!T$28:T$48)/1000)</f>
        <v/>
      </c>
      <c r="AH117" s="136" t="str">
        <f ca="1">IF(AH116="","",SUMPRODUCT(--(Leverancer!$F$28:$F$48=($G117+2)),Leverancer!U$28:U$48)/1000)</f>
        <v/>
      </c>
      <c r="AI117" s="136" t="str">
        <f ca="1">IF(AI116="","",SUMPRODUCT(--(Leverancer!$F$28:$F$48=($G117+2)),Leverancer!V$28:V$48)/1000)</f>
        <v/>
      </c>
      <c r="AJ117" s="136" t="str">
        <f ca="1">IF(AJ116="","",SUMPRODUCT(--(Leverancer!$F$28:$F$48=($G117+2)),Leverancer!W$28:W$48)/1000)</f>
        <v/>
      </c>
      <c r="AK117" s="136" t="str">
        <f ca="1">IF(AK116="","",SUMPRODUCT(--(Leverancer!$F$28:$F$48=($G117+2)),Leverancer!X$28:X$48)/1000)</f>
        <v/>
      </c>
      <c r="AL117" s="136" t="str">
        <f ca="1">IF(AL116="","",SUMPRODUCT(--(Leverancer!$F$28:$F$48=($G117+2)),Leverancer!Y$28:Y$48)/1000)</f>
        <v/>
      </c>
      <c r="AM117" s="136" t="str">
        <f ca="1">IF(AM116="","",SUMPRODUCT(--(Leverancer!$F$28:$F$48=($G117+2)),Leverancer!Z$28:Z$48)/1000)</f>
        <v/>
      </c>
      <c r="AN117" s="136" t="str">
        <f ca="1">IF(AN116="","",SUMPRODUCT(--(Leverancer!$F$28:$F$48=($G117+2)),Leverancer!AA$28:AA$48)/1000)</f>
        <v/>
      </c>
      <c r="AO117" s="136" t="str">
        <f ca="1">IF(AO116="","",SUMPRODUCT(--(Leverancer!$F$28:$F$48=($G117+2)),Leverancer!AB$28:AB$48)/1000)</f>
        <v/>
      </c>
      <c r="AP117" s="136" t="str">
        <f ca="1">IF(AP116="","",SUMPRODUCT(--(Leverancer!$F$28:$F$48=($G117+2)),Leverancer!AC$28:AC$48)/1000)</f>
        <v/>
      </c>
      <c r="AQ117" s="136" t="str">
        <f ca="1">IF(AQ116="","",SUMPRODUCT(--(Leverancer!$F$28:$F$48=($G117+2)),Leverancer!AD$28:AD$48)/1000)</f>
        <v/>
      </c>
      <c r="AR117" s="136" t="str">
        <f ca="1">IF(AR116="","",SUMPRODUCT(--(Leverancer!$F$28:$F$48=($G117+2)),Leverancer!AE$28:AE$48)/1000)</f>
        <v/>
      </c>
      <c r="AS117" s="136" t="str">
        <f ca="1">IF(AS116="","",SUMPRODUCT(--(Leverancer!$F$28:$F$48=($G117+2)),Leverancer!AF$28:AF$48)/1000)</f>
        <v/>
      </c>
      <c r="AT117" s="136" t="str">
        <f ca="1">IF(AT116="","",SUMPRODUCT(--(Leverancer!$F$28:$F$48=($G117+2)),Leverancer!AG$28:AG$48)/1000)</f>
        <v/>
      </c>
      <c r="AU117" s="136" t="str">
        <f ca="1">IF(AU116="","",SUMPRODUCT(--(Leverancer!$F$28:$F$48=($G117+2)),Leverancer!AH$28:AH$48)/1000)</f>
        <v/>
      </c>
      <c r="AV117" s="136" t="str">
        <f ca="1">IF(AV116="","",SUMPRODUCT(--(Leverancer!$F$28:$F$48=($G117+2)),Leverancer!AI$28:AI$48)/1000)</f>
        <v/>
      </c>
      <c r="AW117" s="136" t="str">
        <f ca="1">IF(AW116="","",SUMPRODUCT(--(Leverancer!$F$28:$F$48=($G117+2)),Leverancer!AJ$28:AJ$48)/1000)</f>
        <v/>
      </c>
      <c r="AX117" s="112"/>
      <c r="AY117" s="112"/>
      <c r="AZ117" s="109"/>
    </row>
    <row r="118" spans="3:52" ht="12.75" customHeight="1" x14ac:dyDescent="0.2">
      <c r="C118" s="150">
        <f>IFERROR(YEAR(C117),"")</f>
        <v>1900</v>
      </c>
      <c r="D118" s="150">
        <f>IFERROR(MONTH(C117),"")</f>
        <v>1</v>
      </c>
      <c r="E118" s="150">
        <f>INDEX(g_sc_1_assets_years,G117)</f>
        <v>0</v>
      </c>
      <c r="N118" s="107"/>
      <c r="O118" s="112"/>
      <c r="P118" s="112"/>
      <c r="Q118" s="137" t="str">
        <f>INDEX(g_lang_val,MATCH("tb_2_4_2",g_lang_key,0))</f>
        <v>Afskrivninger</v>
      </c>
      <c r="R118" s="138"/>
      <c r="S118" s="141">
        <f ca="1">SUM(T118:BG118)</f>
        <v>0</v>
      </c>
      <c r="T118" s="136">
        <f t="shared" ref="T118" ca="1" si="382">IF(T116="","",IF(T116&lt;$C118,0,IF(T116=$C118,T117/$C119*$E119+S119/$C119*$E119,IF(AND(T116&gt;$C118,T116&lt;ROUNDDOWN(($C118+($D118+$C119-1)/12),0)),(T117/2+S119)/($C119-$E119-12*(T116-$C118-1))*12,IF(AND($D119&lt;0,T116=ROUNDDOWN(($C118+($D118+$C119-1)/12),0)),S119,IF(T116=ROUNDDOWN(($C118+($D118+$C119-1)/12),0),(T117+S119)/$C119*($D119+(T116-$C118-1)*12+$E119),IF(T116&gt;ROUNDDOWN(($C118+($D118+$C119)/12),0),0,0)))))))</f>
        <v>0</v>
      </c>
      <c r="U118" s="136">
        <f t="shared" ref="U118" ca="1" si="383">IF(U116="","",IF(U116&lt;$C118,0,IF(U116=$C118,U117/$C119*$E119+T119/$C119*$E119,IF(AND(U116&gt;$C118,U116&lt;ROUNDDOWN(($C118+($D118+$C119-1)/12),0)),(U117/2+T119)/($C119-$E119-12*(U116-$C118-1))*12,IF(AND($D119&lt;0,U116=ROUNDDOWN(($C118+($D118+$C119-1)/12),0)),T119,IF(U116=ROUNDDOWN(($C118+($D118+$C119-1)/12),0),(U117+T119)/$C119*($D119+(U116-$C118-1)*12+$E119),IF(U116&gt;ROUNDDOWN(($C118+($D118+$C119)/12),0),0,0)))))))</f>
        <v>0</v>
      </c>
      <c r="V118" s="136">
        <f t="shared" ref="V118" ca="1" si="384">IF(V116="","",IF(V116&lt;$C118,0,IF(V116=$C118,V117/$C119*$E119+U119/$C119*$E119,IF(AND(V116&gt;$C118,V116&lt;ROUNDDOWN(($C118+($D118+$C119-1)/12),0)),(V117/2+U119)/($C119-$E119-12*(V116-$C118-1))*12,IF(AND($D119&lt;0,V116=ROUNDDOWN(($C118+($D118+$C119-1)/12),0)),U119,IF(V116=ROUNDDOWN(($C118+($D118+$C119-1)/12),0),(V117+U119)/$C119*($D119+(V116-$C118-1)*12+$E119),IF(V116&gt;ROUNDDOWN(($C118+($D118+$C119)/12),0),0,0)))))))</f>
        <v>0</v>
      </c>
      <c r="W118" s="136">
        <f t="shared" ref="W118" ca="1" si="385">IF(W116="","",IF(W116&lt;$C118,0,IF(W116=$C118,W117/$C119*$E119+V119/$C119*$E119,IF(AND(W116&gt;$C118,W116&lt;ROUNDDOWN(($C118+($D118+$C119-1)/12),0)),(W117/2+V119)/($C119-$E119-12*(W116-$C118-1))*12,IF(AND($D119&lt;0,W116=ROUNDDOWN(($C118+($D118+$C119-1)/12),0)),V119,IF(W116=ROUNDDOWN(($C118+($D118+$C119-1)/12),0),(W117+V119)/$C119*($D119+(W116-$C118-1)*12+$E119),IF(W116&gt;ROUNDDOWN(($C118+($D118+$C119)/12),0),0,0)))))))</f>
        <v>0</v>
      </c>
      <c r="X118" s="136">
        <f t="shared" ref="X118" ca="1" si="386">IF(X116="","",IF(X116&lt;$C118,0,IF(X116=$C118,X117/$C119*$E119+W119/$C119*$E119,IF(AND(X116&gt;$C118,X116&lt;ROUNDDOWN(($C118+($D118+$C119-1)/12),0)),(X117/2+W119)/($C119-$E119-12*(X116-$C118-1))*12,IF(AND($D119&lt;0,X116=ROUNDDOWN(($C118+($D118+$C119-1)/12),0)),W119,IF(X116=ROUNDDOWN(($C118+($D118+$C119-1)/12),0),(X117+W119)/$C119*($D119+(X116-$C118-1)*12+$E119),IF(X116&gt;ROUNDDOWN(($C118+($D118+$C119)/12),0),0,0)))))))</f>
        <v>0</v>
      </c>
      <c r="Y118" s="136" t="str">
        <f t="shared" ref="Y118" ca="1" si="387">IF(Y116="","",IF(Y116&lt;$C118,0,IF(Y116=$C118,Y117/$C119*$E119+X119/$C119*$E119,IF(AND(Y116&gt;$C118,Y116&lt;ROUNDDOWN(($C118+($D118+$C119-1)/12),0)),(Y117/2+X119)/($C119-$E119-12*(Y116-$C118-1))*12,IF(AND($D119&lt;0,Y116=ROUNDDOWN(($C118+($D118+$C119-1)/12),0)),X119,IF(Y116=ROUNDDOWN(($C118+($D118+$C119-1)/12),0),(Y117+X119)/$C119*($D119+(Y116-$C118-1)*12+$E119),IF(Y116&gt;ROUNDDOWN(($C118+($D118+$C119)/12),0),0,0)))))))</f>
        <v/>
      </c>
      <c r="Z118" s="136" t="str">
        <f t="shared" ref="Z118" ca="1" si="388">IF(Z116="","",IF(Z116&lt;$C118,0,IF(Z116=$C118,Z117/$C119*$E119+Y119/$C119*$E119,IF(AND(Z116&gt;$C118,Z116&lt;ROUNDDOWN(($C118+($D118+$C119-1)/12),0)),(Z117/2+Y119)/($C119-$E119-12*(Z116-$C118-1))*12,IF(AND($D119&lt;0,Z116=ROUNDDOWN(($C118+($D118+$C119-1)/12),0)),Y119,IF(Z116=ROUNDDOWN(($C118+($D118+$C119-1)/12),0),(Z117+Y119)/$C119*($D119+(Z116-$C118-1)*12+$E119),IF(Z116&gt;ROUNDDOWN(($C118+($D118+$C119)/12),0),0,0)))))))</f>
        <v/>
      </c>
      <c r="AA118" s="136" t="str">
        <f t="shared" ref="AA118" ca="1" si="389">IF(AA116="","",IF(AA116&lt;$C118,0,IF(AA116=$C118,AA117/$C119*$E119+Z119/$C119*$E119,IF(AND(AA116&gt;$C118,AA116&lt;ROUNDDOWN(($C118+($D118+$C119-1)/12),0)),(AA117/2+Z119)/($C119-$E119-12*(AA116-$C118-1))*12,IF(AND($D119&lt;0,AA116=ROUNDDOWN(($C118+($D118+$C119-1)/12),0)),Z119,IF(AA116=ROUNDDOWN(($C118+($D118+$C119-1)/12),0),(AA117+Z119)/$C119*($D119+(AA116-$C118-1)*12+$E119),IF(AA116&gt;ROUNDDOWN(($C118+($D118+$C119)/12),0),0,0)))))))</f>
        <v/>
      </c>
      <c r="AB118" s="136" t="str">
        <f t="shared" ref="AB118" ca="1" si="390">IF(AB116="","",IF(AB116&lt;$C118,0,IF(AB116=$C118,AB117/$C119*$E119+AA119/$C119*$E119,IF(AND(AB116&gt;$C118,AB116&lt;ROUNDDOWN(($C118+($D118+$C119-1)/12),0)),(AB117/2+AA119)/($C119-$E119-12*(AB116-$C118-1))*12,IF(AND($D119&lt;0,AB116=ROUNDDOWN(($C118+($D118+$C119-1)/12),0)),AA119,IF(AB116=ROUNDDOWN(($C118+($D118+$C119-1)/12),0),(AB117+AA119)/$C119*($D119+(AB116-$C118-1)*12+$E119),IF(AB116&gt;ROUNDDOWN(($C118+($D118+$C119)/12),0),0,0)))))))</f>
        <v/>
      </c>
      <c r="AC118" s="136" t="str">
        <f t="shared" ref="AC118" ca="1" si="391">IF(AC116="","",IF(AC116&lt;$C118,0,IF(AC116=$C118,AC117/$C119*$E119+AB119/$C119*$E119,IF(AND(AC116&gt;$C118,AC116&lt;ROUNDDOWN(($C118+($D118+$C119-1)/12),0)),(AC117/2+AB119)/($C119-$E119-12*(AC116-$C118-1))*12,IF(AND($D119&lt;0,AC116=ROUNDDOWN(($C118+($D118+$C119-1)/12),0)),AB119,IF(AC116=ROUNDDOWN(($C118+($D118+$C119-1)/12),0),(AC117+AB119)/$C119*($D119+(AC116-$C118-1)*12+$E119),IF(AC116&gt;ROUNDDOWN(($C118+($D118+$C119)/12),0),0,0)))))))</f>
        <v/>
      </c>
      <c r="AD118" s="136" t="str">
        <f t="shared" ref="AD118" ca="1" si="392">IF(AD116="","",IF(AD116&lt;$C118,0,IF(AD116=$C118,AD117/$C119*$E119+AC119/$C119*$E119,IF(AND(AD116&gt;$C118,AD116&lt;ROUNDDOWN(($C118+($D118+$C119-1)/12),0)),(AD117/2+AC119)/($C119-$E119-12*(AD116-$C118-1))*12,IF(AND($D119&lt;0,AD116=ROUNDDOWN(($C118+($D118+$C119-1)/12),0)),AC119,IF(AD116=ROUNDDOWN(($C118+($D118+$C119-1)/12),0),(AD117+AC119)/$C119*($D119+(AD116-$C118-1)*12+$E119),IF(AD116&gt;ROUNDDOWN(($C118+($D118+$C119)/12),0),0,0)))))))</f>
        <v/>
      </c>
      <c r="AE118" s="136" t="str">
        <f t="shared" ref="AE118" ca="1" si="393">IF(AE116="","",IF(AE116&lt;$C118,0,IF(AE116=$C118,AE117/$C119*$E119+AD119/$C119*$E119,IF(AND(AE116&gt;$C118,AE116&lt;ROUNDDOWN(($C118+($D118+$C119-1)/12),0)),(AE117/2+AD119)/($C119-$E119-12*(AE116-$C118-1))*12,IF(AND($D119&lt;0,AE116=ROUNDDOWN(($C118+($D118+$C119-1)/12),0)),AD119,IF(AE116=ROUNDDOWN(($C118+($D118+$C119-1)/12),0),(AE117+AD119)/$C119*($D119+(AE116-$C118-1)*12+$E119),IF(AE116&gt;ROUNDDOWN(($C118+($D118+$C119)/12),0),0,0)))))))</f>
        <v/>
      </c>
      <c r="AF118" s="136" t="str">
        <f t="shared" ref="AF118" ca="1" si="394">IF(AF116="","",IF(AF116&lt;$C118,0,IF(AF116=$C118,AF117/$C119*$E119+AE119/$C119*$E119,IF(AND(AF116&gt;$C118,AF116&lt;ROUNDDOWN(($C118+($D118+$C119-1)/12),0)),(AF117/2+AE119)/($C119-$E119-12*(AF116-$C118-1))*12,IF(AND($D119&lt;0,AF116=ROUNDDOWN(($C118+($D118+$C119-1)/12),0)),AE119,IF(AF116=ROUNDDOWN(($C118+($D118+$C119-1)/12),0),(AF117+AE119)/$C119*($D119+(AF116-$C118-1)*12+$E119),IF(AF116&gt;ROUNDDOWN(($C118+($D118+$C119)/12),0),0,0)))))))</f>
        <v/>
      </c>
      <c r="AG118" s="136" t="str">
        <f t="shared" ref="AG118" ca="1" si="395">IF(AG116="","",IF(AG116&lt;$C118,0,IF(AG116=$C118,AG117/$C119*$E119+AF119/$C119*$E119,IF(AND(AG116&gt;$C118,AG116&lt;ROUNDDOWN(($C118+($D118+$C119-1)/12),0)),(AG117/2+AF119)/($C119-$E119-12*(AG116-$C118-1))*12,IF(AND($D119&lt;0,AG116=ROUNDDOWN(($C118+($D118+$C119-1)/12),0)),AF119,IF(AG116=ROUNDDOWN(($C118+($D118+$C119-1)/12),0),(AG117+AF119)/$C119*($D119+(AG116-$C118-1)*12+$E119),IF(AG116&gt;ROUNDDOWN(($C118+($D118+$C119)/12),0),0,0)))))))</f>
        <v/>
      </c>
      <c r="AH118" s="136" t="str">
        <f t="shared" ref="AH118" ca="1" si="396">IF(AH116="","",IF(AH116&lt;$C118,0,IF(AH116=$C118,AH117/$C119*$E119+AG119/$C119*$E119,IF(AND(AH116&gt;$C118,AH116&lt;ROUNDDOWN(($C118+($D118+$C119-1)/12),0)),(AH117/2+AG119)/($C119-$E119-12*(AH116-$C118-1))*12,IF(AND($D119&lt;0,AH116=ROUNDDOWN(($C118+($D118+$C119-1)/12),0)),AG119,IF(AH116=ROUNDDOWN(($C118+($D118+$C119-1)/12),0),(AH117+AG119)/$C119*($D119+(AH116-$C118-1)*12+$E119),IF(AH116&gt;ROUNDDOWN(($C118+($D118+$C119)/12),0),0,0)))))))</f>
        <v/>
      </c>
      <c r="AI118" s="136" t="str">
        <f t="shared" ref="AI118" ca="1" si="397">IF(AI116="","",IF(AI116&lt;$C118,0,IF(AI116=$C118,AI117/$C119*$E119+AH119/$C119*$E119,IF(AND(AI116&gt;$C118,AI116&lt;ROUNDDOWN(($C118+($D118+$C119-1)/12),0)),(AI117/2+AH119)/($C119-$E119-12*(AI116-$C118-1))*12,IF(AND($D119&lt;0,AI116=ROUNDDOWN(($C118+($D118+$C119-1)/12),0)),AH119,IF(AI116=ROUNDDOWN(($C118+($D118+$C119-1)/12),0),(AI117+AH119)/$C119*($D119+(AI116-$C118-1)*12+$E119),IF(AI116&gt;ROUNDDOWN(($C118+($D118+$C119)/12),0),0,0)))))))</f>
        <v/>
      </c>
      <c r="AJ118" s="136" t="str">
        <f t="shared" ref="AJ118" ca="1" si="398">IF(AJ116="","",IF(AJ116&lt;$C118,0,IF(AJ116=$C118,AJ117/$C119*$E119+AI119/$C119*$E119,IF(AND(AJ116&gt;$C118,AJ116&lt;ROUNDDOWN(($C118+($D118+$C119-1)/12),0)),(AJ117/2+AI119)/($C119-$E119-12*(AJ116-$C118-1))*12,IF(AND($D119&lt;0,AJ116=ROUNDDOWN(($C118+($D118+$C119-1)/12),0)),AI119,IF(AJ116=ROUNDDOWN(($C118+($D118+$C119-1)/12),0),(AJ117+AI119)/$C119*($D119+(AJ116-$C118-1)*12+$E119),IF(AJ116&gt;ROUNDDOWN(($C118+($D118+$C119)/12),0),0,0)))))))</f>
        <v/>
      </c>
      <c r="AK118" s="136" t="str">
        <f t="shared" ref="AK118" ca="1" si="399">IF(AK116="","",IF(AK116&lt;$C118,0,IF(AK116=$C118,AK117/$C119*$E119+AJ119/$C119*$E119,IF(AND(AK116&gt;$C118,AK116&lt;ROUNDDOWN(($C118+($D118+$C119-1)/12),0)),(AK117/2+AJ119)/($C119-$E119-12*(AK116-$C118-1))*12,IF(AND($D119&lt;0,AK116=ROUNDDOWN(($C118+($D118+$C119-1)/12),0)),AJ119,IF(AK116=ROUNDDOWN(($C118+($D118+$C119-1)/12),0),(AK117+AJ119)/$C119*($D119+(AK116-$C118-1)*12+$E119),IF(AK116&gt;ROUNDDOWN(($C118+($D118+$C119)/12),0),0,0)))))))</f>
        <v/>
      </c>
      <c r="AL118" s="136" t="str">
        <f t="shared" ref="AL118" ca="1" si="400">IF(AL116="","",IF(AL116&lt;$C118,0,IF(AL116=$C118,AL117/$C119*$E119+AK119/$C119*$E119,IF(AND(AL116&gt;$C118,AL116&lt;ROUNDDOWN(($C118+($D118+$C119-1)/12),0)),(AL117/2+AK119)/($C119-$E119-12*(AL116-$C118-1))*12,IF(AND($D119&lt;0,AL116=ROUNDDOWN(($C118+($D118+$C119-1)/12),0)),AK119,IF(AL116=ROUNDDOWN(($C118+($D118+$C119-1)/12),0),(AL117+AK119)/$C119*($D119+(AL116-$C118-1)*12+$E119),IF(AL116&gt;ROUNDDOWN(($C118+($D118+$C119)/12),0),0,0)))))))</f>
        <v/>
      </c>
      <c r="AM118" s="136" t="str">
        <f t="shared" ref="AM118" ca="1" si="401">IF(AM116="","",IF(AM116&lt;$C118,0,IF(AM116=$C118,AM117/$C119*$E119+AL119/$C119*$E119,IF(AND(AM116&gt;$C118,AM116&lt;ROUNDDOWN(($C118+($D118+$C119-1)/12),0)),(AM117/2+AL119)/($C119-$E119-12*(AM116-$C118-1))*12,IF(AND($D119&lt;0,AM116=ROUNDDOWN(($C118+($D118+$C119-1)/12),0)),AL119,IF(AM116=ROUNDDOWN(($C118+($D118+$C119-1)/12),0),(AM117+AL119)/$C119*($D119+(AM116-$C118-1)*12+$E119),IF(AM116&gt;ROUNDDOWN(($C118+($D118+$C119)/12),0),0,0)))))))</f>
        <v/>
      </c>
      <c r="AN118" s="136" t="str">
        <f t="shared" ref="AN118" ca="1" si="402">IF(AN116="","",IF(AN116&lt;$C118,0,IF(AN116=$C118,AN117/$C119*$E119+AM119/$C119*$E119,IF(AND(AN116&gt;$C118,AN116&lt;ROUNDDOWN(($C118+($D118+$C119-1)/12),0)),(AN117/2+AM119)/($C119-$E119-12*(AN116-$C118-1))*12,IF(AND($D119&lt;0,AN116=ROUNDDOWN(($C118+($D118+$C119-1)/12),0)),AM119,IF(AN116=ROUNDDOWN(($C118+($D118+$C119-1)/12),0),(AN117+AM119)/$C119*($D119+(AN116-$C118-1)*12+$E119),IF(AN116&gt;ROUNDDOWN(($C118+($D118+$C119)/12),0),0,0)))))))</f>
        <v/>
      </c>
      <c r="AO118" s="136" t="str">
        <f t="shared" ref="AO118" ca="1" si="403">IF(AO116="","",IF(AO116&lt;$C118,0,IF(AO116=$C118,AO117/$C119*$E119+AN119/$C119*$E119,IF(AND(AO116&gt;$C118,AO116&lt;ROUNDDOWN(($C118+($D118+$C119-1)/12),0)),(AO117/2+AN119)/($C119-$E119-12*(AO116-$C118-1))*12,IF(AND($D119&lt;0,AO116=ROUNDDOWN(($C118+($D118+$C119-1)/12),0)),AN119,IF(AO116=ROUNDDOWN(($C118+($D118+$C119-1)/12),0),(AO117+AN119)/$C119*($D119+(AO116-$C118-1)*12+$E119),IF(AO116&gt;ROUNDDOWN(($C118+($D118+$C119)/12),0),0,0)))))))</f>
        <v/>
      </c>
      <c r="AP118" s="136" t="str">
        <f t="shared" ref="AP118" ca="1" si="404">IF(AP116="","",IF(AP116&lt;$C118,0,IF(AP116=$C118,AP117/$C119*$E119+AO119/$C119*$E119,IF(AND(AP116&gt;$C118,AP116&lt;ROUNDDOWN(($C118+($D118+$C119-1)/12),0)),(AP117/2+AO119)/($C119-$E119-12*(AP116-$C118-1))*12,IF(AND($D119&lt;0,AP116=ROUNDDOWN(($C118+($D118+$C119-1)/12),0)),AO119,IF(AP116=ROUNDDOWN(($C118+($D118+$C119-1)/12),0),(AP117+AO119)/$C119*($D119+(AP116-$C118-1)*12+$E119),IF(AP116&gt;ROUNDDOWN(($C118+($D118+$C119)/12),0),0,0)))))))</f>
        <v/>
      </c>
      <c r="AQ118" s="136" t="str">
        <f t="shared" ref="AQ118" ca="1" si="405">IF(AQ116="","",IF(AQ116&lt;$C118,0,IF(AQ116=$C118,AQ117/$C119*$E119+AP119/$C119*$E119,IF(AND(AQ116&gt;$C118,AQ116&lt;ROUNDDOWN(($C118+($D118+$C119-1)/12),0)),(AQ117/2+AP119)/($C119-$E119-12*(AQ116-$C118-1))*12,IF(AND($D119&lt;0,AQ116=ROUNDDOWN(($C118+($D118+$C119-1)/12),0)),AP119,IF(AQ116=ROUNDDOWN(($C118+($D118+$C119-1)/12),0),(AQ117+AP119)/$C119*($D119+(AQ116-$C118-1)*12+$E119),IF(AQ116&gt;ROUNDDOWN(($C118+($D118+$C119)/12),0),0,0)))))))</f>
        <v/>
      </c>
      <c r="AR118" s="136" t="str">
        <f t="shared" ref="AR118" ca="1" si="406">IF(AR116="","",IF(AR116&lt;$C118,0,IF(AR116=$C118,AR117/$C119*$E119+AQ119/$C119*$E119,IF(AND(AR116&gt;$C118,AR116&lt;ROUNDDOWN(($C118+($D118+$C119-1)/12),0)),(AR117/2+AQ119)/($C119-$E119-12*(AR116-$C118-1))*12,IF(AND($D119&lt;0,AR116=ROUNDDOWN(($C118+($D118+$C119-1)/12),0)),AQ119,IF(AR116=ROUNDDOWN(($C118+($D118+$C119-1)/12),0),(AR117+AQ119)/$C119*($D119+(AR116-$C118-1)*12+$E119),IF(AR116&gt;ROUNDDOWN(($C118+($D118+$C119)/12),0),0,0)))))))</f>
        <v/>
      </c>
      <c r="AS118" s="136" t="str">
        <f t="shared" ref="AS118" ca="1" si="407">IF(AS116="","",IF(AS116&lt;$C118,0,IF(AS116=$C118,AS117/$C119*$E119+AR119/$C119*$E119,IF(AND(AS116&gt;$C118,AS116&lt;ROUNDDOWN(($C118+($D118+$C119-1)/12),0)),(AS117/2+AR119)/($C119-$E119-12*(AS116-$C118-1))*12,IF(AND($D119&lt;0,AS116=ROUNDDOWN(($C118+($D118+$C119-1)/12),0)),AR119,IF(AS116=ROUNDDOWN(($C118+($D118+$C119-1)/12),0),(AS117+AR119)/$C119*($D119+(AS116-$C118-1)*12+$E119),IF(AS116&gt;ROUNDDOWN(($C118+($D118+$C119)/12),0),0,0)))))))</f>
        <v/>
      </c>
      <c r="AT118" s="136" t="str">
        <f t="shared" ref="AT118" ca="1" si="408">IF(AT116="","",IF(AT116&lt;$C118,0,IF(AT116=$C118,AT117/$C119*$E119+AS119/$C119*$E119,IF(AND(AT116&gt;$C118,AT116&lt;ROUNDDOWN(($C118+($D118+$C119-1)/12),0)),(AT117/2+AS119)/($C119-$E119-12*(AT116-$C118-1))*12,IF(AND($D119&lt;0,AT116=ROUNDDOWN(($C118+($D118+$C119-1)/12),0)),AS119,IF(AT116=ROUNDDOWN(($C118+($D118+$C119-1)/12),0),(AT117+AS119)/$C119*($D119+(AT116-$C118-1)*12+$E119),IF(AT116&gt;ROUNDDOWN(($C118+($D118+$C119)/12),0),0,0)))))))</f>
        <v/>
      </c>
      <c r="AU118" s="136" t="str">
        <f t="shared" ref="AU118" ca="1" si="409">IF(AU116="","",IF(AU116&lt;$C118,0,IF(AU116=$C118,AU117/$C119*$E119+AT119/$C119*$E119,IF(AND(AU116&gt;$C118,AU116&lt;ROUNDDOWN(($C118+($D118+$C119-1)/12),0)),(AU117/2+AT119)/($C119-$E119-12*(AU116-$C118-1))*12,IF(AND($D119&lt;0,AU116=ROUNDDOWN(($C118+($D118+$C119-1)/12),0)),AT119,IF(AU116=ROUNDDOWN(($C118+($D118+$C119-1)/12),0),(AU117+AT119)/$C119*($D119+(AU116-$C118-1)*12+$E119),IF(AU116&gt;ROUNDDOWN(($C118+($D118+$C119)/12),0),0,0)))))))</f>
        <v/>
      </c>
      <c r="AV118" s="136" t="str">
        <f t="shared" ref="AV118" ca="1" si="410">IF(AV116="","",IF(AV116&lt;$C118,0,IF(AV116=$C118,AV117/$C119*$E119+AU119/$C119*$E119,IF(AND(AV116&gt;$C118,AV116&lt;ROUNDDOWN(($C118+($D118+$C119-1)/12),0)),(AV117/2+AU119)/($C119-$E119-12*(AV116-$C118-1))*12,IF(AND($D119&lt;0,AV116=ROUNDDOWN(($C118+($D118+$C119-1)/12),0)),AU119,IF(AV116=ROUNDDOWN(($C118+($D118+$C119-1)/12),0),(AV117+AU119)/$C119*($D119+(AV116-$C118-1)*12+$E119),IF(AV116&gt;ROUNDDOWN(($C118+($D118+$C119)/12),0),0,0)))))))</f>
        <v/>
      </c>
      <c r="AW118" s="136" t="str">
        <f t="shared" ref="AW118" ca="1" si="411">IF(AW116="","",IF(AW116&lt;$C118,0,IF(AW116=$C118,AW117/$C119*$E119+AV119/$C119*$E119,IF(AND(AW116&gt;$C118,AW116&lt;ROUNDDOWN(($C118+($D118+$C119-1)/12),0)),(AW117/2+AV119)/($C119-$E119-12*(AW116-$C118-1))*12,IF(AND($D119&lt;0,AW116=ROUNDDOWN(($C118+($D118+$C119-1)/12),0)),AV119,IF(AW116=ROUNDDOWN(($C118+($D118+$C119-1)/12),0),(AW117+AV119)/$C119*($D119+(AW116-$C118-1)*12+$E119),IF(AW116&gt;ROUNDDOWN(($C118+($D118+$C119)/12),0),0,0)))))))</f>
        <v/>
      </c>
      <c r="AX118" s="112"/>
      <c r="AY118" s="112"/>
      <c r="AZ118" s="109"/>
    </row>
    <row r="119" spans="3:52" ht="12.75" customHeight="1" x14ac:dyDescent="0.2">
      <c r="C119" s="150">
        <f>ROUNDUP((E118-ROUNDDOWN(E118,0))*12,0)+ROUNDDOWN(E118,0)*12</f>
        <v>0</v>
      </c>
      <c r="D119" s="150">
        <f>C119-E119-ROUNDDOWN(E118,0)*12</f>
        <v>-12</v>
      </c>
      <c r="E119" s="150">
        <f>13-MONTH(C117)</f>
        <v>12</v>
      </c>
      <c r="N119" s="107"/>
      <c r="O119" s="112"/>
      <c r="P119" s="112"/>
      <c r="Q119" s="137" t="str">
        <f>INDEX(g_lang_val,MATCH("tb_2_4_3",g_lang_key,0))</f>
        <v>FF4-gæld, ultimo året</v>
      </c>
      <c r="R119" s="138"/>
      <c r="S119" s="141"/>
      <c r="T119" s="136">
        <f t="shared" ref="T119" ca="1" si="412">IF(T116="","",S119+T117-T118)</f>
        <v>0</v>
      </c>
      <c r="U119" s="136">
        <f t="shared" ref="U119" ca="1" si="413">IF(U116="","",T119+U117-U118)</f>
        <v>0</v>
      </c>
      <c r="V119" s="136">
        <f t="shared" ref="V119" ca="1" si="414">IF(V116="","",U119+V117-V118)</f>
        <v>0</v>
      </c>
      <c r="W119" s="136">
        <f t="shared" ref="W119" ca="1" si="415">IF(W116="","",V119+W117-W118)</f>
        <v>0</v>
      </c>
      <c r="X119" s="136">
        <f t="shared" ref="X119" ca="1" si="416">IF(X116="","",W119+X117-X118)</f>
        <v>0</v>
      </c>
      <c r="Y119" s="136" t="str">
        <f t="shared" ref="Y119" ca="1" si="417">IF(Y116="","",X119+Y117-Y118)</f>
        <v/>
      </c>
      <c r="Z119" s="136" t="str">
        <f t="shared" ref="Z119" ca="1" si="418">IF(Z116="","",Y119+Z117-Z118)</f>
        <v/>
      </c>
      <c r="AA119" s="136" t="str">
        <f t="shared" ref="AA119" ca="1" si="419">IF(AA116="","",Z119+AA117-AA118)</f>
        <v/>
      </c>
      <c r="AB119" s="136" t="str">
        <f t="shared" ref="AB119" ca="1" si="420">IF(AB116="","",AA119+AB117-AB118)</f>
        <v/>
      </c>
      <c r="AC119" s="136" t="str">
        <f t="shared" ref="AC119" ca="1" si="421">IF(AC116="","",AB119+AC117-AC118)</f>
        <v/>
      </c>
      <c r="AD119" s="136" t="str">
        <f t="shared" ref="AD119" ca="1" si="422">IF(AD116="","",AC119+AD117-AD118)</f>
        <v/>
      </c>
      <c r="AE119" s="136" t="str">
        <f t="shared" ref="AE119" ca="1" si="423">IF(AE116="","",AD119+AE117-AE118)</f>
        <v/>
      </c>
      <c r="AF119" s="136" t="str">
        <f t="shared" ref="AF119" ca="1" si="424">IF(AF116="","",AE119+AF117-AF118)</f>
        <v/>
      </c>
      <c r="AG119" s="136" t="str">
        <f t="shared" ref="AG119" ca="1" si="425">IF(AG116="","",AF119+AG117-AG118)</f>
        <v/>
      </c>
      <c r="AH119" s="136" t="str">
        <f t="shared" ref="AH119" ca="1" si="426">IF(AH116="","",AG119+AH117-AH118)</f>
        <v/>
      </c>
      <c r="AI119" s="136" t="str">
        <f t="shared" ref="AI119" ca="1" si="427">IF(AI116="","",AH119+AI117-AI118)</f>
        <v/>
      </c>
      <c r="AJ119" s="136" t="str">
        <f t="shared" ref="AJ119" ca="1" si="428">IF(AJ116="","",AI119+AJ117-AJ118)</f>
        <v/>
      </c>
      <c r="AK119" s="136" t="str">
        <f t="shared" ref="AK119" ca="1" si="429">IF(AK116="","",AJ119+AK117-AK118)</f>
        <v/>
      </c>
      <c r="AL119" s="136" t="str">
        <f t="shared" ref="AL119" ca="1" si="430">IF(AL116="","",AK119+AL117-AL118)</f>
        <v/>
      </c>
      <c r="AM119" s="136" t="str">
        <f t="shared" ref="AM119" ca="1" si="431">IF(AM116="","",AL119+AM117-AM118)</f>
        <v/>
      </c>
      <c r="AN119" s="136" t="str">
        <f t="shared" ref="AN119" ca="1" si="432">IF(AN116="","",AM119+AN117-AN118)</f>
        <v/>
      </c>
      <c r="AO119" s="136" t="str">
        <f t="shared" ref="AO119" ca="1" si="433">IF(AO116="","",AN119+AO117-AO118)</f>
        <v/>
      </c>
      <c r="AP119" s="136" t="str">
        <f t="shared" ref="AP119" ca="1" si="434">IF(AP116="","",AO119+AP117-AP118)</f>
        <v/>
      </c>
      <c r="AQ119" s="136" t="str">
        <f t="shared" ref="AQ119" ca="1" si="435">IF(AQ116="","",AP119+AQ117-AQ118)</f>
        <v/>
      </c>
      <c r="AR119" s="136" t="str">
        <f t="shared" ref="AR119" ca="1" si="436">IF(AR116="","",AQ119+AR117-AR118)</f>
        <v/>
      </c>
      <c r="AS119" s="136" t="str">
        <f t="shared" ref="AS119" ca="1" si="437">IF(AS116="","",AR119+AS117-AS118)</f>
        <v/>
      </c>
      <c r="AT119" s="136" t="str">
        <f t="shared" ref="AT119" ca="1" si="438">IF(AT116="","",AS119+AT117-AT118)</f>
        <v/>
      </c>
      <c r="AU119" s="136" t="str">
        <f t="shared" ref="AU119" ca="1" si="439">IF(AU116="","",AT119+AU117-AU118)</f>
        <v/>
      </c>
      <c r="AV119" s="136" t="str">
        <f t="shared" ref="AV119" ca="1" si="440">IF(AV116="","",AU119+AV117-AV118)</f>
        <v/>
      </c>
      <c r="AW119" s="136" t="str">
        <f t="shared" ref="AW119" ca="1" si="441">IF(AW116="","",AV119+AW117-AW118)</f>
        <v/>
      </c>
      <c r="AX119" s="112"/>
      <c r="AY119" s="112"/>
      <c r="AZ119" s="109"/>
    </row>
    <row r="120" spans="3:52" ht="12.75" customHeight="1" x14ac:dyDescent="0.2">
      <c r="N120" s="107"/>
      <c r="O120" s="112"/>
      <c r="P120" s="112"/>
      <c r="Q120" s="137" t="str">
        <f>INDEX(g_lang_val,MATCH("tb_2_4_4",g_lang_key,0))</f>
        <v>Renter (FF4)</v>
      </c>
      <c r="R120" s="138"/>
      <c r="S120" s="141">
        <f ca="1">SUM(T120:BG120)</f>
        <v>0</v>
      </c>
      <c r="T120" s="136">
        <f t="shared" ref="T120" ca="1" si="442">IF(T116="","",g_interest_FF4*(S119+(T117/2)-(T118/2)))</f>
        <v>0</v>
      </c>
      <c r="U120" s="136">
        <f t="shared" ref="U120" ca="1" si="443">IF(U116="","",g_interest_FF4*(T119+(U117/2)-(U118/2)))</f>
        <v>0</v>
      </c>
      <c r="V120" s="136">
        <f t="shared" ref="V120" ca="1" si="444">IF(V116="","",g_interest_FF4*(U119+(V117/2)-(V118/2)))</f>
        <v>0</v>
      </c>
      <c r="W120" s="136">
        <f t="shared" ref="W120" ca="1" si="445">IF(W116="","",g_interest_FF4*(V119+(W117/2)-(W118/2)))</f>
        <v>0</v>
      </c>
      <c r="X120" s="136">
        <f t="shared" ref="X120" ca="1" si="446">IF(X116="","",g_interest_FF4*(W119+(X117/2)-(X118/2)))</f>
        <v>0</v>
      </c>
      <c r="Y120" s="136" t="str">
        <f t="shared" ref="Y120" ca="1" si="447">IF(Y116="","",g_interest_FF4*(X119+(Y117/2)-(Y118/2)))</f>
        <v/>
      </c>
      <c r="Z120" s="136" t="str">
        <f t="shared" ref="Z120" ca="1" si="448">IF(Z116="","",g_interest_FF4*(Y119+(Z117/2)-(Z118/2)))</f>
        <v/>
      </c>
      <c r="AA120" s="136" t="str">
        <f t="shared" ref="AA120" ca="1" si="449">IF(AA116="","",g_interest_FF4*(Z119+(AA117/2)-(AA118/2)))</f>
        <v/>
      </c>
      <c r="AB120" s="136" t="str">
        <f t="shared" ref="AB120" ca="1" si="450">IF(AB116="","",g_interest_FF4*(AA119+(AB117/2)-(AB118/2)))</f>
        <v/>
      </c>
      <c r="AC120" s="136" t="str">
        <f t="shared" ref="AC120" ca="1" si="451">IF(AC116="","",g_interest_FF4*(AB119+(AC117/2)-(AC118/2)))</f>
        <v/>
      </c>
      <c r="AD120" s="136" t="str">
        <f t="shared" ref="AD120" ca="1" si="452">IF(AD116="","",g_interest_FF4*(AC119+(AD117/2)-(AD118/2)))</f>
        <v/>
      </c>
      <c r="AE120" s="136" t="str">
        <f t="shared" ref="AE120" ca="1" si="453">IF(AE116="","",g_interest_FF4*(AD119+(AE117/2)-(AE118/2)))</f>
        <v/>
      </c>
      <c r="AF120" s="136" t="str">
        <f t="shared" ref="AF120" ca="1" si="454">IF(AF116="","",g_interest_FF4*(AE119+(AF117/2)-(AF118/2)))</f>
        <v/>
      </c>
      <c r="AG120" s="136" t="str">
        <f t="shared" ref="AG120" ca="1" si="455">IF(AG116="","",g_interest_FF4*(AF119+(AG117/2)-(AG118/2)))</f>
        <v/>
      </c>
      <c r="AH120" s="136" t="str">
        <f t="shared" ref="AH120" ca="1" si="456">IF(AH116="","",g_interest_FF4*(AG119+(AH117/2)-(AH118/2)))</f>
        <v/>
      </c>
      <c r="AI120" s="136" t="str">
        <f t="shared" ref="AI120" ca="1" si="457">IF(AI116="","",g_interest_FF4*(AH119+(AI117/2)-(AI118/2)))</f>
        <v/>
      </c>
      <c r="AJ120" s="136" t="str">
        <f t="shared" ref="AJ120" ca="1" si="458">IF(AJ116="","",g_interest_FF4*(AI119+(AJ117/2)-(AJ118/2)))</f>
        <v/>
      </c>
      <c r="AK120" s="136" t="str">
        <f t="shared" ref="AK120" ca="1" si="459">IF(AK116="","",g_interest_FF4*(AJ119+(AK117/2)-(AK118/2)))</f>
        <v/>
      </c>
      <c r="AL120" s="136" t="str">
        <f t="shared" ref="AL120" ca="1" si="460">IF(AL116="","",g_interest_FF4*(AK119+(AL117/2)-(AL118/2)))</f>
        <v/>
      </c>
      <c r="AM120" s="136" t="str">
        <f t="shared" ref="AM120" ca="1" si="461">IF(AM116="","",g_interest_FF4*(AL119+(AM117/2)-(AM118/2)))</f>
        <v/>
      </c>
      <c r="AN120" s="136" t="str">
        <f t="shared" ref="AN120" ca="1" si="462">IF(AN116="","",g_interest_FF4*(AM119+(AN117/2)-(AN118/2)))</f>
        <v/>
      </c>
      <c r="AO120" s="136" t="str">
        <f t="shared" ref="AO120" ca="1" si="463">IF(AO116="","",g_interest_FF4*(AN119+(AO117/2)-(AO118/2)))</f>
        <v/>
      </c>
      <c r="AP120" s="136" t="str">
        <f t="shared" ref="AP120" ca="1" si="464">IF(AP116="","",g_interest_FF4*(AO119+(AP117/2)-(AP118/2)))</f>
        <v/>
      </c>
      <c r="AQ120" s="136" t="str">
        <f t="shared" ref="AQ120" ca="1" si="465">IF(AQ116="","",g_interest_FF4*(AP119+(AQ117/2)-(AQ118/2)))</f>
        <v/>
      </c>
      <c r="AR120" s="136" t="str">
        <f t="shared" ref="AR120" ca="1" si="466">IF(AR116="","",g_interest_FF4*(AQ119+(AR117/2)-(AR118/2)))</f>
        <v/>
      </c>
      <c r="AS120" s="136" t="str">
        <f t="shared" ref="AS120" ca="1" si="467">IF(AS116="","",g_interest_FF4*(AR119+(AS117/2)-(AS118/2)))</f>
        <v/>
      </c>
      <c r="AT120" s="136" t="str">
        <f t="shared" ref="AT120" ca="1" si="468">IF(AT116="","",g_interest_FF4*(AS119+(AT117/2)-(AT118/2)))</f>
        <v/>
      </c>
      <c r="AU120" s="136" t="str">
        <f t="shared" ref="AU120" ca="1" si="469">IF(AU116="","",g_interest_FF4*(AT119+(AU117/2)-(AU118/2)))</f>
        <v/>
      </c>
      <c r="AV120" s="136" t="str">
        <f t="shared" ref="AV120" ca="1" si="470">IF(AV116="","",g_interest_FF4*(AU119+(AV117/2)-(AV118/2)))</f>
        <v/>
      </c>
      <c r="AW120" s="136" t="str">
        <f t="shared" ref="AW120" ca="1" si="471">IF(AW116="","",g_interest_FF4*(AV119+(AW117/2)-(AW118/2)))</f>
        <v/>
      </c>
      <c r="AX120" s="112"/>
      <c r="AY120" s="112"/>
      <c r="AZ120" s="109"/>
    </row>
    <row r="121" spans="3:52" ht="12.75" customHeight="1" x14ac:dyDescent="0.2">
      <c r="N121" s="107"/>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Q121" s="124"/>
      <c r="AR121" s="124"/>
      <c r="AS121" s="124"/>
      <c r="AT121" s="124"/>
      <c r="AU121" s="124"/>
      <c r="AV121" s="124"/>
      <c r="AW121" s="124"/>
      <c r="AX121" s="124"/>
      <c r="AY121" s="124"/>
      <c r="AZ121" s="109"/>
    </row>
    <row r="122" spans="3:52" ht="25.5" customHeight="1" x14ac:dyDescent="0.2">
      <c r="N122" s="126"/>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8"/>
    </row>
  </sheetData>
  <sheetProtection password="CE89" sheet="1" autoFilter="0"/>
  <customSheetViews>
    <customSheetView guid="{CC114306-4468-4F70-9DB6-D54D814D228F}" fitToPage="1" printArea="1" hiddenRows="1" hiddenColumns="1" topLeftCell="P25">
      <selection activeCell="P13" sqref="P13"/>
      <pageMargins left="0.7" right="0.7" top="0.75" bottom="0.75" header="0.3" footer="0.3"/>
      <pageSetup paperSize="9" fitToHeight="0" orientation="landscape" r:id="rId1"/>
    </customSheetView>
  </customSheetViews>
  <mergeCells count="3">
    <mergeCell ref="N46:AZ46"/>
    <mergeCell ref="N78:AZ78"/>
    <mergeCell ref="N91:AZ91"/>
  </mergeCells>
  <conditionalFormatting sqref="T37:AN37 AX37">
    <cfRule type="expression" dxfId="32" priority="49">
      <formula>T$37=""</formula>
    </cfRule>
  </conditionalFormatting>
  <conditionalFormatting sqref="T95:AW95">
    <cfRule type="expression" dxfId="31" priority="45">
      <formula>T$37=""</formula>
    </cfRule>
  </conditionalFormatting>
  <conditionalFormatting sqref="T50:AM50">
    <cfRule type="expression" dxfId="30" priority="47">
      <formula>T$50=""</formula>
    </cfRule>
  </conditionalFormatting>
  <conditionalFormatting sqref="T82:AW82">
    <cfRule type="expression" dxfId="29" priority="46">
      <formula>T$37=""</formula>
    </cfRule>
  </conditionalFormatting>
  <conditionalFormatting sqref="T51:AM51">
    <cfRule type="expression" dxfId="28" priority="44">
      <formula>T$50=""</formula>
    </cfRule>
  </conditionalFormatting>
  <conditionalFormatting sqref="T52:AW56">
    <cfRule type="expression" dxfId="27" priority="43">
      <formula>T$50=""</formula>
    </cfRule>
  </conditionalFormatting>
  <conditionalFormatting sqref="T74:AM74 T73:AW73">
    <cfRule type="expression" dxfId="26" priority="41">
      <formula>T$50=""</formula>
    </cfRule>
  </conditionalFormatting>
  <conditionalFormatting sqref="T57:AM57">
    <cfRule type="expression" dxfId="25" priority="40">
      <formula>T$50=""</formula>
    </cfRule>
  </conditionalFormatting>
  <conditionalFormatting sqref="T38:AN38">
    <cfRule type="expression" dxfId="24" priority="38">
      <formula>T$37=""</formula>
    </cfRule>
  </conditionalFormatting>
  <conditionalFormatting sqref="T39:AW40">
    <cfRule type="expression" dxfId="23" priority="37">
      <formula>T$37=""</formula>
    </cfRule>
  </conditionalFormatting>
  <conditionalFormatting sqref="T42:AN42">
    <cfRule type="expression" dxfId="22" priority="36">
      <formula>T$37=""</formula>
    </cfRule>
  </conditionalFormatting>
  <conditionalFormatting sqref="T41:AN41">
    <cfRule type="expression" dxfId="21" priority="35">
      <formula>T$37=""</formula>
    </cfRule>
  </conditionalFormatting>
  <conditionalFormatting sqref="T43:AN43">
    <cfRule type="expression" dxfId="20" priority="34">
      <formula>T$37=""</formula>
    </cfRule>
  </conditionalFormatting>
  <conditionalFormatting sqref="T88:AW88">
    <cfRule type="expression" dxfId="19" priority="33">
      <formula>T$37=""</formula>
    </cfRule>
  </conditionalFormatting>
  <conditionalFormatting sqref="T97:AW97">
    <cfRule type="expression" dxfId="18" priority="32">
      <formula>T$37=""</formula>
    </cfRule>
  </conditionalFormatting>
  <conditionalFormatting sqref="T118:AW120">
    <cfRule type="expression" dxfId="17" priority="23">
      <formula>T$37=""</formula>
    </cfRule>
  </conditionalFormatting>
  <conditionalFormatting sqref="T98:AW100">
    <cfRule type="expression" dxfId="16" priority="31">
      <formula>T$37=""</formula>
    </cfRule>
  </conditionalFormatting>
  <conditionalFormatting sqref="T103:AW105">
    <cfRule type="expression" dxfId="15" priority="29">
      <formula>T$37=""</formula>
    </cfRule>
  </conditionalFormatting>
  <conditionalFormatting sqref="T108:AW110">
    <cfRule type="expression" dxfId="14" priority="27">
      <formula>T$37=""</formula>
    </cfRule>
  </conditionalFormatting>
  <conditionalFormatting sqref="T113:AW115">
    <cfRule type="expression" dxfId="13" priority="25">
      <formula>T$37=""</formula>
    </cfRule>
  </conditionalFormatting>
  <conditionalFormatting sqref="T83:AW87">
    <cfRule type="expression" dxfId="12" priority="18">
      <formula>T$37=""</formula>
    </cfRule>
  </conditionalFormatting>
  <conditionalFormatting sqref="AX52:AY52">
    <cfRule type="expression" dxfId="11" priority="17">
      <formula>AX$50=""</formula>
    </cfRule>
  </conditionalFormatting>
  <conditionalFormatting sqref="AX107">
    <cfRule type="expression" dxfId="10" priority="16">
      <formula>AX$37=""</formula>
    </cfRule>
  </conditionalFormatting>
  <conditionalFormatting sqref="AO37:AW37">
    <cfRule type="expression" dxfId="9" priority="13">
      <formula>AO$37=""</formula>
    </cfRule>
  </conditionalFormatting>
  <conditionalFormatting sqref="AO38:AW38">
    <cfRule type="expression" dxfId="8" priority="12">
      <formula>AO$37=""</formula>
    </cfRule>
  </conditionalFormatting>
  <conditionalFormatting sqref="AO42:AW42">
    <cfRule type="expression" dxfId="7" priority="10">
      <formula>AO$37=""</formula>
    </cfRule>
  </conditionalFormatting>
  <conditionalFormatting sqref="AO41:AW41">
    <cfRule type="expression" dxfId="6" priority="9">
      <formula>AO$37=""</formula>
    </cfRule>
  </conditionalFormatting>
  <conditionalFormatting sqref="AO43:AW43">
    <cfRule type="expression" dxfId="5" priority="8">
      <formula>AO$37=""</formula>
    </cfRule>
  </conditionalFormatting>
  <conditionalFormatting sqref="T102:AW102">
    <cfRule type="expression" dxfId="4" priority="6">
      <formula>T$37=""</formula>
    </cfRule>
  </conditionalFormatting>
  <conditionalFormatting sqref="T107:AW107">
    <cfRule type="expression" dxfId="3" priority="5">
      <formula>T$37=""</formula>
    </cfRule>
  </conditionalFormatting>
  <conditionalFormatting sqref="T112:AW112">
    <cfRule type="expression" dxfId="2" priority="4">
      <formula>T$37=""</formula>
    </cfRule>
  </conditionalFormatting>
  <conditionalFormatting sqref="T117:AW117">
    <cfRule type="expression" dxfId="1" priority="3">
      <formula>T$37=""</formula>
    </cfRule>
  </conditionalFormatting>
  <conditionalFormatting sqref="T58:AW72">
    <cfRule type="expression" dxfId="0" priority="1">
      <formula>T$50=""</formula>
    </cfRule>
  </conditionalFormatting>
  <pageMargins left="0.7" right="0.7" top="0.75" bottom="0.75" header="0.3" footer="0.3"/>
  <pageSetup paperSize="9" fitToHeight="0" orientation="landscape" r:id="rId2"/>
  <ignoredErrors>
    <ignoredError sqref="T57:AM57 Q57" 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22</vt:i4>
      </vt:variant>
    </vt:vector>
  </HeadingPairs>
  <TitlesOfParts>
    <vt:vector size="27" baseType="lpstr">
      <vt:lpstr>NR_1</vt:lpstr>
      <vt:lpstr>Ændringslog</vt:lpstr>
      <vt:lpstr>Stamoplysninger</vt:lpstr>
      <vt:lpstr>Leverancer</vt:lpstr>
      <vt:lpstr>Tabeller</vt:lpstr>
      <vt:lpstr>g_assets_sc_1</vt:lpstr>
      <vt:lpstr>g_interest_discount</vt:lpstr>
      <vt:lpstr>g_interest_FF4</vt:lpstr>
      <vt:lpstr>g_lang_key</vt:lpstr>
      <vt:lpstr>g_lang_val</vt:lpstr>
      <vt:lpstr>g_phase_names</vt:lpstr>
      <vt:lpstr>g_pl_factor</vt:lpstr>
      <vt:lpstr>g_pl_factors</vt:lpstr>
      <vt:lpstr>g_pl_year</vt:lpstr>
      <vt:lpstr>g_pl_years</vt:lpstr>
      <vt:lpstr>g_pl_years_end</vt:lpstr>
      <vt:lpstr>g_pl_years_start</vt:lpstr>
      <vt:lpstr>g_reporting_year</vt:lpstr>
      <vt:lpstr>g_sc_1_assets</vt:lpstr>
      <vt:lpstr>g_sc_1_assets_dates</vt:lpstr>
      <vt:lpstr>g_sc_1_assets_years</vt:lpstr>
      <vt:lpstr>g_sc_1_capex</vt:lpstr>
      <vt:lpstr>g_sc_1_opex</vt:lpstr>
      <vt:lpstr>g_sc_1_phases_years</vt:lpstr>
      <vt:lpstr>Leverancer!Udskriftsområde</vt:lpstr>
      <vt:lpstr>Stamoplysninger!Udskriftsområde</vt:lpstr>
      <vt:lpstr>Tabeller!Udskriftsområde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Ionel Dan Blaguiescu</dc:creator>
  <cp:lastModifiedBy>Jeppe Stenager Fallesen</cp:lastModifiedBy>
  <dcterms:created xsi:type="dcterms:W3CDTF">2022-08-18T13:31:47Z</dcterms:created>
  <dcterms:modified xsi:type="dcterms:W3CDTF">2024-06-25T15:00:37Z</dcterms:modified>
</cp:coreProperties>
</file>